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showInkAnnotation="0" codeName="ThisWorkbook" defaultThemeVersion="166925"/>
  <mc:AlternateContent xmlns:mc="http://schemas.openxmlformats.org/markup-compatibility/2006">
    <mc:Choice Requires="x15">
      <x15ac:absPath xmlns:x15ac="http://schemas.microsoft.com/office/spreadsheetml/2010/11/ac" url="/Users/dingjinxin/Documents/NIBC IBD Competition/2024/"/>
    </mc:Choice>
  </mc:AlternateContent>
  <xr:revisionPtr revIDLastSave="0" documentId="13_ncr:1_{F5C2E461-BE8E-1849-B8BB-72716CD1DB6D}" xr6:coauthVersionLast="47" xr6:coauthVersionMax="47" xr10:uidLastSave="{00000000-0000-0000-0000-000000000000}"/>
  <bookViews>
    <workbookView xWindow="0" yWindow="760" windowWidth="30240" windowHeight="18880" tabRatio="918" firstSheet="8" activeTab="12" xr2:uid="{00000000-000D-0000-FFFF-FFFF00000000}"/>
  </bookViews>
  <sheets>
    <sheet name="Cover Sheet" sheetId="19" r:id="rId1"/>
    <sheet name="DCF - Outputs" sheetId="20" r:id="rId2"/>
    <sheet name="DCF - Assumptions" sheetId="3" r:id="rId3"/>
    <sheet name="DCF - Financials" sheetId="2" r:id="rId4"/>
    <sheet name="DCF - Capital Structure" sheetId="4" r:id="rId5"/>
    <sheet name="DCF - Valuation" sheetId="5" r:id="rId6"/>
    <sheet name="Associates &amp; Joint Ventures" sheetId="29" r:id="rId7"/>
    <sheet name="DCF - Assumptions Document" sheetId="6" r:id="rId8"/>
    <sheet name="Comps - Selection" sheetId="25" r:id="rId9"/>
    <sheet name="Comps - Outputs" sheetId="24" r:id="rId10"/>
    <sheet name="Comps - Dataset" sheetId="23" r:id="rId11"/>
    <sheet name="Precedents - Selection" sheetId="16" r:id="rId12"/>
    <sheet name="Precedents - Dataset" sheetId="18" r:id="rId13"/>
    <sheet name="LBO - Outputs" sheetId="21" r:id="rId14"/>
    <sheet name="LBO - Assumptions" sheetId="8" r:id="rId15"/>
    <sheet name="LBO - Financials" sheetId="9" r:id="rId16"/>
    <sheet name="LBO - Assumptions Document" sheetId="10"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_FDS_HYPERLINK_TOGGLE_STATE__" hidden="1">"ON"</definedName>
    <definedName name="__FDS_UNIQUE_RANGE_ID_GENERATOR_COUNTER" hidden="1">92</definedName>
    <definedName name="__FDS_USED_FOR_REUSING_RANGE_IDS_RECYCLE" localSheetId="9" hidden="1">{91}</definedName>
    <definedName name="__FDS_USED_FOR_REUSING_RANGE_IDS_RECYCLE" localSheetId="8" hidden="1">{91}</definedName>
    <definedName name="__FDS_USED_FOR_REUSING_RANGE_IDS_RECYCLE" localSheetId="0" hidden="1">{91}</definedName>
    <definedName name="__FDS_USED_FOR_REUSING_RANGE_IDS_RECYCLE" localSheetId="7" hidden="1">{91}</definedName>
    <definedName name="__FDS_USED_FOR_REUSING_RANGE_IDS_RECYCLE" localSheetId="4" hidden="1">{91}</definedName>
    <definedName name="__FDS_USED_FOR_REUSING_RANGE_IDS_RECYCLE" localSheetId="14" hidden="1">{91}</definedName>
    <definedName name="__FDS_USED_FOR_REUSING_RANGE_IDS_RECYCLE" localSheetId="15" hidden="1">{91}</definedName>
    <definedName name="__FDS_USED_FOR_REUSING_RANGE_IDS_RECYCLE" hidden="1">{91}</definedName>
    <definedName name="_12__FDSAUDITLINK__" localSheetId="9">{"fdsup://Directions/FactSet Auditing Viewer?action=AUDIT_VALUE&amp;DB=129&amp;ID1=45920010&amp;VALUEID=03051&amp;SDATE=2006&amp;PERIODTYPE=ANN_STD&amp;window=popup_no_bar&amp;width=385&amp;height=120&amp;START_MAXIMIZED=FALSE&amp;creator=factset&amp;display_string=Audit"}</definedName>
    <definedName name="_12__FDSAUDITLINK__" localSheetId="8">{"fdsup://Directions/FactSet Auditing Viewer?action=AUDIT_VALUE&amp;DB=129&amp;ID1=45920010&amp;VALUEID=03051&amp;SDATE=2006&amp;PERIODTYPE=ANN_STD&amp;window=popup_no_bar&amp;width=385&amp;height=120&amp;START_MAXIMIZED=FALSE&amp;creator=factset&amp;display_string=Audit"}</definedName>
    <definedName name="_12__FDSAUDITLINK__" localSheetId="0">{"fdsup://Directions/FactSet Auditing Viewer?action=AUDIT_VALUE&amp;DB=129&amp;ID1=45920010&amp;VALUEID=03051&amp;SDATE=2006&amp;PERIODTYPE=ANN_STD&amp;window=popup_no_bar&amp;width=385&amp;height=120&amp;START_MAXIMIZED=FALSE&amp;creator=factset&amp;display_string=Audit"}</definedName>
    <definedName name="_12__FDSAUDITLINK__" localSheetId="7">{"fdsup://Directions/FactSet Auditing Viewer?action=AUDIT_VALUE&amp;DB=129&amp;ID1=45920010&amp;VALUEID=03051&amp;SDATE=2006&amp;PERIODTYPE=ANN_STD&amp;window=popup_no_bar&amp;width=385&amp;height=120&amp;START_MAXIMIZED=FALSE&amp;creator=factset&amp;display_string=Audit"}</definedName>
    <definedName name="_12__FDSAUDITLINK__" localSheetId="4">{"fdsup://Directions/FactSet Auditing Viewer?action=AUDIT_VALUE&amp;DB=129&amp;ID1=45920010&amp;VALUEID=03051&amp;SDATE=2006&amp;PERIODTYPE=ANN_STD&amp;window=popup_no_bar&amp;width=385&amp;height=120&amp;START_MAXIMIZED=FALSE&amp;creator=factset&amp;display_string=Audit"}</definedName>
    <definedName name="_12__FDSAUDITLINK__" localSheetId="14">{"fdsup://Directions/FactSet Auditing Viewer?action=AUDIT_VALUE&amp;DB=129&amp;ID1=45920010&amp;VALUEID=03051&amp;SDATE=2006&amp;PERIODTYPE=ANN_STD&amp;window=popup_no_bar&amp;width=385&amp;height=120&amp;START_MAXIMIZED=FALSE&amp;creator=factset&amp;display_string=Audit"}</definedName>
    <definedName name="_12__FDSAUDITLINK__" localSheetId="15">{"fdsup://Directions/FactSet Auditing Viewer?action=AUDIT_VALUE&amp;DB=129&amp;ID1=45920010&amp;VALUEID=03051&amp;SDATE=2006&amp;PERIODTYPE=ANN_STD&amp;window=popup_no_bar&amp;width=385&amp;height=120&amp;START_MAXIMIZED=FALSE&amp;creator=factset&amp;display_string=Audit"}</definedName>
    <definedName name="_12__FDSAUDITLINK__">{"fdsup://Directions/FactSet Auditing Viewer?action=AUDIT_VALUE&amp;DB=129&amp;ID1=45920010&amp;VALUEID=03051&amp;SDATE=2006&amp;PERIODTYPE=ANN_STD&amp;window=popup_no_bar&amp;width=385&amp;height=120&amp;START_MAXIMIZED=FALSE&amp;creator=factset&amp;display_string=Audit"}</definedName>
    <definedName name="_13__FDSAUDITLINK__" localSheetId="9">{"fdsup://Directions/FactSet Auditing Viewer?action=AUDIT_VALUE&amp;DB=129&amp;ID1=45920010&amp;VALUEID=03101&amp;SDATE=2009&amp;PERIODTYPE=ANN_STD&amp;window=popup_no_bar&amp;width=385&amp;height=120&amp;START_MAXIMIZED=FALSE&amp;creator=factset&amp;display_string=Audit"}</definedName>
    <definedName name="_13__FDSAUDITLINK__" localSheetId="8">{"fdsup://Directions/FactSet Auditing Viewer?action=AUDIT_VALUE&amp;DB=129&amp;ID1=45920010&amp;VALUEID=03101&amp;SDATE=2009&amp;PERIODTYPE=ANN_STD&amp;window=popup_no_bar&amp;width=385&amp;height=120&amp;START_MAXIMIZED=FALSE&amp;creator=factset&amp;display_string=Audit"}</definedName>
    <definedName name="_13__FDSAUDITLINK__" localSheetId="0">{"fdsup://Directions/FactSet Auditing Viewer?action=AUDIT_VALUE&amp;DB=129&amp;ID1=45920010&amp;VALUEID=03101&amp;SDATE=2009&amp;PERIODTYPE=ANN_STD&amp;window=popup_no_bar&amp;width=385&amp;height=120&amp;START_MAXIMIZED=FALSE&amp;creator=factset&amp;display_string=Audit"}</definedName>
    <definedName name="_13__FDSAUDITLINK__" localSheetId="7">{"fdsup://Directions/FactSet Auditing Viewer?action=AUDIT_VALUE&amp;DB=129&amp;ID1=45920010&amp;VALUEID=03101&amp;SDATE=2009&amp;PERIODTYPE=ANN_STD&amp;window=popup_no_bar&amp;width=385&amp;height=120&amp;START_MAXIMIZED=FALSE&amp;creator=factset&amp;display_string=Audit"}</definedName>
    <definedName name="_13__FDSAUDITLINK__" localSheetId="4">{"fdsup://Directions/FactSet Auditing Viewer?action=AUDIT_VALUE&amp;DB=129&amp;ID1=45920010&amp;VALUEID=03101&amp;SDATE=2009&amp;PERIODTYPE=ANN_STD&amp;window=popup_no_bar&amp;width=385&amp;height=120&amp;START_MAXIMIZED=FALSE&amp;creator=factset&amp;display_string=Audit"}</definedName>
    <definedName name="_13__FDSAUDITLINK__" localSheetId="14">{"fdsup://Directions/FactSet Auditing Viewer?action=AUDIT_VALUE&amp;DB=129&amp;ID1=45920010&amp;VALUEID=03101&amp;SDATE=2009&amp;PERIODTYPE=ANN_STD&amp;window=popup_no_bar&amp;width=385&amp;height=120&amp;START_MAXIMIZED=FALSE&amp;creator=factset&amp;display_string=Audit"}</definedName>
    <definedName name="_13__FDSAUDITLINK__" localSheetId="15">{"fdsup://Directions/FactSet Auditing Viewer?action=AUDIT_VALUE&amp;DB=129&amp;ID1=45920010&amp;VALUEID=03101&amp;SDATE=2009&amp;PERIODTYPE=ANN_STD&amp;window=popup_no_bar&amp;width=385&amp;height=120&amp;START_MAXIMIZED=FALSE&amp;creator=factset&amp;display_string=Audit"}</definedName>
    <definedName name="_13__FDSAUDITLINK__">{"fdsup://Directions/FactSet Auditing Viewer?action=AUDIT_VALUE&amp;DB=129&amp;ID1=45920010&amp;VALUEID=03101&amp;SDATE=2009&amp;PERIODTYPE=ANN_STD&amp;window=popup_no_bar&amp;width=385&amp;height=120&amp;START_MAXIMIZED=FALSE&amp;creator=factset&amp;display_string=Audit"}</definedName>
    <definedName name="_14__FDSAUDITLINK__" localSheetId="9">{"fdsup://Directions/FactSet Auditing Viewer?action=AUDIT_VALUE&amp;DB=129&amp;ID1=45920010&amp;VALUEID=03051&amp;SDATE=201004&amp;PERIODTYPE=QTR_STD&amp;window=popup_no_bar&amp;width=385&amp;height=120&amp;START_MAXIMIZED=FALSE&amp;creator=factset&amp;display_string=Audit"}</definedName>
    <definedName name="_14__FDSAUDITLINK__" localSheetId="8">{"fdsup://Directions/FactSet Auditing Viewer?action=AUDIT_VALUE&amp;DB=129&amp;ID1=45920010&amp;VALUEID=03051&amp;SDATE=201004&amp;PERIODTYPE=QTR_STD&amp;window=popup_no_bar&amp;width=385&amp;height=120&amp;START_MAXIMIZED=FALSE&amp;creator=factset&amp;display_string=Audit"}</definedName>
    <definedName name="_14__FDSAUDITLINK__" localSheetId="0">{"fdsup://Directions/FactSet Auditing Viewer?action=AUDIT_VALUE&amp;DB=129&amp;ID1=45920010&amp;VALUEID=03051&amp;SDATE=201004&amp;PERIODTYPE=QTR_STD&amp;window=popup_no_bar&amp;width=385&amp;height=120&amp;START_MAXIMIZED=FALSE&amp;creator=factset&amp;display_string=Audit"}</definedName>
    <definedName name="_14__FDSAUDITLINK__" localSheetId="7">{"fdsup://Directions/FactSet Auditing Viewer?action=AUDIT_VALUE&amp;DB=129&amp;ID1=45920010&amp;VALUEID=03051&amp;SDATE=201004&amp;PERIODTYPE=QTR_STD&amp;window=popup_no_bar&amp;width=385&amp;height=120&amp;START_MAXIMIZED=FALSE&amp;creator=factset&amp;display_string=Audit"}</definedName>
    <definedName name="_14__FDSAUDITLINK__" localSheetId="4">{"fdsup://Directions/FactSet Auditing Viewer?action=AUDIT_VALUE&amp;DB=129&amp;ID1=45920010&amp;VALUEID=03051&amp;SDATE=201004&amp;PERIODTYPE=QTR_STD&amp;window=popup_no_bar&amp;width=385&amp;height=120&amp;START_MAXIMIZED=FALSE&amp;creator=factset&amp;display_string=Audit"}</definedName>
    <definedName name="_14__FDSAUDITLINK__" localSheetId="14">{"fdsup://Directions/FactSet Auditing Viewer?action=AUDIT_VALUE&amp;DB=129&amp;ID1=45920010&amp;VALUEID=03051&amp;SDATE=201004&amp;PERIODTYPE=QTR_STD&amp;window=popup_no_bar&amp;width=385&amp;height=120&amp;START_MAXIMIZED=FALSE&amp;creator=factset&amp;display_string=Audit"}</definedName>
    <definedName name="_14__FDSAUDITLINK__" localSheetId="15">{"fdsup://Directions/FactSet Auditing Viewer?action=AUDIT_VALUE&amp;DB=129&amp;ID1=45920010&amp;VALUEID=03051&amp;SDATE=201004&amp;PERIODTYPE=QTR_STD&amp;window=popup_no_bar&amp;width=385&amp;height=120&amp;START_MAXIMIZED=FALSE&amp;creator=factset&amp;display_string=Audit"}</definedName>
    <definedName name="_14__FDSAUDITLINK__">{"fdsup://Directions/FactSet Auditing Viewer?action=AUDIT_VALUE&amp;DB=129&amp;ID1=45920010&amp;VALUEID=03051&amp;SDATE=201004&amp;PERIODTYPE=QTR_STD&amp;window=popup_no_bar&amp;width=385&amp;height=120&amp;START_MAXIMIZED=FALSE&amp;creator=factset&amp;display_string=Audit"}</definedName>
    <definedName name="_15__FDSAUDITLINK__" localSheetId="9">{"fdsup://Directions/FactSet Auditing Viewer?action=AUDIT_VALUE&amp;DB=129&amp;ID1=45920010&amp;VALUEID=03051&amp;SDATE=2007&amp;PERIODTYPE=ANN_STD&amp;window=popup_no_bar&amp;width=385&amp;height=120&amp;START_MAXIMIZED=FALSE&amp;creator=factset&amp;display_string=Audit"}</definedName>
    <definedName name="_15__FDSAUDITLINK__" localSheetId="8">{"fdsup://Directions/FactSet Auditing Viewer?action=AUDIT_VALUE&amp;DB=129&amp;ID1=45920010&amp;VALUEID=03051&amp;SDATE=2007&amp;PERIODTYPE=ANN_STD&amp;window=popup_no_bar&amp;width=385&amp;height=120&amp;START_MAXIMIZED=FALSE&amp;creator=factset&amp;display_string=Audit"}</definedName>
    <definedName name="_15__FDSAUDITLINK__" localSheetId="0">{"fdsup://Directions/FactSet Auditing Viewer?action=AUDIT_VALUE&amp;DB=129&amp;ID1=45920010&amp;VALUEID=03051&amp;SDATE=2007&amp;PERIODTYPE=ANN_STD&amp;window=popup_no_bar&amp;width=385&amp;height=120&amp;START_MAXIMIZED=FALSE&amp;creator=factset&amp;display_string=Audit"}</definedName>
    <definedName name="_15__FDSAUDITLINK__" localSheetId="7">{"fdsup://Directions/FactSet Auditing Viewer?action=AUDIT_VALUE&amp;DB=129&amp;ID1=45920010&amp;VALUEID=03051&amp;SDATE=2007&amp;PERIODTYPE=ANN_STD&amp;window=popup_no_bar&amp;width=385&amp;height=120&amp;START_MAXIMIZED=FALSE&amp;creator=factset&amp;display_string=Audit"}</definedName>
    <definedName name="_15__FDSAUDITLINK__" localSheetId="4">{"fdsup://Directions/FactSet Auditing Viewer?action=AUDIT_VALUE&amp;DB=129&amp;ID1=45920010&amp;VALUEID=03051&amp;SDATE=2007&amp;PERIODTYPE=ANN_STD&amp;window=popup_no_bar&amp;width=385&amp;height=120&amp;START_MAXIMIZED=FALSE&amp;creator=factset&amp;display_string=Audit"}</definedName>
    <definedName name="_15__FDSAUDITLINK__" localSheetId="14">{"fdsup://Directions/FactSet Auditing Viewer?action=AUDIT_VALUE&amp;DB=129&amp;ID1=45920010&amp;VALUEID=03051&amp;SDATE=2007&amp;PERIODTYPE=ANN_STD&amp;window=popup_no_bar&amp;width=385&amp;height=120&amp;START_MAXIMIZED=FALSE&amp;creator=factset&amp;display_string=Audit"}</definedName>
    <definedName name="_15__FDSAUDITLINK__" localSheetId="15">{"fdsup://Directions/FactSet Auditing Viewer?action=AUDIT_VALUE&amp;DB=129&amp;ID1=45920010&amp;VALUEID=03051&amp;SDATE=2007&amp;PERIODTYPE=ANN_STD&amp;window=popup_no_bar&amp;width=385&amp;height=120&amp;START_MAXIMIZED=FALSE&amp;creator=factset&amp;display_string=Audit"}</definedName>
    <definedName name="_15__FDSAUDITLINK__">{"fdsup://Directions/FactSet Auditing Viewer?action=AUDIT_VALUE&amp;DB=129&amp;ID1=45920010&amp;VALUEID=03051&amp;SDATE=2007&amp;PERIODTYPE=ANN_STD&amp;window=popup_no_bar&amp;width=385&amp;height=120&amp;START_MAXIMIZED=FALSE&amp;creator=factset&amp;display_string=Audit"}</definedName>
    <definedName name="_16__FDSAUDITLINK__" localSheetId="9">{"fdsup://Directions/FactSet Auditing Viewer?action=AUDIT_VALUE&amp;DB=129&amp;ID1=45920010&amp;VALUEID=01251&amp;SDATE=2010&amp;PERIODTYPE=ANN_STD&amp;window=popup_no_bar&amp;width=385&amp;height=120&amp;START_MAXIMIZED=FALSE&amp;creator=factset&amp;display_string=Audit"}</definedName>
    <definedName name="_16__FDSAUDITLINK__" localSheetId="8">{"fdsup://Directions/FactSet Auditing Viewer?action=AUDIT_VALUE&amp;DB=129&amp;ID1=45920010&amp;VALUEID=01251&amp;SDATE=2010&amp;PERIODTYPE=ANN_STD&amp;window=popup_no_bar&amp;width=385&amp;height=120&amp;START_MAXIMIZED=FALSE&amp;creator=factset&amp;display_string=Audit"}</definedName>
    <definedName name="_16__FDSAUDITLINK__" localSheetId="0">{"fdsup://Directions/FactSet Auditing Viewer?action=AUDIT_VALUE&amp;DB=129&amp;ID1=45920010&amp;VALUEID=01251&amp;SDATE=2010&amp;PERIODTYPE=ANN_STD&amp;window=popup_no_bar&amp;width=385&amp;height=120&amp;START_MAXIMIZED=FALSE&amp;creator=factset&amp;display_string=Audit"}</definedName>
    <definedName name="_16__FDSAUDITLINK__" localSheetId="7">{"fdsup://Directions/FactSet Auditing Viewer?action=AUDIT_VALUE&amp;DB=129&amp;ID1=45920010&amp;VALUEID=01251&amp;SDATE=2010&amp;PERIODTYPE=ANN_STD&amp;window=popup_no_bar&amp;width=385&amp;height=120&amp;START_MAXIMIZED=FALSE&amp;creator=factset&amp;display_string=Audit"}</definedName>
    <definedName name="_16__FDSAUDITLINK__" localSheetId="4">{"fdsup://Directions/FactSet Auditing Viewer?action=AUDIT_VALUE&amp;DB=129&amp;ID1=45920010&amp;VALUEID=01251&amp;SDATE=2010&amp;PERIODTYPE=ANN_STD&amp;window=popup_no_bar&amp;width=385&amp;height=120&amp;START_MAXIMIZED=FALSE&amp;creator=factset&amp;display_string=Audit"}</definedName>
    <definedName name="_16__FDSAUDITLINK__" localSheetId="14">{"fdsup://Directions/FactSet Auditing Viewer?action=AUDIT_VALUE&amp;DB=129&amp;ID1=45920010&amp;VALUEID=01251&amp;SDATE=2010&amp;PERIODTYPE=ANN_STD&amp;window=popup_no_bar&amp;width=385&amp;height=120&amp;START_MAXIMIZED=FALSE&amp;creator=factset&amp;display_string=Audit"}</definedName>
    <definedName name="_16__FDSAUDITLINK__" localSheetId="15">{"fdsup://Directions/FactSet Auditing Viewer?action=AUDIT_VALUE&amp;DB=129&amp;ID1=45920010&amp;VALUEID=01251&amp;SDATE=2010&amp;PERIODTYPE=ANN_STD&amp;window=popup_no_bar&amp;width=385&amp;height=120&amp;START_MAXIMIZED=FALSE&amp;creator=factset&amp;display_string=Audit"}</definedName>
    <definedName name="_16__FDSAUDITLINK__">{"fdsup://Directions/FactSet Auditing Viewer?action=AUDIT_VALUE&amp;DB=129&amp;ID1=45920010&amp;VALUEID=01251&amp;SDATE=2010&amp;PERIODTYPE=ANN_STD&amp;window=popup_no_bar&amp;width=385&amp;height=120&amp;START_MAXIMIZED=FALSE&amp;creator=factset&amp;display_string=Audit"}</definedName>
    <definedName name="_17__FDSAUDITLINK__" localSheetId="9">{"fdsup://Directions/FactSet Auditing Viewer?action=AUDIT_VALUE&amp;DB=129&amp;ID1=45920010&amp;VALUEID=03051&amp;SDATE=2009&amp;PERIODTYPE=ANN_STD&amp;window=popup_no_bar&amp;width=385&amp;height=120&amp;START_MAXIMIZED=FALSE&amp;creator=factset&amp;display_string=Audit"}</definedName>
    <definedName name="_17__FDSAUDITLINK__" localSheetId="8">{"fdsup://Directions/FactSet Auditing Viewer?action=AUDIT_VALUE&amp;DB=129&amp;ID1=45920010&amp;VALUEID=03051&amp;SDATE=2009&amp;PERIODTYPE=ANN_STD&amp;window=popup_no_bar&amp;width=385&amp;height=120&amp;START_MAXIMIZED=FALSE&amp;creator=factset&amp;display_string=Audit"}</definedName>
    <definedName name="_17__FDSAUDITLINK__" localSheetId="0">{"fdsup://Directions/FactSet Auditing Viewer?action=AUDIT_VALUE&amp;DB=129&amp;ID1=45920010&amp;VALUEID=03051&amp;SDATE=2009&amp;PERIODTYPE=ANN_STD&amp;window=popup_no_bar&amp;width=385&amp;height=120&amp;START_MAXIMIZED=FALSE&amp;creator=factset&amp;display_string=Audit"}</definedName>
    <definedName name="_17__FDSAUDITLINK__" localSheetId="7">{"fdsup://Directions/FactSet Auditing Viewer?action=AUDIT_VALUE&amp;DB=129&amp;ID1=45920010&amp;VALUEID=03051&amp;SDATE=2009&amp;PERIODTYPE=ANN_STD&amp;window=popup_no_bar&amp;width=385&amp;height=120&amp;START_MAXIMIZED=FALSE&amp;creator=factset&amp;display_string=Audit"}</definedName>
    <definedName name="_17__FDSAUDITLINK__" localSheetId="4">{"fdsup://Directions/FactSet Auditing Viewer?action=AUDIT_VALUE&amp;DB=129&amp;ID1=45920010&amp;VALUEID=03051&amp;SDATE=2009&amp;PERIODTYPE=ANN_STD&amp;window=popup_no_bar&amp;width=385&amp;height=120&amp;START_MAXIMIZED=FALSE&amp;creator=factset&amp;display_string=Audit"}</definedName>
    <definedName name="_17__FDSAUDITLINK__" localSheetId="14">{"fdsup://Directions/FactSet Auditing Viewer?action=AUDIT_VALUE&amp;DB=129&amp;ID1=45920010&amp;VALUEID=03051&amp;SDATE=2009&amp;PERIODTYPE=ANN_STD&amp;window=popup_no_bar&amp;width=385&amp;height=120&amp;START_MAXIMIZED=FALSE&amp;creator=factset&amp;display_string=Audit"}</definedName>
    <definedName name="_17__FDSAUDITLINK__" localSheetId="15">{"fdsup://Directions/FactSet Auditing Viewer?action=AUDIT_VALUE&amp;DB=129&amp;ID1=45920010&amp;VALUEID=03051&amp;SDATE=2009&amp;PERIODTYPE=ANN_STD&amp;window=popup_no_bar&amp;width=385&amp;height=120&amp;START_MAXIMIZED=FALSE&amp;creator=factset&amp;display_string=Audit"}</definedName>
    <definedName name="_17__FDSAUDITLINK__">{"fdsup://Directions/FactSet Auditing Viewer?action=AUDIT_VALUE&amp;DB=129&amp;ID1=45920010&amp;VALUEID=03051&amp;SDATE=2009&amp;PERIODTYPE=ANN_STD&amp;window=popup_no_bar&amp;width=385&amp;height=120&amp;START_MAXIMIZED=FALSE&amp;creator=factset&amp;display_string=Audit"}</definedName>
    <definedName name="_18__FDSAUDITLINK__" localSheetId="9">{"fdsup://Directions/FactSet Auditing Viewer?action=AUDIT_VALUE&amp;DB=129&amp;ID1=45920010&amp;VALUEID=01001&amp;SDATE=2005&amp;PERIODTYPE=ANN_STD&amp;window=popup_no_bar&amp;width=385&amp;height=120&amp;START_MAXIMIZED=FALSE&amp;creator=factset&amp;display_string=Audit"}</definedName>
    <definedName name="_18__FDSAUDITLINK__" localSheetId="8">{"fdsup://Directions/FactSet Auditing Viewer?action=AUDIT_VALUE&amp;DB=129&amp;ID1=45920010&amp;VALUEID=01001&amp;SDATE=2005&amp;PERIODTYPE=ANN_STD&amp;window=popup_no_bar&amp;width=385&amp;height=120&amp;START_MAXIMIZED=FALSE&amp;creator=factset&amp;display_string=Audit"}</definedName>
    <definedName name="_18__FDSAUDITLINK__" localSheetId="0">{"fdsup://Directions/FactSet Auditing Viewer?action=AUDIT_VALUE&amp;DB=129&amp;ID1=45920010&amp;VALUEID=01001&amp;SDATE=2005&amp;PERIODTYPE=ANN_STD&amp;window=popup_no_bar&amp;width=385&amp;height=120&amp;START_MAXIMIZED=FALSE&amp;creator=factset&amp;display_string=Audit"}</definedName>
    <definedName name="_18__FDSAUDITLINK__" localSheetId="7">{"fdsup://Directions/FactSet Auditing Viewer?action=AUDIT_VALUE&amp;DB=129&amp;ID1=45920010&amp;VALUEID=01001&amp;SDATE=2005&amp;PERIODTYPE=ANN_STD&amp;window=popup_no_bar&amp;width=385&amp;height=120&amp;START_MAXIMIZED=FALSE&amp;creator=factset&amp;display_string=Audit"}</definedName>
    <definedName name="_18__FDSAUDITLINK__" localSheetId="4">{"fdsup://Directions/FactSet Auditing Viewer?action=AUDIT_VALUE&amp;DB=129&amp;ID1=45920010&amp;VALUEID=01001&amp;SDATE=2005&amp;PERIODTYPE=ANN_STD&amp;window=popup_no_bar&amp;width=385&amp;height=120&amp;START_MAXIMIZED=FALSE&amp;creator=factset&amp;display_string=Audit"}</definedName>
    <definedName name="_18__FDSAUDITLINK__" localSheetId="14">{"fdsup://Directions/FactSet Auditing Viewer?action=AUDIT_VALUE&amp;DB=129&amp;ID1=45920010&amp;VALUEID=01001&amp;SDATE=2005&amp;PERIODTYPE=ANN_STD&amp;window=popup_no_bar&amp;width=385&amp;height=120&amp;START_MAXIMIZED=FALSE&amp;creator=factset&amp;display_string=Audit"}</definedName>
    <definedName name="_18__FDSAUDITLINK__" localSheetId="15">{"fdsup://Directions/FactSet Auditing Viewer?action=AUDIT_VALUE&amp;DB=129&amp;ID1=45920010&amp;VALUEID=01001&amp;SDATE=2005&amp;PERIODTYPE=ANN_STD&amp;window=popup_no_bar&amp;width=385&amp;height=120&amp;START_MAXIMIZED=FALSE&amp;creator=factset&amp;display_string=Audit"}</definedName>
    <definedName name="_18__FDSAUDITLINK__">{"fdsup://Directions/FactSet Auditing Viewer?action=AUDIT_VALUE&amp;DB=129&amp;ID1=45920010&amp;VALUEID=01001&amp;SDATE=2005&amp;PERIODTYPE=ANN_STD&amp;window=popup_no_bar&amp;width=385&amp;height=120&amp;START_MAXIMIZED=FALSE&amp;creator=factset&amp;display_string=Audit"}</definedName>
    <definedName name="_19__FDSAUDITLINK__" localSheetId="9">{"fdsup://Directions/FactSet Auditing Viewer?action=AUDIT_VALUE&amp;DB=129&amp;ID1=45920010&amp;VALUEID=02201&amp;SDATE=2007&amp;PERIODTYPE=ANN_STD&amp;window=popup_no_bar&amp;width=385&amp;height=120&amp;START_MAXIMIZED=FALSE&amp;creator=factset&amp;display_string=Audit"}</definedName>
    <definedName name="_19__FDSAUDITLINK__" localSheetId="8">{"fdsup://Directions/FactSet Auditing Viewer?action=AUDIT_VALUE&amp;DB=129&amp;ID1=45920010&amp;VALUEID=02201&amp;SDATE=2007&amp;PERIODTYPE=ANN_STD&amp;window=popup_no_bar&amp;width=385&amp;height=120&amp;START_MAXIMIZED=FALSE&amp;creator=factset&amp;display_string=Audit"}</definedName>
    <definedName name="_19__FDSAUDITLINK__" localSheetId="0">{"fdsup://Directions/FactSet Auditing Viewer?action=AUDIT_VALUE&amp;DB=129&amp;ID1=45920010&amp;VALUEID=02201&amp;SDATE=2007&amp;PERIODTYPE=ANN_STD&amp;window=popup_no_bar&amp;width=385&amp;height=120&amp;START_MAXIMIZED=FALSE&amp;creator=factset&amp;display_string=Audit"}</definedName>
    <definedName name="_19__FDSAUDITLINK__" localSheetId="7">{"fdsup://Directions/FactSet Auditing Viewer?action=AUDIT_VALUE&amp;DB=129&amp;ID1=45920010&amp;VALUEID=02201&amp;SDATE=2007&amp;PERIODTYPE=ANN_STD&amp;window=popup_no_bar&amp;width=385&amp;height=120&amp;START_MAXIMIZED=FALSE&amp;creator=factset&amp;display_string=Audit"}</definedName>
    <definedName name="_19__FDSAUDITLINK__" localSheetId="4">{"fdsup://Directions/FactSet Auditing Viewer?action=AUDIT_VALUE&amp;DB=129&amp;ID1=45920010&amp;VALUEID=02201&amp;SDATE=2007&amp;PERIODTYPE=ANN_STD&amp;window=popup_no_bar&amp;width=385&amp;height=120&amp;START_MAXIMIZED=FALSE&amp;creator=factset&amp;display_string=Audit"}</definedName>
    <definedName name="_19__FDSAUDITLINK__" localSheetId="14">{"fdsup://Directions/FactSet Auditing Viewer?action=AUDIT_VALUE&amp;DB=129&amp;ID1=45920010&amp;VALUEID=02201&amp;SDATE=2007&amp;PERIODTYPE=ANN_STD&amp;window=popup_no_bar&amp;width=385&amp;height=120&amp;START_MAXIMIZED=FALSE&amp;creator=factset&amp;display_string=Audit"}</definedName>
    <definedName name="_19__FDSAUDITLINK__" localSheetId="15">{"fdsup://Directions/FactSet Auditing Viewer?action=AUDIT_VALUE&amp;DB=129&amp;ID1=45920010&amp;VALUEID=02201&amp;SDATE=2007&amp;PERIODTYPE=ANN_STD&amp;window=popup_no_bar&amp;width=385&amp;height=120&amp;START_MAXIMIZED=FALSE&amp;creator=factset&amp;display_string=Audit"}</definedName>
    <definedName name="_19__FDSAUDITLINK__">{"fdsup://Directions/FactSet Auditing Viewer?action=AUDIT_VALUE&amp;DB=129&amp;ID1=45920010&amp;VALUEID=02201&amp;SDATE=2007&amp;PERIODTYPE=ANN_STD&amp;window=popup_no_bar&amp;width=385&amp;height=120&amp;START_MAXIMIZED=FALSE&amp;creator=factset&amp;display_string=Audit"}</definedName>
    <definedName name="_20__FDSAUDITLINK__" localSheetId="9" hidden="1">{"fdsup://Directions/FactSet Auditing Viewer?action=AUDIT_VALUE&amp;DB=129&amp;ID1=20536310&amp;VALUEID=07011&amp;SDATE=2008&amp;PERIODTYPE=ANN_STD&amp;window=popup_no_bar&amp;width=385&amp;height=120&amp;START_MAXIMIZED=FALSE&amp;creator=factset&amp;display_string=Audit"}</definedName>
    <definedName name="_20__FDSAUDITLINK__" localSheetId="8" hidden="1">{"fdsup://Directions/FactSet Auditing Viewer?action=AUDIT_VALUE&amp;DB=129&amp;ID1=20536310&amp;VALUEID=07011&amp;SDATE=2008&amp;PERIODTYPE=ANN_STD&amp;window=popup_no_bar&amp;width=385&amp;height=120&amp;START_MAXIMIZED=FALSE&amp;creator=factset&amp;display_string=Audit"}</definedName>
    <definedName name="_20__FDSAUDITLINK__" localSheetId="0" hidden="1">{"fdsup://Directions/FactSet Auditing Viewer?action=AUDIT_VALUE&amp;DB=129&amp;ID1=20536310&amp;VALUEID=07011&amp;SDATE=2008&amp;PERIODTYPE=ANN_STD&amp;window=popup_no_bar&amp;width=385&amp;height=120&amp;START_MAXIMIZED=FALSE&amp;creator=factset&amp;display_string=Audit"}</definedName>
    <definedName name="_20__FDSAUDITLINK__" localSheetId="7" hidden="1">{"fdsup://Directions/FactSet Auditing Viewer?action=AUDIT_VALUE&amp;DB=129&amp;ID1=20536310&amp;VALUEID=07011&amp;SDATE=2008&amp;PERIODTYPE=ANN_STD&amp;window=popup_no_bar&amp;width=385&amp;height=120&amp;START_MAXIMIZED=FALSE&amp;creator=factset&amp;display_string=Audit"}</definedName>
    <definedName name="_20__FDSAUDITLINK__" localSheetId="4" hidden="1">{"fdsup://Directions/FactSet Auditing Viewer?action=AUDIT_VALUE&amp;DB=129&amp;ID1=20536310&amp;VALUEID=07011&amp;SDATE=2008&amp;PERIODTYPE=ANN_STD&amp;window=popup_no_bar&amp;width=385&amp;height=120&amp;START_MAXIMIZED=FALSE&amp;creator=factset&amp;display_string=Audit"}</definedName>
    <definedName name="_20__FDSAUDITLINK__" localSheetId="14" hidden="1">{"fdsup://Directions/FactSet Auditing Viewer?action=AUDIT_VALUE&amp;DB=129&amp;ID1=20536310&amp;VALUEID=07011&amp;SDATE=2008&amp;PERIODTYPE=ANN_STD&amp;window=popup_no_bar&amp;width=385&amp;height=120&amp;START_MAXIMIZED=FALSE&amp;creator=factset&amp;display_string=Audit"}</definedName>
    <definedName name="_20__FDSAUDITLINK__" localSheetId="15" hidden="1">{"fdsup://Directions/FactSet Auditing Viewer?action=AUDIT_VALUE&amp;DB=129&amp;ID1=20536310&amp;VALUEID=07011&amp;SDATE=2008&amp;PERIODTYPE=ANN_STD&amp;window=popup_no_bar&amp;width=385&amp;height=120&amp;START_MAXIMIZED=FALSE&amp;creator=factset&amp;display_string=Audit"}</definedName>
    <definedName name="_20__FDSAUDITLINK__" hidden="1">{"fdsup://Directions/FactSet Auditing Viewer?action=AUDIT_VALUE&amp;DB=129&amp;ID1=20536310&amp;VALUEID=07011&amp;SDATE=2008&amp;PERIODTYPE=ANN_STD&amp;window=popup_no_bar&amp;width=385&amp;height=120&amp;START_MAXIMIZED=FALSE&amp;creator=factset&amp;display_string=Audit"}</definedName>
    <definedName name="_45__FDSAUDITLINK__" localSheetId="9" hidden="1">{"fdsup://directions/FAT Viewer?action=UPDATE&amp;creator=factset&amp;DYN_ARGS=TRUE&amp;DOC_NAME=FAT:FQL_AUDITING_CLIENT_TEMPLATE.FAT&amp;display_string=Audit&amp;VAR:KEY=GLKJCXKPER&amp;VAR:QUERY=RkZfTElBQlMoQU5OLDBZKQ==&amp;WINDOW=FIRST_POPUP&amp;HEIGHT=450&amp;WIDTH=450&amp;START_MAXIMIZED=FALS","E&amp;VAR:CALENDAR=US&amp;VAR:SYMBOL=622657&amp;VAR:INDEX=0"}</definedName>
    <definedName name="_45__FDSAUDITLINK__" localSheetId="8" hidden="1">{"fdsup://directions/FAT Viewer?action=UPDATE&amp;creator=factset&amp;DYN_ARGS=TRUE&amp;DOC_NAME=FAT:FQL_AUDITING_CLIENT_TEMPLATE.FAT&amp;display_string=Audit&amp;VAR:KEY=GLKJCXKPER&amp;VAR:QUERY=RkZfTElBQlMoQU5OLDBZKQ==&amp;WINDOW=FIRST_POPUP&amp;HEIGHT=450&amp;WIDTH=450&amp;START_MAXIMIZED=FALS","E&amp;VAR:CALENDAR=US&amp;VAR:SYMBOL=622657&amp;VAR:INDEX=0"}</definedName>
    <definedName name="_45__FDSAUDITLINK__" localSheetId="0" hidden="1">{"fdsup://directions/FAT Viewer?action=UPDATE&amp;creator=factset&amp;DYN_ARGS=TRUE&amp;DOC_NAME=FAT:FQL_AUDITING_CLIENT_TEMPLATE.FAT&amp;display_string=Audit&amp;VAR:KEY=GLKJCXKPER&amp;VAR:QUERY=RkZfTElBQlMoQU5OLDBZKQ==&amp;WINDOW=FIRST_POPUP&amp;HEIGHT=450&amp;WIDTH=450&amp;START_MAXIMIZED=FALS","E&amp;VAR:CALENDAR=US&amp;VAR:SYMBOL=622657&amp;VAR:INDEX=0"}</definedName>
    <definedName name="_45__FDSAUDITLINK__" localSheetId="7" hidden="1">{"fdsup://directions/FAT Viewer?action=UPDATE&amp;creator=factset&amp;DYN_ARGS=TRUE&amp;DOC_NAME=FAT:FQL_AUDITING_CLIENT_TEMPLATE.FAT&amp;display_string=Audit&amp;VAR:KEY=GLKJCXKPER&amp;VAR:QUERY=RkZfTElBQlMoQU5OLDBZKQ==&amp;WINDOW=FIRST_POPUP&amp;HEIGHT=450&amp;WIDTH=450&amp;START_MAXIMIZED=FALS","E&amp;VAR:CALENDAR=US&amp;VAR:SYMBOL=622657&amp;VAR:INDEX=0"}</definedName>
    <definedName name="_45__FDSAUDITLINK__" localSheetId="4" hidden="1">{"fdsup://directions/FAT Viewer?action=UPDATE&amp;creator=factset&amp;DYN_ARGS=TRUE&amp;DOC_NAME=FAT:FQL_AUDITING_CLIENT_TEMPLATE.FAT&amp;display_string=Audit&amp;VAR:KEY=GLKJCXKPER&amp;VAR:QUERY=RkZfTElBQlMoQU5OLDBZKQ==&amp;WINDOW=FIRST_POPUP&amp;HEIGHT=450&amp;WIDTH=450&amp;START_MAXIMIZED=FALS","E&amp;VAR:CALENDAR=US&amp;VAR:SYMBOL=622657&amp;VAR:INDEX=0"}</definedName>
    <definedName name="_45__FDSAUDITLINK__" localSheetId="14" hidden="1">{"fdsup://directions/FAT Viewer?action=UPDATE&amp;creator=factset&amp;DYN_ARGS=TRUE&amp;DOC_NAME=FAT:FQL_AUDITING_CLIENT_TEMPLATE.FAT&amp;display_string=Audit&amp;VAR:KEY=GLKJCXKPER&amp;VAR:QUERY=RkZfTElBQlMoQU5OLDBZKQ==&amp;WINDOW=FIRST_POPUP&amp;HEIGHT=450&amp;WIDTH=450&amp;START_MAXIMIZED=FALS","E&amp;VAR:CALENDAR=US&amp;VAR:SYMBOL=622657&amp;VAR:INDEX=0"}</definedName>
    <definedName name="_45__FDSAUDITLINK__" localSheetId="15" hidden="1">{"fdsup://directions/FAT Viewer?action=UPDATE&amp;creator=factset&amp;DYN_ARGS=TRUE&amp;DOC_NAME=FAT:FQL_AUDITING_CLIENT_TEMPLATE.FAT&amp;display_string=Audit&amp;VAR:KEY=GLKJCXKPER&amp;VAR:QUERY=RkZfTElBQlMoQU5OLDBZKQ==&amp;WINDOW=FIRST_POPUP&amp;HEIGHT=450&amp;WIDTH=450&amp;START_MAXIMIZED=FALS","E&amp;VAR:CALENDAR=US&amp;VAR:SYMBOL=622657&amp;VAR:INDEX=0"}</definedName>
    <definedName name="_45__FDSAUDITLINK__" hidden="1">{"fdsup://directions/FAT Viewer?action=UPDATE&amp;creator=factset&amp;DYN_ARGS=TRUE&amp;DOC_NAME=FAT:FQL_AUDITING_CLIENT_TEMPLATE.FAT&amp;display_string=Audit&amp;VAR:KEY=GLKJCXKPER&amp;VAR:QUERY=RkZfTElBQlMoQU5OLDBZKQ==&amp;WINDOW=FIRST_POPUP&amp;HEIGHT=450&amp;WIDTH=450&amp;START_MAXIMIZED=FALS","E&amp;VAR:CALENDAR=US&amp;VAR:SYMBOL=622657&amp;VAR:INDEX=0"}</definedName>
    <definedName name="_bdm.1C58560F61E34D9288A0BD5C54EA9E89.edm" localSheetId="3" hidden="1">'DCF - Financials'!$C$28:$J$32</definedName>
    <definedName name="_bdm.3C0A5DFB33C143A7B0202F03660F87C5.edm" localSheetId="10" hidden="1">'Comps - Dataset'!#REF!</definedName>
    <definedName name="_bdm.3C0A5DFB33C143A7B0202F03660F87C5.edm" localSheetId="9" hidden="1">'Comps - Outputs'!#REF!</definedName>
    <definedName name="_bdm.3C0A5DFB33C143A7B0202F03660F87C5.edm" localSheetId="8" hidden="1">'Comps - Selection'!#REF!</definedName>
    <definedName name="_bdm.3C0A5DFB33C143A7B0202F03660F87C5.edm" localSheetId="7" hidden="1">#REF!</definedName>
    <definedName name="_bdm.3C0A5DFB33C143A7B0202F03660F87C5.edm" localSheetId="4" hidden="1">#REF!</definedName>
    <definedName name="_bdm.3C0A5DFB33C143A7B0202F03660F87C5.edm" localSheetId="14" hidden="1">#REF!</definedName>
    <definedName name="_bdm.3C0A5DFB33C143A7B0202F03660F87C5.edm" localSheetId="15" hidden="1">#REF!</definedName>
    <definedName name="_bdm.3C0A5DFB33C143A7B0202F03660F87C5.edm" hidden="1">#REF!</definedName>
    <definedName name="_bdm.41B7446C4C634C0CB571A940C585DD1B.edm" localSheetId="10" hidden="1">'Comps - Dataset'!#REF!</definedName>
    <definedName name="_bdm.41B7446C4C634C0CB571A940C585DD1B.edm" localSheetId="9" hidden="1">'Comps - Outputs'!#REF!</definedName>
    <definedName name="_bdm.41B7446C4C634C0CB571A940C585DD1B.edm" localSheetId="8" hidden="1">'Comps - Selection'!#REF!</definedName>
    <definedName name="_bdm.41B7446C4C634C0CB571A940C585DD1B.edm" localSheetId="4" hidden="1">#REF!</definedName>
    <definedName name="_bdm.41B7446C4C634C0CB571A940C585DD1B.edm" localSheetId="14" hidden="1">#REF!</definedName>
    <definedName name="_bdm.41B7446C4C634C0CB571A940C585DD1B.edm" localSheetId="16" hidden="1">#REF!</definedName>
    <definedName name="_bdm.41B7446C4C634C0CB571A940C585DD1B.edm" localSheetId="15" hidden="1">#REF!</definedName>
    <definedName name="_bdm.41B7446C4C634C0CB571A940C585DD1B.edm" hidden="1">#REF!</definedName>
    <definedName name="_bdm.81B7163CBAB1482A99AEE9197FE3F766.edm" localSheetId="9" hidden="1">'Comps - Outputs'!$B$3:$T$55</definedName>
    <definedName name="_bdm.81B7163CBAB1482A99AEE9197FE3F766.edm" localSheetId="8" hidden="1">'Comps - Selection'!$B$3:$G$55</definedName>
    <definedName name="_bdm.FE6090C7BB534607AA65AE506BE77591.edm" localSheetId="3" hidden="1">'DCF - Financials'!$1:$1048576</definedName>
    <definedName name="AccPayablePercentofCOGS" localSheetId="4">'[1]LGF Assumptions'!$B$81:$O$81</definedName>
    <definedName name="AccPayablePercentofCOGS" localSheetId="14">'[2]Wynn Assumptions'!$B$77:$S$77</definedName>
    <definedName name="AccPayablePercentofCOGS">'[3]LGF Assumptions'!$B$81:$O$81</definedName>
    <definedName name="ARPercentofSales" localSheetId="4">'[1]LGF Assumptions'!$B$80:$O$80</definedName>
    <definedName name="ARPercentofSales" localSheetId="14">'[2]Wynn Assumptions'!$B$74:$S$74</definedName>
    <definedName name="ARPercentofSales">'[3]LGF Assumptions'!$B$80:$O$80</definedName>
    <definedName name="CAGR_Copy" localSheetId="10">'Comps - Dataset'!#REF!,'Comps - Dataset'!#REF!,'Comps - Dataset'!#REF!</definedName>
    <definedName name="CAGR_Copy" localSheetId="9">'[4]CAGRs - Data Pull (BB)'!$D$4:$N$27,'[4]CAGRs - Data Pull (BB)'!$Q$4:$AA$27,'[4]CAGRs - Data Pull (BB)'!$AE$4:$AG$27</definedName>
    <definedName name="CAGR_Copy" localSheetId="8">'[4]CAGRs - Data Pull (BB)'!$D$4:$N$27,'[4]CAGRs - Data Pull (BB)'!$Q$4:$AA$27,'[4]CAGRs - Data Pull (BB)'!$AE$4:$AG$27</definedName>
    <definedName name="CAGR_Copy" localSheetId="4">'[5]CAGRs - Data Pull (BB)'!$D$4:$N$27,'[5]CAGRs - Data Pull (BB)'!$Q$4:$AA$27,'[5]CAGRs - Data Pull (BB)'!$AE$4:$AG$27</definedName>
    <definedName name="CAGR_Copy">'[6]CAGRs - Data Pull (BB)'!$D$4:$N$27,'[6]CAGRs - Data Pull (BB)'!$Q$4:$AA$27,'[6]CAGRs - Data Pull (BB)'!$AE$4:$AG$27</definedName>
    <definedName name="CAGR_Paste" localSheetId="10">'Comps - Dataset'!#REF!,'Comps - Dataset'!#REF!,'Comps - Dataset'!#REF!</definedName>
    <definedName name="CAGR_Paste" localSheetId="9">'[4]CAGRs - Pasted (BB)'!$D$4:$N$30,'[4]CAGRs - Pasted (BB)'!$R$4:$AB$30,'[4]CAGRs - Pasted (BB)'!$AF$4:$AH$30</definedName>
    <definedName name="CAGR_Paste" localSheetId="8">'[4]CAGRs - Pasted (BB)'!$D$4:$N$30,'[4]CAGRs - Pasted (BB)'!$R$4:$AB$30,'[4]CAGRs - Pasted (BB)'!$AF$4:$AH$30</definedName>
    <definedName name="CAGR_Paste" localSheetId="4">'[5]CAGRs - Pasted (BB)'!$D$4:$N$30,'[5]CAGRs - Pasted (BB)'!$R$4:$AB$30,'[5]CAGRs - Pasted (BB)'!$AF$4:$AH$30</definedName>
    <definedName name="CAGR_Paste">'[6]CAGRs - Pasted (BB)'!$D$4:$N$30,'[6]CAGRs - Pasted (BB)'!$R$4:$AB$30,'[6]CAGRs - Pasted (BB)'!$AF$4:$AH$30</definedName>
    <definedName name="CAPEX" localSheetId="4">'[1]LGF Financials'!$B$76:$O$76</definedName>
    <definedName name="CAPEX" localSheetId="14">'[2]Wynn Financials'!$B$75:$Q$75</definedName>
    <definedName name="CAPEX">'[3]LGF Financials'!$B$76:$O$76</definedName>
    <definedName name="CashInterestRate" localSheetId="4">'[1]LGF Assumptions'!$B$111:$O$111</definedName>
    <definedName name="CashInterestRate" localSheetId="14">'[2]Wynn Assumptions'!$B$97:$S$97</definedName>
    <definedName name="CashInterestRate">'[3]LGF Assumptions'!$B$111:$O$111</definedName>
    <definedName name="Ccy">"USD"</definedName>
    <definedName name="CIQWBGuid" hidden="1">"dc0d3d09-be8e-4cfa-aa6e-b324651c3be9"</definedName>
    <definedName name="CIQWBInfo" hidden="1">"{ ""CIQVersion"":""9.49.2423.4439"" }"</definedName>
    <definedName name="COGS" localSheetId="4">'[1]LGF Assumptions'!$B$45:$O$45</definedName>
    <definedName name="COGS" localSheetId="14">'[2]Wynn Financials'!$B$12:$S$12</definedName>
    <definedName name="COGS">'[3]LGF Assumptions'!$B$45:$O$45</definedName>
    <definedName name="COMPARANA_RWIdentifier" localSheetId="10">'Comps - Dataset'!#REF!</definedName>
    <definedName name="COMPARANA_RWIdentifier" localSheetId="9">'Comps - Outputs'!#REF!</definedName>
    <definedName name="COMPARANA_RWIdentifier" localSheetId="8">'Comps - Selection'!#REF!</definedName>
    <definedName name="COMPARANA_RWIdentifier" localSheetId="7">#REF!</definedName>
    <definedName name="COMPARANA_RWIdentifier" localSheetId="4">#REF!</definedName>
    <definedName name="COMPARANA_RWIdentifier" localSheetId="14">#REF!</definedName>
    <definedName name="COMPARANA_RWIdentifier" localSheetId="15">#REF!</definedName>
    <definedName name="COMPARANA_RWIdentifier">#REF!</definedName>
    <definedName name="COMPS_Copy" localSheetId="10">'Comps - Dataset'!$AQ$13:$AT$39,'Comps - Dataset'!#REF!,'Comps - Dataset'!#REF!,'Comps - Dataset'!#REF!,'Comps - Dataset'!$AU$13:$BI$39</definedName>
    <definedName name="COMPS_Copy" localSheetId="9">'[4]Comps - Data Pull (BB)'!$AF$6:$AG$29,'[4]Comps - Data Pull (BB)'!$AI$6:$AI$29,'[4]Comps - Data Pull (BB)'!$AL$6:$AU$29,'[4]Comps - Data Pull (BB)'!$BE$6:$BE$29,'[4]Comps - Data Pull (BB)'!$BH$6:$BW$29</definedName>
    <definedName name="COMPS_Copy" localSheetId="8">'[4]Comps - Data Pull (BB)'!$AF$6:$AG$29,'[4]Comps - Data Pull (BB)'!$AI$6:$AI$29,'[4]Comps - Data Pull (BB)'!$AL$6:$AU$29,'[4]Comps - Data Pull (BB)'!$BE$6:$BE$29,'[4]Comps - Data Pull (BB)'!$BH$6:$BW$29</definedName>
    <definedName name="COMPS_Copy" localSheetId="4">'[5]Comps - Data Pull (BB)'!$AF$6:$AG$29,'[5]Comps - Data Pull (BB)'!$AI$6:$AI$29,'[5]Comps - Data Pull (BB)'!$AL$6:$AU$29,'[5]Comps - Data Pull (BB)'!$BE$6:$BE$29,'[5]Comps - Data Pull (BB)'!$BH$6:$BW$29</definedName>
    <definedName name="COMPS_Copy">'[6]Comps - Data Pull (BB)'!$AF$6:$AG$29,'[6]Comps - Data Pull (BB)'!$AI$6:$AI$29,'[6]Comps - Data Pull (BB)'!$AL$6:$AU$29,'[6]Comps - Data Pull (BB)'!$BE$6:$BE$29,'[6]Comps - Data Pull (BB)'!$BH$6:$BW$29</definedName>
    <definedName name="COMPS_Paste" localSheetId="9">'Comps - Outputs'!#REF!,'Comps - Outputs'!#REF!,'Comps - Outputs'!#REF!,'Comps - Outputs'!#REF!,'Comps - Outputs'!#REF!</definedName>
    <definedName name="COMPS_Paste" localSheetId="8">'Comps - Selection'!#REF!,'Comps - Selection'!#REF!,'Comps - Selection'!#REF!,'Comps - Selection'!#REF!,'Comps - Selection'!#REF!</definedName>
    <definedName name="COMPS_Paste" localSheetId="7">#REF!,#REF!,#REF!,#REF!,#REF!</definedName>
    <definedName name="COMPS_Paste" localSheetId="4">#REF!,#REF!,#REF!,#REF!,#REF!</definedName>
    <definedName name="COMPS_Paste" localSheetId="14">#REF!,#REF!,#REF!,#REF!,#REF!</definedName>
    <definedName name="COMPS_Paste" localSheetId="15">#REF!,#REF!,#REF!,#REF!,#REF!</definedName>
    <definedName name="COMPS_Paste">#REF!,#REF!,#REF!,#REF!,#REF!</definedName>
    <definedName name="Conv">"h"</definedName>
    <definedName name="DeltaWorkingCapital" localSheetId="4">'[1]LGF Financials'!$B$66:$O$66</definedName>
    <definedName name="DeltaWorkingCapital" localSheetId="14">'[2]Wynn Financials'!$B$63:$Q$63</definedName>
    <definedName name="DeltaWorkingCapital">'[3]LGF Financials'!$B$66:$O$66</definedName>
    <definedName name="Depreciation" localSheetId="4">'[1]LGF Financials'!$B$47:$O$47</definedName>
    <definedName name="Depreciation" localSheetId="14">'[2]Wynn Financials'!$B$50:$Q$50</definedName>
    <definedName name="Depreciation">'[3]LGF Financials'!$B$47:$O$47</definedName>
    <definedName name="DistMarketingAsPerSales" localSheetId="4">'DCF - Capital Structure'!#REF!</definedName>
    <definedName name="DistMarketingAsPerSales">'[3]LGF Assumptions'!$B$47:$O$47</definedName>
    <definedName name="EBIT" localSheetId="4">'[1]LGF Financials'!$B$21:$O$21</definedName>
    <definedName name="EBIT" localSheetId="14">'[2]Wynn Financials'!$B$19:$Q$19</definedName>
    <definedName name="EBIT">'[3]LGF Financials'!$B$21:$O$21</definedName>
    <definedName name="Exit_Multiple" localSheetId="9">'Comps - Outputs'!#REF!</definedName>
    <definedName name="Exit_Multiple" localSheetId="8">'Comps - Selection'!#REF!</definedName>
    <definedName name="Exit_Multiple" localSheetId="7">#REF!</definedName>
    <definedName name="Exit_Multiple" localSheetId="4">#REF!</definedName>
    <definedName name="Exit_Multiple">#REF!</definedName>
    <definedName name="fact0" localSheetId="4">[7]Sheet1!$O$19:$P$34,[7]Sheet1!$O$9:'[7]Sheet1'!$O$9:$P$10,[7]Sheet1!$O$19:$P$34:'[7]Sheet1'!$P$35</definedName>
    <definedName name="fact0">[8]Sheet1!$O$19:$P$34,[8]Sheet1!$O$9:'[8]Sheet1'!$O$9:$P$10,[8]Sheet1!$O$19:$P$34:'[8]Sheet1'!$P$35</definedName>
    <definedName name="GRAPHNAME" localSheetId="10">OFFSET('[9]FI Company Debt with Ownership'!#REF!,0,0,COUNTA('[9]FI Company Debt with Ownership'!#REF!)-0)</definedName>
    <definedName name="GRAPHNAME" localSheetId="9">OFFSET('[9]FI Company Debt with Ownership'!#REF!,0,0,COUNTA('[9]FI Company Debt with Ownership'!#REF!)-0)</definedName>
    <definedName name="GRAPHNAME" localSheetId="8">OFFSET('[9]FI Company Debt with Ownership'!#REF!,0,0,COUNTA('[9]FI Company Debt with Ownership'!#REF!)-0)</definedName>
    <definedName name="GRAPHNAME" localSheetId="0">OFFSET('[8]FI Company Debt with Ownership'!#REF!,0,0,COUNTA('[8]FI Company Debt with Ownership'!#REF!)-0)</definedName>
    <definedName name="GRAPHNAME" localSheetId="7">OFFSET('[8]FI Company Debt with Ownership'!#REF!,0,0,COUNTA('[8]FI Company Debt with Ownership'!#REF!)-0)</definedName>
    <definedName name="GRAPHNAME" localSheetId="4">OFFSET('[7]FI Company Debt with Ownership'!#REF!,0,0,COUNTA('[7]FI Company Debt with Ownership'!#REF!)-0)</definedName>
    <definedName name="GRAPHNAME">OFFSET('[8]FI Company Debt with Ownership'!#REF!,0,0,COUNTA('[8]FI Company Debt with Ownership'!#REF!)-0)</definedName>
    <definedName name="GRAPHNAME2" localSheetId="10">OFFSET('[9]FI Company Debt with Ownership'!#REF!,0,0,COUNTA('[9]FI Company Debt with Ownership'!#REF!)-0)</definedName>
    <definedName name="GRAPHNAME2" localSheetId="9">OFFSET('[9]FI Company Debt with Ownership'!#REF!,0,0,COUNTA('[9]FI Company Debt with Ownership'!#REF!)-0)</definedName>
    <definedName name="GRAPHNAME2" localSheetId="8">OFFSET('[9]FI Company Debt with Ownership'!#REF!,0,0,COUNTA('[9]FI Company Debt with Ownership'!#REF!)-0)</definedName>
    <definedName name="GRAPHNAME2" localSheetId="0">OFFSET('[8]FI Company Debt with Ownership'!#REF!,0,0,COUNTA('[8]FI Company Debt with Ownership'!#REF!)-0)</definedName>
    <definedName name="GRAPHNAME2" localSheetId="7">OFFSET('[8]FI Company Debt with Ownership'!#REF!,0,0,COUNTA('[8]FI Company Debt with Ownership'!#REF!)-0)</definedName>
    <definedName name="GRAPHNAME2" localSheetId="4">OFFSET('[7]FI Company Debt with Ownership'!#REF!,0,0,COUNTA('[7]FI Company Debt with Ownership'!#REF!)-0)</definedName>
    <definedName name="GRAPHNAME2">OFFSET('[8]FI Company Debt with Ownership'!#REF!,0,0,COUNTA('[8]FI Company Debt with Ownership'!#REF!)-0)</definedName>
    <definedName name="GRAPHVALUE" localSheetId="10">OFFSET('[9]FI Company Debt with Ownership'!#REF!,0,0,COUNTA('[9]FI Company Debt with Ownership'!#REF!)-0)</definedName>
    <definedName name="GRAPHVALUE" localSheetId="9">OFFSET('[9]FI Company Debt with Ownership'!#REF!,0,0,COUNTA('[9]FI Company Debt with Ownership'!#REF!)-0)</definedName>
    <definedName name="GRAPHVALUE" localSheetId="8">OFFSET('[9]FI Company Debt with Ownership'!#REF!,0,0,COUNTA('[9]FI Company Debt with Ownership'!#REF!)-0)</definedName>
    <definedName name="GRAPHVALUE" localSheetId="0">OFFSET('[8]FI Company Debt with Ownership'!#REF!,0,0,COUNTA('[8]FI Company Debt with Ownership'!#REF!)-0)</definedName>
    <definedName name="GRAPHVALUE" localSheetId="7">OFFSET('[8]FI Company Debt with Ownership'!#REF!,0,0,COUNTA('[8]FI Company Debt with Ownership'!#REF!)-0)</definedName>
    <definedName name="GRAPHVALUE" localSheetId="4">OFFSET('[7]FI Company Debt with Ownership'!#REF!,0,0,COUNTA('[7]FI Company Debt with Ownership'!#REF!)-0)</definedName>
    <definedName name="GRAPHVALUE">OFFSET('[8]FI Company Debt with Ownership'!#REF!,0,0,COUNTA('[8]FI Company Debt with Ownership'!#REF!)-0)</definedName>
    <definedName name="GRAPHVOTES" localSheetId="10">OFFSET('[9]FI Company Debt with Ownership'!#REF!,0,0,COUNTA('[9]FI Company Debt with Ownership'!#REF!)-0)</definedName>
    <definedName name="GRAPHVOTES" localSheetId="9">OFFSET('[9]FI Company Debt with Ownership'!#REF!,0,0,COUNTA('[9]FI Company Debt with Ownership'!#REF!)-0)</definedName>
    <definedName name="GRAPHVOTES" localSheetId="8">OFFSET('[9]FI Company Debt with Ownership'!#REF!,0,0,COUNTA('[9]FI Company Debt with Ownership'!#REF!)-0)</definedName>
    <definedName name="GRAPHVOTES" localSheetId="0">OFFSET('[8]FI Company Debt with Ownership'!#REF!,0,0,COUNTA('[8]FI Company Debt with Ownership'!#REF!)-0)</definedName>
    <definedName name="GRAPHVOTES" localSheetId="7">OFFSET('[8]FI Company Debt with Ownership'!#REF!,0,0,COUNTA('[8]FI Company Debt with Ownership'!#REF!)-0)</definedName>
    <definedName name="GRAPHVOTES" localSheetId="4">OFFSET('[7]FI Company Debt with Ownership'!#REF!,0,0,COUNTA('[7]FI Company Debt with Ownership'!#REF!)-0)</definedName>
    <definedName name="GRAPHVOTES">OFFSET('[8]FI Company Debt with Ownership'!#REF!,0,0,COUNTA('[8]FI Company Debt with Ownership'!#REF!)-0)</definedName>
    <definedName name="GrossMargin" localSheetId="4">'DCF - Capital Structure'!#REF!</definedName>
    <definedName name="GrossMargin" localSheetId="16">'[10]Wynn DCF Assumptions (LBO)'!#REF!</definedName>
    <definedName name="GrossMargin">'[3]LGF Assumptions'!$B$48:$O$48</definedName>
    <definedName name="Identifier_1" localSheetId="10">'Comps - Dataset'!#REF!</definedName>
    <definedName name="Identifier_1" localSheetId="9">'Comps - Outputs'!#REF!</definedName>
    <definedName name="Identifier_1" localSheetId="8">'Comps - Selection'!#REF!</definedName>
    <definedName name="Identifier_1" localSheetId="7">#REF!</definedName>
    <definedName name="Identifier_1" localSheetId="4">#REF!</definedName>
    <definedName name="Identifier_1" localSheetId="14">#REF!</definedName>
    <definedName name="Identifier_1" localSheetId="15">#REF!</definedName>
    <definedName name="Identifier_1">#REF!</definedName>
    <definedName name="Identifier_2" localSheetId="10">'Comps - Dataset'!#REF!</definedName>
    <definedName name="Identifier_2" localSheetId="9">'Comps - Outputs'!#REF!</definedName>
    <definedName name="Identifier_2" localSheetId="8">'Comps - Selection'!#REF!</definedName>
    <definedName name="Identifier_2" localSheetId="4">#REF!</definedName>
    <definedName name="Identifier_2" localSheetId="14">#REF!</definedName>
    <definedName name="Identifier_2" localSheetId="15">#REF!</definedName>
    <definedName name="Identifier_2">#REF!</definedName>
    <definedName name="InventoryPercOfCOGS" localSheetId="4">'[10]Wynn DCF Assumptions (LBO)'!$B$90:$T$90</definedName>
    <definedName name="InventoryPercOfCOGS" localSheetId="14">'[2]Wynn Assumptions'!$B$75:$S$75</definedName>
    <definedName name="InventoryPercOfCOGS">'[11]Wynn DCF Assumptions (LBO)'!$B$90:$T$90</definedName>
    <definedName name="IQ_ADDIN" hidden="1">"AUTO"</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"11/24/2014 02:22:42"</definedName>
    <definedName name="IQ_NTM" hidden="1">6000</definedName>
    <definedName name="IQ_OPENED55" hidden="1">1</definedName>
    <definedName name="IQ_QTD" hidden="1">750000</definedName>
    <definedName name="IQ_TODAY" hidden="1">0</definedName>
    <definedName name="IQ_WEEK" hidden="1">50000</definedName>
    <definedName name="IQ_YTD" hidden="1">3000</definedName>
    <definedName name="IQ_YTDMONTH" hidden="1">130000</definedName>
    <definedName name="OpCashFlow" localSheetId="4">'[1]LGF Financials'!$B$68:$O$68</definedName>
    <definedName name="OpCashFlow">'[3]LGF Financials'!$B$68:$O$68</definedName>
    <definedName name="OtherCurLiabPercOfCOGS" localSheetId="4">'[1]LGF Assumptions'!$B$83:$O$83</definedName>
    <definedName name="OtherCurLiabPercOfCOGS" localSheetId="14">'[2]Wynn Assumptions'!$B$78:$S$78</definedName>
    <definedName name="OtherCurLiabPercOfCOGS">'[3]LGF Assumptions'!$B$83:$O$83</definedName>
    <definedName name="PartAndResidAsPerSales" localSheetId="4">'DCF - Capital Structure'!#REF!</definedName>
    <definedName name="PartAndResidAsPerSales">'[3]LGF Assumptions'!$B$46:$O$46</definedName>
    <definedName name="_xlnm.Print_Area" localSheetId="0">'Cover Sheet'!$A$3:$I$50</definedName>
    <definedName name="RD" localSheetId="10">'[12]Wynn Financials (LBO)'!#REF!</definedName>
    <definedName name="RD" localSheetId="9">'[12]Wynn Financials (LBO)'!#REF!</definedName>
    <definedName name="RD" localSheetId="8">'[12]Wynn Financials (LBO)'!#REF!</definedName>
    <definedName name="RD" localSheetId="7">'[11]Wynn Financials (LBO)'!#REF!</definedName>
    <definedName name="RD" localSheetId="4">'[10]Wynn Financials (LBO)'!#REF!</definedName>
    <definedName name="RD" localSheetId="14">'[2]Wynn Financials'!#REF!</definedName>
    <definedName name="RD" localSheetId="16">'[10]Wynn Financials (LBO)'!#REF!</definedName>
    <definedName name="RD">'[11]Wynn Financials (LBO)'!#REF!</definedName>
    <definedName name="RDPercentofSales" localSheetId="10">'[12]Wynn DCF Assumptions (LBO)'!#REF!</definedName>
    <definedName name="RDPercentofSales" localSheetId="9">'[12]Wynn DCF Assumptions (LBO)'!#REF!</definedName>
    <definedName name="RDPercentofSales" localSheetId="8">'[12]Wynn DCF Assumptions (LBO)'!#REF!</definedName>
    <definedName name="RDPercentofSales" localSheetId="7">'[11]Wynn DCF Assumptions (LBO)'!#REF!</definedName>
    <definedName name="RDPercentofSales" localSheetId="4">'[10]Wynn DCF Assumptions (LBO)'!#REF!</definedName>
    <definedName name="RDPercentofSales" localSheetId="14">'[2]Wynn Assumptions'!#REF!</definedName>
    <definedName name="RDPercentofSales" localSheetId="16">'[10]Wynn DCF Assumptions (LBO)'!#REF!</definedName>
    <definedName name="RDPercentofSales">'[11]Wynn DCF Assumptions (LBO)'!#REF!</definedName>
    <definedName name="Rev_MP" localSheetId="10">'Comps - Dataset'!#REF!</definedName>
    <definedName name="Rev_MP" localSheetId="9">'Comps - Outputs'!#REF!</definedName>
    <definedName name="Rev_MP" localSheetId="8">'Comps - Selection'!#REF!</definedName>
    <definedName name="Rev_MP" localSheetId="0">#REF!</definedName>
    <definedName name="Rev_MP" localSheetId="7">#REF!</definedName>
    <definedName name="Rev_MP" localSheetId="4">#REF!</definedName>
    <definedName name="Rev_MP" localSheetId="14">#REF!</definedName>
    <definedName name="Rev_MP" localSheetId="16">#REF!</definedName>
    <definedName name="Rev_MP" localSheetId="15">#REF!</definedName>
    <definedName name="Rev_MP">#REF!</definedName>
    <definedName name="Rev_TV" localSheetId="10">'Comps - Dataset'!#REF!</definedName>
    <definedName name="Rev_TV" localSheetId="9">'Comps - Outputs'!#REF!</definedName>
    <definedName name="Rev_TV" localSheetId="8">'Comps - Selection'!#REF!</definedName>
    <definedName name="Rev_TV" localSheetId="7">#REF!</definedName>
    <definedName name="Rev_TV" localSheetId="4">#REF!</definedName>
    <definedName name="Rev_TV" localSheetId="14">#REF!</definedName>
    <definedName name="Rev_TV" localSheetId="16">#REF!</definedName>
    <definedName name="Rev_TV" localSheetId="15">#REF!</definedName>
    <definedName name="Rev_TV">#REF!</definedName>
    <definedName name="SGA" localSheetId="4">'[1]LGF Financials'!$B$16:$O$16</definedName>
    <definedName name="SGA" localSheetId="14">'[2]Wynn Financials'!$B$15:$Q$15</definedName>
    <definedName name="SGA" localSheetId="16">'[10]Wynn Financials (LBO)'!#REF!</definedName>
    <definedName name="SGA">'[3]LGF Financials'!$B$16:$O$16</definedName>
    <definedName name="SGAPercentofSales" localSheetId="4">'DCF - Capital Structure'!#REF!</definedName>
    <definedName name="SGAPercentofSales" localSheetId="16">'[10]Wynn DCF Assumptions (LBO)'!#REF!</definedName>
    <definedName name="SGAPercentofSales">'[3]LGF Assumptions'!$B$49:$O$49</definedName>
    <definedName name="SpreadsheetBuilder_1" hidden="1">#REF!</definedName>
    <definedName name="TaxRate" localSheetId="4">'DCF - Capital Structure'!#REF!</definedName>
    <definedName name="TaxRate" localSheetId="14">'[2]Wynn Assumptions'!$B$68:$Q$68</definedName>
    <definedName name="TaxRate">'[3]LGF Assumptions'!$B$57:$O$57</definedName>
    <definedName name="thousand">1000</definedName>
    <definedName name="thousands">1000</definedName>
    <definedName name="TotalRevenues" localSheetId="4">'[1]LGF Financials'!$B$9:$O$9</definedName>
    <definedName name="TotalRevenues" localSheetId="14">'[2]Wynn Financials'!$B$10:$S$10</definedName>
    <definedName name="TotalRevenues">'[3]LGF Financials'!$B$9:$O$9</definedName>
  </definedNames>
  <calcPr calcId="191028" calcMode="autoNoTable" iterate="1" iterateCount="3" iterateDelta="0.0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3" i="16" l="1"/>
  <c r="F34" i="16" s="1"/>
  <c r="J34" i="16"/>
  <c r="J33" i="16"/>
  <c r="J32" i="16"/>
  <c r="F32" i="16"/>
  <c r="F31" i="16"/>
  <c r="F30" i="16"/>
  <c r="J30" i="16"/>
  <c r="F29" i="16"/>
  <c r="F28" i="16"/>
  <c r="J29" i="16"/>
  <c r="J28" i="16"/>
  <c r="F68" i="25"/>
  <c r="D68" i="25"/>
  <c r="D58" i="25"/>
  <c r="D59" i="25" s="1"/>
  <c r="F58" i="25"/>
  <c r="F59" i="25" s="1"/>
  <c r="D62" i="25"/>
  <c r="F62" i="25"/>
  <c r="D63" i="25"/>
  <c r="E46" i="23"/>
  <c r="F66" i="25"/>
  <c r="D66" i="25"/>
  <c r="F63" i="25"/>
  <c r="F61" i="25"/>
  <c r="D61" i="25"/>
  <c r="O54" i="3"/>
  <c r="P49" i="3"/>
  <c r="O49" i="3"/>
  <c r="O173" i="3"/>
  <c r="S75" i="4"/>
  <c r="R75" i="4"/>
  <c r="Q75" i="4"/>
  <c r="P75" i="4"/>
  <c r="O75" i="4"/>
  <c r="N75" i="4"/>
  <c r="M75" i="4"/>
  <c r="D20" i="5"/>
  <c r="R45" i="3"/>
  <c r="Q45" i="3"/>
  <c r="P45" i="3"/>
  <c r="O45" i="3"/>
  <c r="N45" i="3"/>
  <c r="O44" i="3"/>
  <c r="R192" i="3" l="1"/>
  <c r="Q192" i="3"/>
  <c r="P192" i="3"/>
  <c r="O192" i="3"/>
  <c r="N192" i="3"/>
  <c r="M192" i="3"/>
  <c r="L192" i="3"/>
  <c r="M155" i="3"/>
  <c r="L155" i="3"/>
  <c r="O156" i="3"/>
  <c r="N156" i="3"/>
  <c r="M156" i="3"/>
  <c r="L156" i="3"/>
  <c r="Q147" i="3"/>
  <c r="P147" i="3"/>
  <c r="O147" i="3"/>
  <c r="N147" i="3"/>
  <c r="M147" i="3"/>
  <c r="L147" i="3"/>
  <c r="R146" i="3"/>
  <c r="Q146" i="3"/>
  <c r="P146" i="3"/>
  <c r="O146" i="3"/>
  <c r="N146" i="3"/>
  <c r="M146" i="3"/>
  <c r="L146" i="3"/>
  <c r="S54" i="3"/>
  <c r="R54" i="3"/>
  <c r="Q54" i="3"/>
  <c r="P44" i="3"/>
  <c r="Q44" i="3" s="1"/>
  <c r="O40" i="3"/>
  <c r="P39" i="3"/>
  <c r="Q39" i="3" s="1"/>
  <c r="R39" i="3" s="1"/>
  <c r="Q33" i="3"/>
  <c r="P33" i="3"/>
  <c r="O33" i="3"/>
  <c r="N33" i="3"/>
  <c r="M33" i="3"/>
  <c r="L33" i="3"/>
  <c r="Q34" i="3"/>
  <c r="R34" i="3" s="1"/>
  <c r="N48" i="3"/>
  <c r="S49" i="3"/>
  <c r="R49" i="3"/>
  <c r="Q49" i="3"/>
  <c r="O38" i="3"/>
  <c r="P38" i="3" l="1"/>
  <c r="S34" i="3"/>
  <c r="R33" i="3"/>
  <c r="S192" i="3"/>
  <c r="S55" i="3"/>
  <c r="S53" i="3"/>
  <c r="R53" i="3"/>
  <c r="Q53" i="3"/>
  <c r="P53" i="3"/>
  <c r="O53" i="3"/>
  <c r="N53" i="3"/>
  <c r="M53" i="3"/>
  <c r="L53" i="3"/>
  <c r="R55" i="3"/>
  <c r="Q55" i="3"/>
  <c r="P55" i="3"/>
  <c r="O55" i="3"/>
  <c r="N55" i="3"/>
  <c r="M55" i="3"/>
  <c r="L55" i="3"/>
  <c r="N50" i="3"/>
  <c r="M50" i="3"/>
  <c r="L50" i="3"/>
  <c r="S50" i="3"/>
  <c r="R50" i="3"/>
  <c r="Q50" i="3"/>
  <c r="P50" i="3"/>
  <c r="O50" i="3"/>
  <c r="S48" i="3"/>
  <c r="R48" i="3"/>
  <c r="Q48" i="3"/>
  <c r="P48" i="3"/>
  <c r="O48" i="3"/>
  <c r="M48" i="3"/>
  <c r="L48" i="3"/>
  <c r="M45" i="3"/>
  <c r="L45" i="3"/>
  <c r="Q43" i="3"/>
  <c r="P43" i="3"/>
  <c r="O43" i="3"/>
  <c r="N43" i="3"/>
  <c r="M43" i="3"/>
  <c r="L43" i="3"/>
  <c r="R44" i="3"/>
  <c r="S44" i="3" s="1"/>
  <c r="S45" i="3" s="1"/>
  <c r="Q38" i="3"/>
  <c r="L38" i="3"/>
  <c r="N38" i="3"/>
  <c r="M38" i="3"/>
  <c r="M40" i="3"/>
  <c r="L40" i="3"/>
  <c r="Q40" i="3"/>
  <c r="P40" i="3"/>
  <c r="N40" i="3"/>
  <c r="S33" i="3"/>
  <c r="K125" i="3"/>
  <c r="J125" i="3"/>
  <c r="I125" i="3"/>
  <c r="O67" i="3"/>
  <c r="N67" i="3"/>
  <c r="M67" i="3"/>
  <c r="L67" i="3"/>
  <c r="Q37" i="3"/>
  <c r="P37" i="3"/>
  <c r="O37" i="3"/>
  <c r="N37" i="3"/>
  <c r="M37" i="3"/>
  <c r="L37" i="3"/>
  <c r="S32" i="3"/>
  <c r="R32" i="3"/>
  <c r="Q32" i="3"/>
  <c r="P32" i="3"/>
  <c r="O32" i="3"/>
  <c r="N32" i="3"/>
  <c r="N81" i="3" s="1"/>
  <c r="M32" i="3"/>
  <c r="M81" i="3" s="1"/>
  <c r="L32" i="3"/>
  <c r="L81" i="3" s="1"/>
  <c r="L80" i="3" s="1"/>
  <c r="F14" i="16"/>
  <c r="B22" i="16"/>
  <c r="D12" i="5"/>
  <c r="D10" i="5"/>
  <c r="J13" i="16"/>
  <c r="S43" i="3" l="1"/>
  <c r="R43" i="3"/>
  <c r="R37" i="3"/>
  <c r="M80" i="3"/>
  <c r="N80" i="3" s="1"/>
  <c r="D15" i="5"/>
  <c r="D17" i="5" s="1"/>
  <c r="Y13" i="23"/>
  <c r="S39" i="3" l="1"/>
  <c r="R40" i="3"/>
  <c r="R38" i="3"/>
  <c r="F55" i="25"/>
  <c r="D55" i="25"/>
  <c r="F44" i="25"/>
  <c r="B34" i="25"/>
  <c r="F70" i="25"/>
  <c r="D70" i="25"/>
  <c r="B13" i="25"/>
  <c r="B19" i="25"/>
  <c r="D19" i="25" s="1"/>
  <c r="B36" i="25"/>
  <c r="S40" i="3" l="1"/>
  <c r="S38" i="3"/>
  <c r="S37" i="3"/>
  <c r="F19" i="25"/>
  <c r="I54" i="2"/>
  <c r="H54" i="2"/>
  <c r="G54" i="2"/>
  <c r="K49" i="2"/>
  <c r="J49" i="2"/>
  <c r="I49" i="2"/>
  <c r="H49" i="2"/>
  <c r="G49" i="2"/>
  <c r="K12" i="2"/>
  <c r="J12" i="2"/>
  <c r="I12" i="2"/>
  <c r="H12" i="2"/>
  <c r="G16" i="2"/>
  <c r="C29" i="5"/>
  <c r="L55" i="4"/>
  <c r="P45" i="4"/>
  <c r="Q45" i="4" s="1"/>
  <c r="R45" i="4" s="1"/>
  <c r="S45" i="4" s="1"/>
  <c r="O45" i="4"/>
  <c r="O29" i="4"/>
  <c r="N29" i="4"/>
  <c r="M30" i="4"/>
  <c r="L29" i="4"/>
  <c r="L30" i="4"/>
  <c r="K29" i="4"/>
  <c r="K30" i="4"/>
  <c r="J30" i="4"/>
  <c r="I30" i="4"/>
  <c r="H30" i="4"/>
  <c r="L111" i="2"/>
  <c r="K110" i="2"/>
  <c r="K107" i="2"/>
  <c r="K108" i="2"/>
  <c r="K111" i="2" s="1"/>
  <c r="H15" i="4"/>
  <c r="L13" i="4"/>
  <c r="K11" i="2"/>
  <c r="K9" i="2"/>
  <c r="K172" i="3"/>
  <c r="K173" i="3"/>
  <c r="J173" i="3"/>
  <c r="I173" i="3"/>
  <c r="H173" i="3"/>
  <c r="S165" i="3"/>
  <c r="R165" i="3"/>
  <c r="Q165" i="3"/>
  <c r="P165" i="3"/>
  <c r="O165" i="3"/>
  <c r="N165" i="3"/>
  <c r="M165" i="3"/>
  <c r="L165" i="3"/>
  <c r="L67" i="23"/>
  <c r="M67" i="23"/>
  <c r="N67" i="23"/>
  <c r="P67" i="23"/>
  <c r="Q67" i="23"/>
  <c r="R67" i="23"/>
  <c r="S67" i="23"/>
  <c r="T67" i="23"/>
  <c r="U67" i="23"/>
  <c r="V67" i="23"/>
  <c r="W67" i="23"/>
  <c r="Y67" i="23"/>
  <c r="Z67" i="23"/>
  <c r="AA67" i="23"/>
  <c r="AB67" i="23"/>
  <c r="AC67" i="23"/>
  <c r="AD67" i="23"/>
  <c r="AE67" i="23"/>
  <c r="AF67" i="23"/>
  <c r="AG67" i="23"/>
  <c r="AH67" i="23"/>
  <c r="AI67" i="23"/>
  <c r="AJ67" i="23"/>
  <c r="AK67" i="23"/>
  <c r="AL67" i="23"/>
  <c r="AM67" i="23"/>
  <c r="AN67" i="23"/>
  <c r="AO67" i="23"/>
  <c r="AP67" i="23"/>
  <c r="AQ67" i="23"/>
  <c r="AR67" i="23"/>
  <c r="AS67" i="23"/>
  <c r="AT67" i="23"/>
  <c r="AU67" i="23"/>
  <c r="AV67" i="23"/>
  <c r="AW67" i="23"/>
  <c r="AX67" i="23"/>
  <c r="AY67" i="23"/>
  <c r="AZ67" i="23"/>
  <c r="BA67" i="23"/>
  <c r="BB67" i="23"/>
  <c r="BC67" i="23"/>
  <c r="BD67" i="23"/>
  <c r="BE67" i="23"/>
  <c r="BF67" i="23"/>
  <c r="BG67" i="23"/>
  <c r="BH67" i="23"/>
  <c r="BI67" i="23"/>
  <c r="BJ67" i="23"/>
  <c r="BK67" i="23"/>
  <c r="BL67" i="23"/>
  <c r="BM67" i="23"/>
  <c r="BN67" i="23"/>
  <c r="BO67" i="23"/>
  <c r="BP67" i="23"/>
  <c r="BQ67" i="23"/>
  <c r="BR67" i="23"/>
  <c r="BS67" i="23"/>
  <c r="BT67" i="23"/>
  <c r="BU67" i="23"/>
  <c r="BV67" i="23"/>
  <c r="BW67" i="23"/>
  <c r="BX67" i="23"/>
  <c r="BY67" i="23"/>
  <c r="G67" i="23"/>
  <c r="H67" i="23"/>
  <c r="I67" i="23"/>
  <c r="J67" i="23"/>
  <c r="K67" i="23"/>
  <c r="B34" i="24"/>
  <c r="B33" i="24"/>
  <c r="B32" i="24"/>
  <c r="B31" i="24"/>
  <c r="B30" i="24"/>
  <c r="B29" i="24"/>
  <c r="B28" i="24"/>
  <c r="B27" i="24"/>
  <c r="B26" i="24"/>
  <c r="B25" i="24"/>
  <c r="B24" i="24"/>
  <c r="B43" i="24"/>
  <c r="B42" i="24"/>
  <c r="B41" i="24"/>
  <c r="B43" i="25" s="1"/>
  <c r="B40" i="24"/>
  <c r="J60" i="21"/>
  <c r="I60" i="21"/>
  <c r="H60" i="21"/>
  <c r="G60" i="21"/>
  <c r="O167" i="9"/>
  <c r="O166" i="9"/>
  <c r="O165" i="9"/>
  <c r="O164" i="9"/>
  <c r="O163" i="9"/>
  <c r="O162" i="9"/>
  <c r="O161" i="9"/>
  <c r="O160" i="9"/>
  <c r="O159" i="9"/>
  <c r="O158" i="9"/>
  <c r="O157" i="9"/>
  <c r="O156" i="9"/>
  <c r="O155" i="9"/>
  <c r="O154" i="9"/>
  <c r="O153" i="9"/>
  <c r="O152" i="9"/>
  <c r="O151" i="9"/>
  <c r="O150" i="9"/>
  <c r="O149" i="9"/>
  <c r="O148" i="9"/>
  <c r="O147" i="9"/>
  <c r="O146" i="9"/>
  <c r="O145" i="9"/>
  <c r="O144" i="9"/>
  <c r="O143" i="9"/>
  <c r="O142" i="9"/>
  <c r="O141" i="9"/>
  <c r="O140" i="9"/>
  <c r="O139" i="9"/>
  <c r="O138" i="9"/>
  <c r="O137" i="9"/>
  <c r="O136" i="9"/>
  <c r="O135" i="9"/>
  <c r="O134" i="9"/>
  <c r="O133" i="9"/>
  <c r="O132" i="9"/>
  <c r="O131" i="9"/>
  <c r="O130" i="9"/>
  <c r="O129" i="9"/>
  <c r="O128" i="9"/>
  <c r="O127" i="9"/>
  <c r="O126" i="9"/>
  <c r="O125" i="9"/>
  <c r="O124" i="9"/>
  <c r="O123" i="9"/>
  <c r="O122" i="9"/>
  <c r="O121" i="9"/>
  <c r="O120" i="9"/>
  <c r="O119" i="9"/>
  <c r="O118" i="9"/>
  <c r="O117" i="9"/>
  <c r="O116" i="9"/>
  <c r="O115" i="9"/>
  <c r="O114" i="9"/>
  <c r="O113" i="9"/>
  <c r="O112" i="9"/>
  <c r="O111" i="9"/>
  <c r="O110" i="9"/>
  <c r="O109" i="9"/>
  <c r="O108" i="9"/>
  <c r="O107" i="9"/>
  <c r="O106" i="9"/>
  <c r="O105" i="9"/>
  <c r="O104" i="9"/>
  <c r="O103" i="9"/>
  <c r="O102" i="9"/>
  <c r="O101" i="9"/>
  <c r="O100" i="9"/>
  <c r="O99" i="9"/>
  <c r="O98" i="9"/>
  <c r="O97" i="9"/>
  <c r="O96" i="9"/>
  <c r="O95" i="9"/>
  <c r="O94" i="9"/>
  <c r="O93" i="9"/>
  <c r="O92" i="9"/>
  <c r="O91" i="9"/>
  <c r="O90" i="9"/>
  <c r="O89" i="9"/>
  <c r="O88" i="9"/>
  <c r="O87" i="9"/>
  <c r="O86" i="9"/>
  <c r="O85" i="9"/>
  <c r="O84" i="9"/>
  <c r="O83" i="9"/>
  <c r="O82" i="9"/>
  <c r="O81" i="9"/>
  <c r="O80" i="9"/>
  <c r="O79" i="9"/>
  <c r="O78" i="9"/>
  <c r="O77" i="9"/>
  <c r="O76" i="9"/>
  <c r="O75" i="9"/>
  <c r="O74" i="9"/>
  <c r="O73" i="9"/>
  <c r="O72" i="9"/>
  <c r="O71" i="9"/>
  <c r="O70" i="9"/>
  <c r="O69" i="9"/>
  <c r="O68" i="9"/>
  <c r="O67" i="9"/>
  <c r="O66" i="9"/>
  <c r="O65" i="9"/>
  <c r="O64" i="9"/>
  <c r="O63" i="9"/>
  <c r="O62" i="9"/>
  <c r="O61" i="9"/>
  <c r="O60" i="9"/>
  <c r="O59" i="9"/>
  <c r="O58" i="9"/>
  <c r="O57" i="9"/>
  <c r="O56" i="9"/>
  <c r="O55" i="9"/>
  <c r="O54" i="9"/>
  <c r="O53" i="9"/>
  <c r="O52" i="9"/>
  <c r="O51" i="9"/>
  <c r="O50" i="9"/>
  <c r="O49" i="9"/>
  <c r="O48" i="9"/>
  <c r="O47" i="9"/>
  <c r="O46" i="9"/>
  <c r="O45" i="9"/>
  <c r="O44" i="9"/>
  <c r="O43" i="9"/>
  <c r="O42" i="9"/>
  <c r="O41" i="9"/>
  <c r="O40" i="9"/>
  <c r="O39" i="9"/>
  <c r="O38" i="9"/>
  <c r="O37" i="9"/>
  <c r="O36" i="9"/>
  <c r="O35" i="9"/>
  <c r="O34" i="9"/>
  <c r="O33" i="9"/>
  <c r="O32" i="9"/>
  <c r="O31" i="9"/>
  <c r="O30" i="9"/>
  <c r="O29" i="9"/>
  <c r="O28" i="9"/>
  <c r="O27" i="9"/>
  <c r="O26" i="9"/>
  <c r="O25" i="9"/>
  <c r="O24" i="9"/>
  <c r="O23" i="9"/>
  <c r="O22" i="9"/>
  <c r="O21" i="9"/>
  <c r="O20" i="9"/>
  <c r="O19" i="9"/>
  <c r="O18" i="9"/>
  <c r="O17" i="9"/>
  <c r="O16" i="9"/>
  <c r="O15" i="9"/>
  <c r="O14" i="9"/>
  <c r="O13" i="9"/>
  <c r="O12" i="9"/>
  <c r="O11" i="9"/>
  <c r="O10" i="9"/>
  <c r="O9" i="9"/>
  <c r="O8" i="9"/>
  <c r="H35" i="20"/>
  <c r="U6" i="2"/>
  <c r="U13" i="2"/>
  <c r="C8" i="2"/>
  <c r="D74" i="20"/>
  <c r="C75" i="20"/>
  <c r="C74" i="20"/>
  <c r="J63" i="21"/>
  <c r="I63" i="21"/>
  <c r="H63" i="21"/>
  <c r="G63" i="21"/>
  <c r="U54" i="2"/>
  <c r="Q11" i="18"/>
  <c r="N30" i="4" l="1"/>
  <c r="O30" i="4" s="1"/>
  <c r="M29" i="4"/>
  <c r="K13" i="4"/>
  <c r="K15" i="4"/>
  <c r="N155" i="3"/>
  <c r="O155" i="3" s="1"/>
  <c r="B1" i="25"/>
  <c r="B1" i="24"/>
  <c r="B49" i="24"/>
  <c r="B51" i="25" s="1"/>
  <c r="B47" i="24"/>
  <c r="B49" i="25" s="1"/>
  <c r="B17" i="24"/>
  <c r="B16" i="24"/>
  <c r="B18" i="25" s="1"/>
  <c r="B1" i="23"/>
  <c r="D12" i="23"/>
  <c r="P12" i="23" s="1"/>
  <c r="D11" i="23"/>
  <c r="P11" i="23" s="1"/>
  <c r="D10" i="23"/>
  <c r="P10" i="23" s="1"/>
  <c r="D9" i="23"/>
  <c r="B45" i="25"/>
  <c r="B44" i="25"/>
  <c r="B42" i="25"/>
  <c r="B38" i="24"/>
  <c r="B40" i="25" s="1"/>
  <c r="B35" i="25"/>
  <c r="B33" i="25"/>
  <c r="B32" i="25"/>
  <c r="B31" i="25"/>
  <c r="B30" i="25"/>
  <c r="B29" i="25"/>
  <c r="B28" i="25"/>
  <c r="B27" i="25"/>
  <c r="B26" i="25"/>
  <c r="B23" i="24"/>
  <c r="B25" i="25" s="1"/>
  <c r="B21" i="24"/>
  <c r="B23" i="25" s="1"/>
  <c r="B15" i="24"/>
  <c r="B17" i="25" s="1"/>
  <c r="B14" i="24"/>
  <c r="B16" i="25" s="1"/>
  <c r="B13" i="24"/>
  <c r="B15" i="25" s="1"/>
  <c r="B12" i="24"/>
  <c r="B14" i="25" s="1"/>
  <c r="B11" i="24"/>
  <c r="B10" i="24"/>
  <c r="B12" i="25" s="1"/>
  <c r="B6" i="24"/>
  <c r="B8" i="25" s="1"/>
  <c r="P9" i="23" l="1"/>
  <c r="R9" i="23"/>
  <c r="P30" i="4"/>
  <c r="Q30" i="4"/>
  <c r="S30" i="4" s="1"/>
  <c r="R30" i="4"/>
  <c r="K11" i="4"/>
  <c r="L10" i="4"/>
  <c r="P156" i="3"/>
  <c r="Q156" i="3"/>
  <c r="P155" i="3"/>
  <c r="Q9" i="23"/>
  <c r="AO17" i="23"/>
  <c r="AN17" i="23"/>
  <c r="AM17" i="23"/>
  <c r="AL17" i="23"/>
  <c r="AK17" i="23"/>
  <c r="AJ17" i="23"/>
  <c r="AI17" i="23"/>
  <c r="AH17" i="23"/>
  <c r="AG17" i="23"/>
  <c r="AF17" i="23"/>
  <c r="AE17" i="23"/>
  <c r="AD17" i="23"/>
  <c r="AO16" i="23"/>
  <c r="AN16" i="23"/>
  <c r="AM16" i="23"/>
  <c r="AL16" i="23"/>
  <c r="AK16" i="23"/>
  <c r="AJ16" i="23"/>
  <c r="AI16" i="23"/>
  <c r="AH16" i="23"/>
  <c r="AG16" i="23"/>
  <c r="AF16" i="23"/>
  <c r="AE16" i="23"/>
  <c r="AD16" i="23"/>
  <c r="AO15" i="23"/>
  <c r="AN15" i="23"/>
  <c r="AM15" i="23"/>
  <c r="AL15" i="23"/>
  <c r="AK15" i="23"/>
  <c r="AJ15" i="23"/>
  <c r="AI15" i="23"/>
  <c r="AH15" i="23"/>
  <c r="AG15" i="23"/>
  <c r="AF15" i="23"/>
  <c r="AE15" i="23"/>
  <c r="AD15" i="23"/>
  <c r="AO14" i="23"/>
  <c r="AN14" i="23"/>
  <c r="AM14" i="23"/>
  <c r="AL14" i="23"/>
  <c r="AK14" i="23"/>
  <c r="AJ14" i="23"/>
  <c r="AI14" i="23"/>
  <c r="AH14" i="23"/>
  <c r="AG14" i="23"/>
  <c r="AF14" i="23"/>
  <c r="AE14" i="23"/>
  <c r="AD14" i="23"/>
  <c r="AO13" i="23"/>
  <c r="AN13" i="23"/>
  <c r="AM13" i="23"/>
  <c r="AL13" i="23"/>
  <c r="AK13" i="23"/>
  <c r="AJ13" i="23"/>
  <c r="AI13" i="23"/>
  <c r="AH13" i="23"/>
  <c r="AG13" i="23"/>
  <c r="AF13" i="23"/>
  <c r="AE13" i="23"/>
  <c r="AD13" i="23"/>
  <c r="AO12" i="23"/>
  <c r="AN12" i="23"/>
  <c r="AM12" i="23"/>
  <c r="AL12" i="23"/>
  <c r="AK12" i="23"/>
  <c r="AJ12" i="23"/>
  <c r="AI12" i="23"/>
  <c r="AH12" i="23"/>
  <c r="AG12" i="23"/>
  <c r="AF12" i="23"/>
  <c r="AE12" i="23"/>
  <c r="AD12" i="23"/>
  <c r="AO11" i="23"/>
  <c r="AN11" i="23"/>
  <c r="AM11" i="23"/>
  <c r="AL11" i="23"/>
  <c r="AK11" i="23"/>
  <c r="AJ11" i="23"/>
  <c r="AI11" i="23"/>
  <c r="AH11" i="23"/>
  <c r="AG11" i="23"/>
  <c r="AF11" i="23"/>
  <c r="AE11" i="23"/>
  <c r="AD11" i="23"/>
  <c r="AO10" i="23"/>
  <c r="AN10" i="23"/>
  <c r="AM10" i="23"/>
  <c r="AL10" i="23"/>
  <c r="AK10" i="23"/>
  <c r="AJ10" i="23"/>
  <c r="AI10" i="23"/>
  <c r="AH10" i="23"/>
  <c r="AG10" i="23"/>
  <c r="AF10" i="23"/>
  <c r="AE10" i="23"/>
  <c r="AD10" i="23"/>
  <c r="AO9" i="23"/>
  <c r="AN9" i="23"/>
  <c r="AM9" i="23"/>
  <c r="AL9" i="23"/>
  <c r="AK9" i="23"/>
  <c r="AJ9" i="23"/>
  <c r="AI9" i="23"/>
  <c r="AH9" i="23"/>
  <c r="AG9" i="23"/>
  <c r="AF9" i="23"/>
  <c r="AE9" i="23"/>
  <c r="AD9" i="23"/>
  <c r="AO18" i="23"/>
  <c r="AN18" i="23"/>
  <c r="AM18" i="23"/>
  <c r="AL18" i="23"/>
  <c r="AK18" i="23"/>
  <c r="AJ18" i="23"/>
  <c r="AI18" i="23"/>
  <c r="AH18" i="23"/>
  <c r="AG18" i="23"/>
  <c r="AF18" i="23"/>
  <c r="AE18" i="23"/>
  <c r="AD18" i="23"/>
  <c r="AO31" i="23"/>
  <c r="AN31" i="23"/>
  <c r="AM31" i="23"/>
  <c r="AL31" i="23"/>
  <c r="AK31" i="23"/>
  <c r="AJ31" i="23"/>
  <c r="AI31" i="23"/>
  <c r="AH31" i="23"/>
  <c r="AG31" i="23"/>
  <c r="AF31" i="23"/>
  <c r="AE31" i="23"/>
  <c r="AD31" i="23"/>
  <c r="AO30" i="23"/>
  <c r="AN30" i="23"/>
  <c r="AM30" i="23"/>
  <c r="AL30" i="23"/>
  <c r="AK30" i="23"/>
  <c r="AJ30" i="23"/>
  <c r="AI30" i="23"/>
  <c r="AH30" i="23"/>
  <c r="AG30" i="23"/>
  <c r="AF30" i="23"/>
  <c r="AE30" i="23"/>
  <c r="AD30" i="23"/>
  <c r="AO29" i="23"/>
  <c r="AN29" i="23"/>
  <c r="AM29" i="23"/>
  <c r="AL29" i="23"/>
  <c r="AK29" i="23"/>
  <c r="AJ29" i="23"/>
  <c r="AI29" i="23"/>
  <c r="AH29" i="23"/>
  <c r="AG29" i="23"/>
  <c r="AF29" i="23"/>
  <c r="AE29" i="23"/>
  <c r="AD29" i="23"/>
  <c r="AO28" i="23"/>
  <c r="AN28" i="23"/>
  <c r="AM28" i="23"/>
  <c r="AL28" i="23"/>
  <c r="AK28" i="23"/>
  <c r="AJ28" i="23"/>
  <c r="AI28" i="23"/>
  <c r="AH28" i="23"/>
  <c r="AG28" i="23"/>
  <c r="AF28" i="23"/>
  <c r="AE28" i="23"/>
  <c r="AD28" i="23"/>
  <c r="AO27" i="23"/>
  <c r="AN27" i="23"/>
  <c r="AM27" i="23"/>
  <c r="AL27" i="23"/>
  <c r="AK27" i="23"/>
  <c r="AJ27" i="23"/>
  <c r="AI27" i="23"/>
  <c r="AH27" i="23"/>
  <c r="AG27" i="23"/>
  <c r="AF27" i="23"/>
  <c r="AE27" i="23"/>
  <c r="AD27" i="23"/>
  <c r="AO26" i="23"/>
  <c r="AN26" i="23"/>
  <c r="AM26" i="23"/>
  <c r="AL26" i="23"/>
  <c r="AK26" i="23"/>
  <c r="AJ26" i="23"/>
  <c r="AI26" i="23"/>
  <c r="AH26" i="23"/>
  <c r="AG26" i="23"/>
  <c r="AF26" i="23"/>
  <c r="AE26" i="23"/>
  <c r="AD26" i="23"/>
  <c r="AO35" i="23"/>
  <c r="AN35" i="23"/>
  <c r="AM35" i="23"/>
  <c r="AL35" i="23"/>
  <c r="AK35" i="23"/>
  <c r="AJ35" i="23"/>
  <c r="AI35" i="23"/>
  <c r="AH35" i="23"/>
  <c r="AG35" i="23"/>
  <c r="AF35" i="23"/>
  <c r="AE35" i="23"/>
  <c r="AD35" i="23"/>
  <c r="AO25" i="23"/>
  <c r="AN25" i="23"/>
  <c r="AM25" i="23"/>
  <c r="AL25" i="23"/>
  <c r="AK25" i="23"/>
  <c r="AJ25" i="23"/>
  <c r="AI25" i="23"/>
  <c r="AH25" i="23"/>
  <c r="AG25" i="23"/>
  <c r="AF25" i="23"/>
  <c r="AE25" i="23"/>
  <c r="AD25" i="23"/>
  <c r="AO24" i="23"/>
  <c r="AN24" i="23"/>
  <c r="AM24" i="23"/>
  <c r="AL24" i="23"/>
  <c r="AK24" i="23"/>
  <c r="AJ24" i="23"/>
  <c r="AI24" i="23"/>
  <c r="AH24" i="23"/>
  <c r="AG24" i="23"/>
  <c r="AF24" i="23"/>
  <c r="AE24" i="23"/>
  <c r="AD24" i="23"/>
  <c r="AO23" i="23"/>
  <c r="AN23" i="23"/>
  <c r="AM23" i="23"/>
  <c r="AL23" i="23"/>
  <c r="AK23" i="23"/>
  <c r="AJ23" i="23"/>
  <c r="AI23" i="23"/>
  <c r="AH23" i="23"/>
  <c r="AG23" i="23"/>
  <c r="AF23" i="23"/>
  <c r="AE23" i="23"/>
  <c r="AD23" i="23"/>
  <c r="AO22" i="23"/>
  <c r="AN22" i="23"/>
  <c r="AM22" i="23"/>
  <c r="AL22" i="23"/>
  <c r="AK22" i="23"/>
  <c r="AJ22" i="23"/>
  <c r="AI22" i="23"/>
  <c r="AH22" i="23"/>
  <c r="AG22" i="23"/>
  <c r="AF22" i="23"/>
  <c r="AE22" i="23"/>
  <c r="AD22" i="23"/>
  <c r="AO21" i="23"/>
  <c r="AN21" i="23"/>
  <c r="AM21" i="23"/>
  <c r="AL21" i="23"/>
  <c r="AK21" i="23"/>
  <c r="AJ21" i="23"/>
  <c r="AI21" i="23"/>
  <c r="AH21" i="23"/>
  <c r="AG21" i="23"/>
  <c r="AF21" i="23"/>
  <c r="AE21" i="23"/>
  <c r="AD21" i="23"/>
  <c r="AO37" i="23"/>
  <c r="AN37" i="23"/>
  <c r="AM37" i="23"/>
  <c r="AL37" i="23"/>
  <c r="AK37" i="23"/>
  <c r="AJ37" i="23"/>
  <c r="AI37" i="23"/>
  <c r="AH37" i="23"/>
  <c r="AG37" i="23"/>
  <c r="AF37" i="23"/>
  <c r="AE37" i="23"/>
  <c r="AD37" i="23"/>
  <c r="AO36" i="23"/>
  <c r="AN36" i="23"/>
  <c r="AM36" i="23"/>
  <c r="AL36" i="23"/>
  <c r="AK36" i="23"/>
  <c r="AJ36" i="23"/>
  <c r="AI36" i="23"/>
  <c r="AH36" i="23"/>
  <c r="AG36" i="23"/>
  <c r="AF36" i="23"/>
  <c r="AE36" i="23"/>
  <c r="AD36" i="23"/>
  <c r="AO32" i="23"/>
  <c r="AN32" i="23"/>
  <c r="AM32" i="23"/>
  <c r="AL32" i="23"/>
  <c r="AK32" i="23"/>
  <c r="AJ32" i="23"/>
  <c r="AI32" i="23"/>
  <c r="AH32" i="23"/>
  <c r="AG32" i="23"/>
  <c r="AF32" i="23"/>
  <c r="AE32" i="23"/>
  <c r="AD32" i="23"/>
  <c r="D38" i="23"/>
  <c r="P38" i="23" s="1"/>
  <c r="D36" i="23"/>
  <c r="D29" i="23"/>
  <c r="D37" i="23"/>
  <c r="P37" i="23" s="1"/>
  <c r="D23" i="23"/>
  <c r="D41" i="23"/>
  <c r="D44" i="23"/>
  <c r="D18" i="23"/>
  <c r="D17" i="23"/>
  <c r="P17" i="23" s="1"/>
  <c r="D16" i="23"/>
  <c r="D14" i="23"/>
  <c r="D32" i="23"/>
  <c r="D31" i="23"/>
  <c r="D30" i="23"/>
  <c r="P30" i="23" s="1"/>
  <c r="D27" i="23"/>
  <c r="Q27" i="23" s="1"/>
  <c r="D25" i="23"/>
  <c r="D15" i="23"/>
  <c r="P15" i="23" s="1"/>
  <c r="BM11" i="23"/>
  <c r="D28" i="23"/>
  <c r="D26" i="23"/>
  <c r="D21" i="23"/>
  <c r="D35" i="23"/>
  <c r="D24" i="23"/>
  <c r="D22" i="23"/>
  <c r="D13" i="23"/>
  <c r="P13" i="23" s="1"/>
  <c r="R12" i="23"/>
  <c r="BU10" i="23"/>
  <c r="BS9" i="23"/>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175" i="4"/>
  <c r="U174" i="4"/>
  <c r="U173" i="4"/>
  <c r="U172" i="4"/>
  <c r="U171" i="4"/>
  <c r="U170" i="4"/>
  <c r="U169" i="4"/>
  <c r="U168" i="4"/>
  <c r="U167" i="4"/>
  <c r="U166" i="4"/>
  <c r="U165" i="4"/>
  <c r="U164" i="4"/>
  <c r="U163" i="4"/>
  <c r="U162" i="4"/>
  <c r="U161" i="4"/>
  <c r="U160" i="4"/>
  <c r="U159" i="4"/>
  <c r="U158" i="4"/>
  <c r="U157" i="4"/>
  <c r="U156" i="4"/>
  <c r="U155" i="4"/>
  <c r="U154" i="4"/>
  <c r="U153" i="4"/>
  <c r="U152" i="4"/>
  <c r="U151" i="4"/>
  <c r="U150" i="4"/>
  <c r="U149" i="4"/>
  <c r="U148" i="4"/>
  <c r="U147" i="4"/>
  <c r="U146" i="4"/>
  <c r="U145" i="4"/>
  <c r="U144" i="4"/>
  <c r="U143" i="4"/>
  <c r="U142" i="4"/>
  <c r="U141" i="4"/>
  <c r="U140" i="4"/>
  <c r="U139" i="4"/>
  <c r="U138" i="4"/>
  <c r="U137" i="4"/>
  <c r="U136" i="4"/>
  <c r="U135" i="4"/>
  <c r="U134" i="4"/>
  <c r="U133" i="4"/>
  <c r="U132" i="4"/>
  <c r="U131" i="4"/>
  <c r="U130" i="4"/>
  <c r="U129" i="4"/>
  <c r="U128" i="4"/>
  <c r="U127" i="4"/>
  <c r="U126" i="4"/>
  <c r="U125" i="4"/>
  <c r="U124" i="4"/>
  <c r="U123" i="4"/>
  <c r="U122" i="4"/>
  <c r="U121" i="4"/>
  <c r="U120" i="4"/>
  <c r="U119" i="4"/>
  <c r="U118" i="4"/>
  <c r="U117" i="4"/>
  <c r="U116" i="4"/>
  <c r="U115" i="4"/>
  <c r="U114" i="4"/>
  <c r="U113" i="4"/>
  <c r="U112" i="4"/>
  <c r="U111" i="4"/>
  <c r="U110" i="4"/>
  <c r="U109" i="4"/>
  <c r="U108" i="4"/>
  <c r="U107" i="4"/>
  <c r="U106" i="4"/>
  <c r="U105" i="4"/>
  <c r="U104" i="4"/>
  <c r="U103" i="4"/>
  <c r="U102" i="4"/>
  <c r="U101" i="4"/>
  <c r="U100" i="4"/>
  <c r="U97" i="4"/>
  <c r="U96" i="4"/>
  <c r="U95" i="4"/>
  <c r="U94" i="4"/>
  <c r="U93" i="4"/>
  <c r="U92" i="4"/>
  <c r="U91" i="4"/>
  <c r="U90" i="4"/>
  <c r="U89" i="4"/>
  <c r="U88" i="4"/>
  <c r="U87" i="4"/>
  <c r="U86" i="4"/>
  <c r="U85" i="4"/>
  <c r="U84" i="4"/>
  <c r="U83" i="4"/>
  <c r="U82" i="4"/>
  <c r="U81" i="4"/>
  <c r="U80" i="4"/>
  <c r="U79" i="4"/>
  <c r="U78" i="4"/>
  <c r="U77" i="4"/>
  <c r="U76" i="4"/>
  <c r="U75" i="4"/>
  <c r="U74" i="4"/>
  <c r="U73" i="4"/>
  <c r="U72" i="4"/>
  <c r="U71" i="4"/>
  <c r="U70" i="4"/>
  <c r="U69" i="4"/>
  <c r="U68" i="4"/>
  <c r="U67" i="4"/>
  <c r="U66" i="4"/>
  <c r="U65" i="4"/>
  <c r="U64" i="4"/>
  <c r="U63" i="4"/>
  <c r="U62" i="4"/>
  <c r="U61" i="4"/>
  <c r="U60" i="4"/>
  <c r="U59" i="4"/>
  <c r="U58" i="4"/>
  <c r="U57" i="4"/>
  <c r="U56" i="4"/>
  <c r="U55" i="4"/>
  <c r="U54" i="4"/>
  <c r="U53" i="4"/>
  <c r="U52" i="4"/>
  <c r="U51" i="4"/>
  <c r="U50" i="4"/>
  <c r="U49" i="4"/>
  <c r="U48" i="4"/>
  <c r="U47" i="4"/>
  <c r="U46" i="4"/>
  <c r="U45" i="4"/>
  <c r="U44" i="4"/>
  <c r="U43" i="4"/>
  <c r="U42" i="4"/>
  <c r="U41" i="4"/>
  <c r="U40" i="4"/>
  <c r="U39" i="4"/>
  <c r="U38" i="4"/>
  <c r="U37" i="4"/>
  <c r="U36" i="4"/>
  <c r="U35" i="4"/>
  <c r="U34" i="4"/>
  <c r="U33" i="4"/>
  <c r="U32" i="4"/>
  <c r="U31" i="4"/>
  <c r="U30" i="4"/>
  <c r="U29" i="4"/>
  <c r="U28" i="4"/>
  <c r="U27" i="4"/>
  <c r="U26" i="4"/>
  <c r="U25" i="4"/>
  <c r="U24" i="4"/>
  <c r="U23" i="4"/>
  <c r="U22" i="4"/>
  <c r="U21" i="4"/>
  <c r="U20" i="4"/>
  <c r="U19" i="4"/>
  <c r="U18" i="4"/>
  <c r="U17" i="4"/>
  <c r="U16" i="4"/>
  <c r="U15" i="4"/>
  <c r="U14" i="4"/>
  <c r="U13" i="4"/>
  <c r="U12" i="4"/>
  <c r="U11" i="4"/>
  <c r="U10" i="4"/>
  <c r="U8" i="4"/>
  <c r="U96" i="2"/>
  <c r="L141" i="2"/>
  <c r="L140" i="2"/>
  <c r="L139" i="2"/>
  <c r="L138" i="2"/>
  <c r="L137" i="2"/>
  <c r="L135" i="2"/>
  <c r="L150" i="2"/>
  <c r="L146" i="2"/>
  <c r="L159" i="2"/>
  <c r="L158" i="2"/>
  <c r="L157" i="2"/>
  <c r="L156" i="2"/>
  <c r="L164" i="2"/>
  <c r="L163" i="2"/>
  <c r="V89" i="20"/>
  <c r="V88" i="20"/>
  <c r="V86" i="20"/>
  <c r="V85" i="20"/>
  <c r="V84" i="20"/>
  <c r="V83" i="20"/>
  <c r="V82" i="20"/>
  <c r="V81" i="20"/>
  <c r="V80" i="20"/>
  <c r="V79" i="20"/>
  <c r="V78" i="20"/>
  <c r="V77" i="20"/>
  <c r="V76" i="20"/>
  <c r="V75" i="20"/>
  <c r="V74" i="20"/>
  <c r="V73" i="20"/>
  <c r="V72" i="20"/>
  <c r="V71" i="20"/>
  <c r="V69" i="20"/>
  <c r="V67" i="20"/>
  <c r="V63" i="20"/>
  <c r="V62" i="20"/>
  <c r="V61" i="20"/>
  <c r="V60" i="20"/>
  <c r="V59" i="20"/>
  <c r="V58" i="20"/>
  <c r="V56" i="20"/>
  <c r="V55" i="20"/>
  <c r="V54" i="20"/>
  <c r="V53" i="20"/>
  <c r="V52" i="20"/>
  <c r="V51" i="20"/>
  <c r="V50" i="20"/>
  <c r="V49" i="20"/>
  <c r="V48" i="20"/>
  <c r="V47" i="20"/>
  <c r="V46" i="20"/>
  <c r="V45" i="20"/>
  <c r="V44" i="20"/>
  <c r="V43" i="20"/>
  <c r="V42" i="20"/>
  <c r="V41" i="20"/>
  <c r="V40" i="20"/>
  <c r="V39" i="20"/>
  <c r="V38" i="20"/>
  <c r="V37" i="20"/>
  <c r="V35" i="20"/>
  <c r="V33" i="20"/>
  <c r="V31" i="20"/>
  <c r="V30" i="20"/>
  <c r="V29" i="20"/>
  <c r="V28" i="20"/>
  <c r="V27" i="20"/>
  <c r="V26" i="20"/>
  <c r="V23" i="20"/>
  <c r="V22" i="20"/>
  <c r="V21" i="20"/>
  <c r="V18" i="20"/>
  <c r="V16" i="20"/>
  <c r="V15" i="20"/>
  <c r="V8" i="20"/>
  <c r="L105" i="4"/>
  <c r="L45" i="20"/>
  <c r="K45" i="20"/>
  <c r="J45" i="20"/>
  <c r="I45" i="20"/>
  <c r="L44" i="20"/>
  <c r="K44" i="20"/>
  <c r="J44" i="20"/>
  <c r="I44" i="20"/>
  <c r="H45" i="20"/>
  <c r="L42" i="20"/>
  <c r="K42" i="20"/>
  <c r="J42" i="20"/>
  <c r="I42" i="20"/>
  <c r="H42" i="20"/>
  <c r="H44" i="20"/>
  <c r="J41" i="20"/>
  <c r="I41" i="20"/>
  <c r="H41" i="20"/>
  <c r="I116" i="2"/>
  <c r="H116" i="2"/>
  <c r="I38" i="20" s="1"/>
  <c r="G116" i="2"/>
  <c r="H38" i="20" s="1"/>
  <c r="L40" i="20"/>
  <c r="K40" i="20"/>
  <c r="J40" i="20"/>
  <c r="I40" i="20"/>
  <c r="H40" i="20"/>
  <c r="J38" i="20"/>
  <c r="H51" i="20"/>
  <c r="L78" i="20"/>
  <c r="L79" i="20"/>
  <c r="L84" i="20"/>
  <c r="L83" i="20"/>
  <c r="L82" i="20"/>
  <c r="L81" i="20"/>
  <c r="L80" i="20"/>
  <c r="L77" i="20"/>
  <c r="L76" i="20"/>
  <c r="L75" i="20"/>
  <c r="D85" i="20"/>
  <c r="S20" i="5"/>
  <c r="D81" i="20" s="1"/>
  <c r="D83" i="20"/>
  <c r="H64" i="20"/>
  <c r="C66" i="20"/>
  <c r="V66" i="20" s="1"/>
  <c r="L49" i="20"/>
  <c r="K49" i="20"/>
  <c r="J49" i="20"/>
  <c r="I49" i="20"/>
  <c r="H49" i="20"/>
  <c r="L48" i="20"/>
  <c r="K48" i="20"/>
  <c r="J48" i="20"/>
  <c r="I48" i="20"/>
  <c r="H48" i="20"/>
  <c r="L36" i="20"/>
  <c r="K36" i="20"/>
  <c r="J36" i="20"/>
  <c r="I36" i="20"/>
  <c r="H36" i="20"/>
  <c r="H46" i="4"/>
  <c r="I46" i="4"/>
  <c r="J46" i="4"/>
  <c r="K46" i="4"/>
  <c r="G18" i="4"/>
  <c r="L110" i="4"/>
  <c r="S133" i="4"/>
  <c r="R133" i="4"/>
  <c r="Q133" i="4"/>
  <c r="P133" i="4"/>
  <c r="O133" i="4"/>
  <c r="N133" i="4"/>
  <c r="M133" i="4"/>
  <c r="G43" i="4"/>
  <c r="G32" i="4" s="1"/>
  <c r="H28" i="4" s="1"/>
  <c r="H43" i="4"/>
  <c r="H32" i="4" s="1"/>
  <c r="I28" i="4" s="1"/>
  <c r="I43" i="4"/>
  <c r="I32" i="4" s="1"/>
  <c r="J28" i="4" s="1"/>
  <c r="J43" i="4"/>
  <c r="J32" i="4" s="1"/>
  <c r="K28" i="4" s="1"/>
  <c r="K43" i="4"/>
  <c r="K32" i="4" s="1"/>
  <c r="L28" i="4" s="1"/>
  <c r="G23" i="18"/>
  <c r="R9" i="18"/>
  <c r="R10" i="18"/>
  <c r="H32" i="20"/>
  <c r="L20" i="20"/>
  <c r="K20" i="20"/>
  <c r="J20" i="20"/>
  <c r="I20" i="20"/>
  <c r="H20" i="20"/>
  <c r="L19" i="20"/>
  <c r="K19" i="20"/>
  <c r="J19" i="20"/>
  <c r="I19" i="20"/>
  <c r="H19" i="20"/>
  <c r="L14" i="20"/>
  <c r="K14" i="20"/>
  <c r="J14" i="20"/>
  <c r="I14" i="20"/>
  <c r="L13" i="20"/>
  <c r="K13" i="20"/>
  <c r="J13" i="20"/>
  <c r="I13" i="20"/>
  <c r="L12" i="20"/>
  <c r="K12" i="20"/>
  <c r="J12" i="20"/>
  <c r="I12" i="20"/>
  <c r="L11" i="20"/>
  <c r="K11" i="20"/>
  <c r="J11" i="20"/>
  <c r="I11" i="20"/>
  <c r="L10" i="20"/>
  <c r="K10" i="20"/>
  <c r="J10" i="20"/>
  <c r="I10" i="20"/>
  <c r="L9" i="20"/>
  <c r="K9" i="20"/>
  <c r="J9" i="20"/>
  <c r="I9" i="20"/>
  <c r="I15" i="20" s="1"/>
  <c r="H14" i="20"/>
  <c r="H13" i="20"/>
  <c r="H12" i="20"/>
  <c r="H11" i="20"/>
  <c r="H10" i="20"/>
  <c r="H9" i="20"/>
  <c r="H7" i="20"/>
  <c r="C25" i="20"/>
  <c r="V25" i="20" s="1"/>
  <c r="C24" i="20"/>
  <c r="V24" i="20" s="1"/>
  <c r="C49" i="21"/>
  <c r="C96" i="21" s="1"/>
  <c r="C64" i="20"/>
  <c r="V64" i="20" s="1"/>
  <c r="C32" i="20"/>
  <c r="V32" i="20" s="1"/>
  <c r="C20" i="20"/>
  <c r="V20" i="20" s="1"/>
  <c r="C14" i="20"/>
  <c r="V14" i="20" s="1"/>
  <c r="C13" i="20"/>
  <c r="V13" i="20" s="1"/>
  <c r="C12" i="20"/>
  <c r="V12" i="20" s="1"/>
  <c r="C11" i="20"/>
  <c r="V11" i="20" s="1"/>
  <c r="C10" i="20"/>
  <c r="V10" i="20" s="1"/>
  <c r="C72" i="3"/>
  <c r="C9" i="20"/>
  <c r="V9" i="20" s="1"/>
  <c r="L121" i="4"/>
  <c r="L120" i="4" s="1"/>
  <c r="M121" i="4"/>
  <c r="M120" i="4" s="1"/>
  <c r="N121" i="4"/>
  <c r="N120" i="4" s="1"/>
  <c r="O121" i="4"/>
  <c r="O120" i="4" s="1"/>
  <c r="P121" i="4"/>
  <c r="P120" i="4" s="1"/>
  <c r="Q121" i="4"/>
  <c r="Q120" i="4" s="1"/>
  <c r="R121" i="4"/>
  <c r="R120" i="4" s="1"/>
  <c r="S121" i="4"/>
  <c r="S120" i="4" s="1"/>
  <c r="P44" i="23" l="1"/>
  <c r="S44" i="23"/>
  <c r="R147" i="3"/>
  <c r="P29" i="4"/>
  <c r="Q29" i="4"/>
  <c r="L12" i="4"/>
  <c r="L11" i="4"/>
  <c r="R156" i="3"/>
  <c r="S156" i="3" s="1"/>
  <c r="Q155" i="3"/>
  <c r="R155" i="3" s="1"/>
  <c r="S155" i="3" s="1"/>
  <c r="S146" i="3"/>
  <c r="S147" i="3"/>
  <c r="U16" i="23"/>
  <c r="P16" i="23"/>
  <c r="P36" i="23"/>
  <c r="S22" i="23"/>
  <c r="P22" i="23"/>
  <c r="P25" i="23"/>
  <c r="BL18" i="23"/>
  <c r="P18" i="23"/>
  <c r="BQ24" i="23"/>
  <c r="P24" i="23"/>
  <c r="BM27" i="23"/>
  <c r="P27" i="23"/>
  <c r="T35" i="23"/>
  <c r="P35" i="23"/>
  <c r="P41" i="23"/>
  <c r="BW21" i="23"/>
  <c r="P21" i="23"/>
  <c r="V31" i="23"/>
  <c r="P31" i="23"/>
  <c r="P23" i="23"/>
  <c r="S26" i="23"/>
  <c r="P26" i="23"/>
  <c r="U32" i="23"/>
  <c r="P32" i="23"/>
  <c r="Q28" i="23"/>
  <c r="P28" i="23"/>
  <c r="BY14" i="23"/>
  <c r="P14" i="23"/>
  <c r="W29" i="23"/>
  <c r="P29" i="23"/>
  <c r="V41" i="23"/>
  <c r="Q11" i="23"/>
  <c r="U12" i="23"/>
  <c r="U41" i="23"/>
  <c r="S9" i="23"/>
  <c r="W10" i="23"/>
  <c r="T12" i="23"/>
  <c r="R28" i="23"/>
  <c r="BR16" i="23"/>
  <c r="V9" i="23"/>
  <c r="U14" i="23"/>
  <c r="W9" i="23"/>
  <c r="V12" i="23"/>
  <c r="Q16" i="23"/>
  <c r="BT9" i="23"/>
  <c r="Q10" i="23"/>
  <c r="U11" i="23"/>
  <c r="W12" i="23"/>
  <c r="R16" i="23"/>
  <c r="U21" i="23"/>
  <c r="BU11" i="23"/>
  <c r="R10" i="23"/>
  <c r="V11" i="23"/>
  <c r="R14" i="23"/>
  <c r="S16" i="23"/>
  <c r="S23" i="23"/>
  <c r="BV11" i="23"/>
  <c r="U10" i="23"/>
  <c r="W11" i="23"/>
  <c r="S14" i="23"/>
  <c r="Y14" i="23" s="1"/>
  <c r="T16" i="23"/>
  <c r="T23" i="23"/>
  <c r="BN12" i="23"/>
  <c r="V10" i="23"/>
  <c r="T14" i="23"/>
  <c r="W16" i="23"/>
  <c r="BK16" i="23"/>
  <c r="BU13" i="23"/>
  <c r="BM13" i="23"/>
  <c r="BT13" i="23"/>
  <c r="BL13" i="23"/>
  <c r="BS13" i="23"/>
  <c r="BK13" i="23"/>
  <c r="BR13" i="23"/>
  <c r="BY13" i="23"/>
  <c r="BQ13" i="23"/>
  <c r="BV13" i="23"/>
  <c r="BN13" i="23"/>
  <c r="BW15" i="23"/>
  <c r="BO15" i="23"/>
  <c r="BV15" i="23"/>
  <c r="BN15" i="23"/>
  <c r="BU15" i="23"/>
  <c r="BM15" i="23"/>
  <c r="BT15" i="23"/>
  <c r="BL15" i="23"/>
  <c r="BS15" i="23"/>
  <c r="BK15" i="23"/>
  <c r="BX15" i="23"/>
  <c r="BP15" i="23"/>
  <c r="BY17" i="23"/>
  <c r="BQ17" i="23"/>
  <c r="BX17" i="23"/>
  <c r="BP17" i="23"/>
  <c r="BW17" i="23"/>
  <c r="BO17" i="23"/>
  <c r="BV17" i="23"/>
  <c r="BN17" i="23"/>
  <c r="BU17" i="23"/>
  <c r="BM17" i="23"/>
  <c r="BR17" i="23"/>
  <c r="BS38" i="23"/>
  <c r="BK38" i="23"/>
  <c r="W38" i="23"/>
  <c r="BR38" i="23"/>
  <c r="V38" i="23"/>
  <c r="BY38" i="23"/>
  <c r="BQ38" i="23"/>
  <c r="U38" i="23"/>
  <c r="BX38" i="23"/>
  <c r="BP38" i="23"/>
  <c r="BW38" i="23"/>
  <c r="BO38" i="23"/>
  <c r="T38" i="23"/>
  <c r="BV38" i="23"/>
  <c r="BN38" i="23"/>
  <c r="BU38" i="23"/>
  <c r="BM38" i="23"/>
  <c r="BT38" i="23"/>
  <c r="BL38" i="23"/>
  <c r="Q38" i="23"/>
  <c r="S13" i="23"/>
  <c r="Q15" i="23"/>
  <c r="V17" i="23"/>
  <c r="U18" i="23"/>
  <c r="T21" i="23"/>
  <c r="R23" i="23"/>
  <c r="Q24" i="23"/>
  <c r="U31" i="23"/>
  <c r="AQ31" i="23" s="1"/>
  <c r="R38" i="23"/>
  <c r="BW13" i="23"/>
  <c r="BY15" i="23"/>
  <c r="BN21" i="23"/>
  <c r="BX23" i="23"/>
  <c r="BU22" i="23"/>
  <c r="BM22" i="23"/>
  <c r="BT22" i="23"/>
  <c r="BL22" i="23"/>
  <c r="BS22" i="23"/>
  <c r="BK22" i="23"/>
  <c r="BR22" i="23"/>
  <c r="BY22" i="23"/>
  <c r="BQ22" i="23"/>
  <c r="BX22" i="23"/>
  <c r="BV22" i="23"/>
  <c r="BN22" i="23"/>
  <c r="BX25" i="23"/>
  <c r="BP25" i="23"/>
  <c r="S25" i="23"/>
  <c r="BW25" i="23"/>
  <c r="BO25" i="23"/>
  <c r="R25" i="23"/>
  <c r="BV25" i="23"/>
  <c r="BN25" i="23"/>
  <c r="BU25" i="23"/>
  <c r="BM25" i="23"/>
  <c r="W25" i="23"/>
  <c r="BT25" i="23"/>
  <c r="BL25" i="23"/>
  <c r="V25" i="23"/>
  <c r="BS25" i="23"/>
  <c r="BK25" i="23"/>
  <c r="BY25" i="23"/>
  <c r="BQ25" i="23"/>
  <c r="BR18" i="23"/>
  <c r="BY18" i="23"/>
  <c r="BQ18" i="23"/>
  <c r="BX18" i="23"/>
  <c r="BP18" i="23"/>
  <c r="BW18" i="23"/>
  <c r="BO18" i="23"/>
  <c r="BV18" i="23"/>
  <c r="BN18" i="23"/>
  <c r="BS18" i="23"/>
  <c r="BK18" i="23"/>
  <c r="T13" i="23"/>
  <c r="R15" i="23"/>
  <c r="W17" i="23"/>
  <c r="V18" i="23"/>
  <c r="T22" i="23"/>
  <c r="R24" i="23"/>
  <c r="U25" i="23"/>
  <c r="S38" i="23"/>
  <c r="BX13" i="23"/>
  <c r="BM18" i="23"/>
  <c r="BO21" i="23"/>
  <c r="BW24" i="23"/>
  <c r="BO24" i="23"/>
  <c r="BV24" i="23"/>
  <c r="BN24" i="23"/>
  <c r="S24" i="23"/>
  <c r="BU24" i="23"/>
  <c r="BM24" i="23"/>
  <c r="BT24" i="23"/>
  <c r="BL24" i="23"/>
  <c r="BS24" i="23"/>
  <c r="BK24" i="23"/>
  <c r="W24" i="23"/>
  <c r="BR24" i="23"/>
  <c r="BX24" i="23"/>
  <c r="BP24" i="23"/>
  <c r="BS27" i="23"/>
  <c r="BK27" i="23"/>
  <c r="W27" i="23"/>
  <c r="BR27" i="23"/>
  <c r="V27" i="23"/>
  <c r="BY27" i="23"/>
  <c r="BQ27" i="23"/>
  <c r="U27" i="23"/>
  <c r="BX27" i="23"/>
  <c r="BP27" i="23"/>
  <c r="BW27" i="23"/>
  <c r="BO27" i="23"/>
  <c r="T27" i="23"/>
  <c r="BV27" i="23"/>
  <c r="BN27" i="23"/>
  <c r="BU27" i="23"/>
  <c r="BT27" i="23"/>
  <c r="BL27" i="23"/>
  <c r="BT44" i="23"/>
  <c r="BL44" i="23"/>
  <c r="V44" i="23"/>
  <c r="BS44" i="23"/>
  <c r="BK44" i="23"/>
  <c r="U44" i="23"/>
  <c r="BR44" i="23"/>
  <c r="BY44" i="23"/>
  <c r="BQ44" i="23"/>
  <c r="T44" i="23"/>
  <c r="BX44" i="23"/>
  <c r="BP44" i="23"/>
  <c r="BW44" i="23"/>
  <c r="BO44" i="23"/>
  <c r="BV44" i="23"/>
  <c r="BN44" i="23"/>
  <c r="BU44" i="23"/>
  <c r="BM44" i="23"/>
  <c r="W44" i="23"/>
  <c r="S15" i="23"/>
  <c r="Q17" i="23"/>
  <c r="W18" i="23"/>
  <c r="T24" i="23"/>
  <c r="Q44" i="23"/>
  <c r="BL10" i="23"/>
  <c r="BP14" i="23"/>
  <c r="BT18" i="23"/>
  <c r="BV21" i="23"/>
  <c r="BY24" i="23"/>
  <c r="BY35" i="23"/>
  <c r="BQ35" i="23"/>
  <c r="R35" i="23"/>
  <c r="BX35" i="23"/>
  <c r="BP35" i="23"/>
  <c r="Q35" i="23"/>
  <c r="BW35" i="23"/>
  <c r="BO35" i="23"/>
  <c r="W35" i="23"/>
  <c r="BV35" i="23"/>
  <c r="BN35" i="23"/>
  <c r="V35" i="23"/>
  <c r="BU35" i="23"/>
  <c r="BM35" i="23"/>
  <c r="U35" i="23"/>
  <c r="BT35" i="23"/>
  <c r="BL35" i="23"/>
  <c r="BR35" i="23"/>
  <c r="S35" i="23"/>
  <c r="BV30" i="23"/>
  <c r="BN30" i="23"/>
  <c r="BU30" i="23"/>
  <c r="BM30" i="23"/>
  <c r="T30" i="23"/>
  <c r="BT30" i="23"/>
  <c r="BL30" i="23"/>
  <c r="S30" i="23"/>
  <c r="BS30" i="23"/>
  <c r="BK30" i="23"/>
  <c r="R30" i="23"/>
  <c r="BR30" i="23"/>
  <c r="Q30" i="23"/>
  <c r="BY30" i="23"/>
  <c r="BQ30" i="23"/>
  <c r="BX30" i="23"/>
  <c r="BP30" i="23"/>
  <c r="BW30" i="23"/>
  <c r="BO30" i="23"/>
  <c r="U30" i="23"/>
  <c r="BS41" i="23"/>
  <c r="BK41" i="23"/>
  <c r="BR41" i="23"/>
  <c r="BY41" i="23"/>
  <c r="BQ41" i="23"/>
  <c r="BX41" i="23"/>
  <c r="BP41" i="23"/>
  <c r="BW41" i="23"/>
  <c r="BO41" i="23"/>
  <c r="BT41" i="23"/>
  <c r="BL41" i="23"/>
  <c r="AQ12" i="23"/>
  <c r="U13" i="23"/>
  <c r="T15" i="23"/>
  <c r="R17" i="23"/>
  <c r="Q18" i="23"/>
  <c r="W41" i="23"/>
  <c r="V21" i="23"/>
  <c r="AQ21" i="23" s="1"/>
  <c r="U22" i="23"/>
  <c r="Q29" i="23"/>
  <c r="R44" i="23"/>
  <c r="BM10" i="23"/>
  <c r="BO12" i="23"/>
  <c r="BQ14" i="23"/>
  <c r="BS16" i="23"/>
  <c r="BU18" i="23"/>
  <c r="BR25" i="23"/>
  <c r="BT21" i="23"/>
  <c r="BL21" i="23"/>
  <c r="BS21" i="23"/>
  <c r="BK21" i="23"/>
  <c r="BR21" i="23"/>
  <c r="BY21" i="23"/>
  <c r="BQ21" i="23"/>
  <c r="BX21" i="23"/>
  <c r="BP21" i="23"/>
  <c r="BU21" i="23"/>
  <c r="BM21" i="23"/>
  <c r="BW31" i="23"/>
  <c r="BO31" i="23"/>
  <c r="T31" i="23"/>
  <c r="BV31" i="23"/>
  <c r="BN31" i="23"/>
  <c r="S31" i="23"/>
  <c r="BU31" i="23"/>
  <c r="BM31" i="23"/>
  <c r="R31" i="23"/>
  <c r="BT31" i="23"/>
  <c r="BL31" i="23"/>
  <c r="Q31" i="23"/>
  <c r="BS31" i="23"/>
  <c r="BK31" i="23"/>
  <c r="W31" i="23"/>
  <c r="BR31" i="23"/>
  <c r="BY31" i="23"/>
  <c r="BQ31" i="23"/>
  <c r="BX31" i="23"/>
  <c r="BP31" i="23"/>
  <c r="BV23" i="23"/>
  <c r="BN23" i="23"/>
  <c r="BU23" i="23"/>
  <c r="BM23" i="23"/>
  <c r="BT23" i="23"/>
  <c r="BL23" i="23"/>
  <c r="BS23" i="23"/>
  <c r="BK23" i="23"/>
  <c r="BR23" i="23"/>
  <c r="BY23" i="23"/>
  <c r="BQ23" i="23"/>
  <c r="BW23" i="23"/>
  <c r="BO23" i="23"/>
  <c r="V13" i="23"/>
  <c r="S17" i="23"/>
  <c r="Y17" i="23" s="1"/>
  <c r="R18" i="23"/>
  <c r="Q41" i="23"/>
  <c r="W21" i="23"/>
  <c r="V22" i="23"/>
  <c r="U23" i="23"/>
  <c r="U24" i="23"/>
  <c r="T36" i="23"/>
  <c r="BT10" i="23"/>
  <c r="BV12" i="23"/>
  <c r="BX14" i="23"/>
  <c r="BK17" i="23"/>
  <c r="BM41" i="23"/>
  <c r="BO22" i="23"/>
  <c r="BK35" i="23"/>
  <c r="BY9" i="23"/>
  <c r="BQ9" i="23"/>
  <c r="BX9" i="23"/>
  <c r="BP9" i="23"/>
  <c r="BW9" i="23"/>
  <c r="BO9" i="23"/>
  <c r="BV9" i="23"/>
  <c r="BN9" i="23"/>
  <c r="BU9" i="23"/>
  <c r="BM9" i="23"/>
  <c r="BR9" i="23"/>
  <c r="BR26" i="23"/>
  <c r="Q26" i="23"/>
  <c r="Y26" i="23" s="1"/>
  <c r="BY26" i="23"/>
  <c r="BQ26" i="23"/>
  <c r="W26" i="23"/>
  <c r="BX26" i="23"/>
  <c r="BP26" i="23"/>
  <c r="V26" i="23"/>
  <c r="BW26" i="23"/>
  <c r="BO26" i="23"/>
  <c r="U26" i="23"/>
  <c r="BV26" i="23"/>
  <c r="BN26" i="23"/>
  <c r="BU26" i="23"/>
  <c r="BM26" i="23"/>
  <c r="BS26" i="23"/>
  <c r="BK26" i="23"/>
  <c r="R26" i="23"/>
  <c r="AA26" i="23" s="1"/>
  <c r="BX32" i="23"/>
  <c r="BP32" i="23"/>
  <c r="S32" i="23"/>
  <c r="BW32" i="23"/>
  <c r="BO32" i="23"/>
  <c r="R32" i="23"/>
  <c r="BV32" i="23"/>
  <c r="BN32" i="23"/>
  <c r="Q32" i="23"/>
  <c r="BU32" i="23"/>
  <c r="BM32" i="23"/>
  <c r="W32" i="23"/>
  <c r="BT32" i="23"/>
  <c r="BL32" i="23"/>
  <c r="V32" i="23"/>
  <c r="AQ32" i="23" s="1"/>
  <c r="BS32" i="23"/>
  <c r="BK32" i="23"/>
  <c r="BR32" i="23"/>
  <c r="BY32" i="23"/>
  <c r="BQ32" i="23"/>
  <c r="T32" i="23"/>
  <c r="BR37" i="23"/>
  <c r="Q37" i="23"/>
  <c r="BY37" i="23"/>
  <c r="BQ37" i="23"/>
  <c r="W37" i="23"/>
  <c r="BX37" i="23"/>
  <c r="BP37" i="23"/>
  <c r="V37" i="23"/>
  <c r="BW37" i="23"/>
  <c r="BO37" i="23"/>
  <c r="U37" i="23"/>
  <c r="BV37" i="23"/>
  <c r="BN37" i="23"/>
  <c r="BU37" i="23"/>
  <c r="BM37" i="23"/>
  <c r="BT37" i="23"/>
  <c r="BL37" i="23"/>
  <c r="BS37" i="23"/>
  <c r="BK37" i="23"/>
  <c r="R37" i="23"/>
  <c r="T9" i="23"/>
  <c r="S10" i="23"/>
  <c r="Y10" i="23" s="1"/>
  <c r="R11" i="23"/>
  <c r="Q12" i="23"/>
  <c r="W13" i="23"/>
  <c r="V14" i="23"/>
  <c r="AQ14" i="23" s="1"/>
  <c r="U15" i="23"/>
  <c r="T17" i="23"/>
  <c r="S18" i="23"/>
  <c r="R41" i="23"/>
  <c r="Q21" i="23"/>
  <c r="W22" i="23"/>
  <c r="V23" i="23"/>
  <c r="V24" i="23"/>
  <c r="T26" i="23"/>
  <c r="AB26" i="23" s="1"/>
  <c r="BW12" i="23"/>
  <c r="BL17" i="23"/>
  <c r="BN41" i="23"/>
  <c r="BP22" i="23"/>
  <c r="BS35" i="23"/>
  <c r="BR10" i="23"/>
  <c r="BY10" i="23"/>
  <c r="BQ10" i="23"/>
  <c r="BX10" i="23"/>
  <c r="BP10" i="23"/>
  <c r="BW10" i="23"/>
  <c r="BO10" i="23"/>
  <c r="BV10" i="23"/>
  <c r="BN10" i="23"/>
  <c r="BS10" i="23"/>
  <c r="BK10" i="23"/>
  <c r="BT28" i="23"/>
  <c r="BL28" i="23"/>
  <c r="V28" i="23"/>
  <c r="BS28" i="23"/>
  <c r="BK28" i="23"/>
  <c r="U28" i="23"/>
  <c r="BR28" i="23"/>
  <c r="BY28" i="23"/>
  <c r="BQ28" i="23"/>
  <c r="T28" i="23"/>
  <c r="BX28" i="23"/>
  <c r="BP28" i="23"/>
  <c r="S28" i="23"/>
  <c r="BW28" i="23"/>
  <c r="BO28" i="23"/>
  <c r="BV28" i="23"/>
  <c r="BN28" i="23"/>
  <c r="BU28" i="23"/>
  <c r="BM28" i="23"/>
  <c r="W28" i="23"/>
  <c r="BV14" i="23"/>
  <c r="BN14" i="23"/>
  <c r="BU14" i="23"/>
  <c r="BM14" i="23"/>
  <c r="BT14" i="23"/>
  <c r="BL14" i="23"/>
  <c r="BS14" i="23"/>
  <c r="BK14" i="23"/>
  <c r="BR14" i="23"/>
  <c r="BW14" i="23"/>
  <c r="BO14" i="23"/>
  <c r="BU29" i="23"/>
  <c r="BM29" i="23"/>
  <c r="U29" i="23"/>
  <c r="BT29" i="23"/>
  <c r="BL29" i="23"/>
  <c r="BS29" i="23"/>
  <c r="BK29" i="23"/>
  <c r="T29" i="23"/>
  <c r="BR29" i="23"/>
  <c r="S29" i="23"/>
  <c r="BY29" i="23"/>
  <c r="BQ29" i="23"/>
  <c r="R29" i="23"/>
  <c r="BX29" i="23"/>
  <c r="BP29" i="23"/>
  <c r="BW29" i="23"/>
  <c r="BO29" i="23"/>
  <c r="BV29" i="23"/>
  <c r="BN29" i="23"/>
  <c r="V29" i="23"/>
  <c r="T10" i="23"/>
  <c r="S11" i="23"/>
  <c r="Y11" i="23" s="1"/>
  <c r="Q13" i="23"/>
  <c r="W14" i="23"/>
  <c r="V15" i="23"/>
  <c r="T18" i="23"/>
  <c r="S41" i="23"/>
  <c r="R21" i="23"/>
  <c r="Q22" i="23"/>
  <c r="Y22" i="23" s="1"/>
  <c r="W23" i="23"/>
  <c r="Q25" i="23"/>
  <c r="R27" i="23"/>
  <c r="V30" i="23"/>
  <c r="AQ30" i="23" s="1"/>
  <c r="S37" i="23"/>
  <c r="BK9" i="23"/>
  <c r="BO13" i="23"/>
  <c r="BQ15" i="23"/>
  <c r="BS17" i="23"/>
  <c r="BU41" i="23"/>
  <c r="BW22" i="23"/>
  <c r="BL26" i="23"/>
  <c r="BT12" i="23"/>
  <c r="BL12" i="23"/>
  <c r="BS12" i="23"/>
  <c r="BK12" i="23"/>
  <c r="BR12" i="23"/>
  <c r="BY12" i="23"/>
  <c r="BQ12" i="23"/>
  <c r="BX12" i="23"/>
  <c r="BP12" i="23"/>
  <c r="BU12" i="23"/>
  <c r="BM12" i="23"/>
  <c r="BS11" i="23"/>
  <c r="BK11" i="23"/>
  <c r="BR11" i="23"/>
  <c r="BY11" i="23"/>
  <c r="BQ11" i="23"/>
  <c r="BX11" i="23"/>
  <c r="BP11" i="23"/>
  <c r="BW11" i="23"/>
  <c r="BO11" i="23"/>
  <c r="BT11" i="23"/>
  <c r="BL11" i="23"/>
  <c r="BX16" i="23"/>
  <c r="BP16" i="23"/>
  <c r="BW16" i="23"/>
  <c r="BO16" i="23"/>
  <c r="BV16" i="23"/>
  <c r="BN16" i="23"/>
  <c r="BU16" i="23"/>
  <c r="BM16" i="23"/>
  <c r="BT16" i="23"/>
  <c r="BL16" i="23"/>
  <c r="BY16" i="23"/>
  <c r="BQ16" i="23"/>
  <c r="BY36" i="23"/>
  <c r="BQ36" i="23"/>
  <c r="R36" i="23"/>
  <c r="BX36" i="23"/>
  <c r="BP36" i="23"/>
  <c r="Q36" i="23"/>
  <c r="BW36" i="23"/>
  <c r="BO36" i="23"/>
  <c r="W36" i="23"/>
  <c r="BV36" i="23"/>
  <c r="BN36" i="23"/>
  <c r="V36" i="23"/>
  <c r="BU36" i="23"/>
  <c r="BM36" i="23"/>
  <c r="U36" i="23"/>
  <c r="BT36" i="23"/>
  <c r="BL36" i="23"/>
  <c r="BS36" i="23"/>
  <c r="BK36" i="23"/>
  <c r="BR36" i="23"/>
  <c r="S36" i="23"/>
  <c r="U9" i="23"/>
  <c r="AQ9" i="23" s="1"/>
  <c r="T11" i="23"/>
  <c r="S12" i="23"/>
  <c r="Y12" i="23" s="1"/>
  <c r="R13" i="23"/>
  <c r="Q14" i="23"/>
  <c r="W15" i="23"/>
  <c r="V16" i="23"/>
  <c r="AQ16" i="23" s="1"/>
  <c r="U17" i="23"/>
  <c r="T41" i="23"/>
  <c r="S21" i="23"/>
  <c r="R22" i="23"/>
  <c r="AA22" i="23" s="1"/>
  <c r="Q23" i="23"/>
  <c r="T25" i="23"/>
  <c r="S27" i="23"/>
  <c r="W30" i="23"/>
  <c r="T37" i="23"/>
  <c r="BL9" i="23"/>
  <c r="BN11" i="23"/>
  <c r="BP13" i="23"/>
  <c r="BR15" i="23"/>
  <c r="BT17" i="23"/>
  <c r="BV41" i="23"/>
  <c r="BP23" i="23"/>
  <c r="BT26" i="23"/>
  <c r="D80" i="20"/>
  <c r="H50" i="20"/>
  <c r="L50" i="20"/>
  <c r="I50" i="20"/>
  <c r="K50" i="20"/>
  <c r="J50" i="20"/>
  <c r="L15" i="20"/>
  <c r="J15" i="20"/>
  <c r="J16" i="20" s="1"/>
  <c r="K15" i="20"/>
  <c r="H21" i="20"/>
  <c r="H15" i="20"/>
  <c r="I16" i="20" s="1"/>
  <c r="AA16" i="23" l="1"/>
  <c r="Y16" i="23"/>
  <c r="Y23" i="23"/>
  <c r="Y15" i="23"/>
  <c r="AQ11" i="23"/>
  <c r="AA14" i="23"/>
  <c r="Y44" i="23"/>
  <c r="R29" i="4"/>
  <c r="S29" i="4" s="1"/>
  <c r="AQ41" i="23"/>
  <c r="AB16" i="23"/>
  <c r="AQ22" i="23"/>
  <c r="AQ29" i="23"/>
  <c r="AQ15" i="23"/>
  <c r="AB23" i="23"/>
  <c r="AB14" i="23"/>
  <c r="AQ10" i="23"/>
  <c r="AA23" i="23"/>
  <c r="AQ13" i="23"/>
  <c r="AQ28" i="23"/>
  <c r="AB22" i="23"/>
  <c r="AA17" i="23"/>
  <c r="Z17" i="23"/>
  <c r="AB17" i="23"/>
  <c r="AA31" i="23"/>
  <c r="Z31" i="23"/>
  <c r="Y31" i="23"/>
  <c r="AB31" i="23"/>
  <c r="AB38" i="23"/>
  <c r="AA38" i="23"/>
  <c r="Z38" i="23"/>
  <c r="Y38" i="23"/>
  <c r="AB25" i="23"/>
  <c r="AA25" i="23"/>
  <c r="Z25" i="23"/>
  <c r="Y25" i="23"/>
  <c r="AQ17" i="23"/>
  <c r="Z22" i="23"/>
  <c r="AB12" i="23"/>
  <c r="AA12" i="23"/>
  <c r="Z12" i="23"/>
  <c r="AA27" i="23"/>
  <c r="Z27" i="23"/>
  <c r="Y27" i="23"/>
  <c r="AB27" i="23"/>
  <c r="AB37" i="23"/>
  <c r="Y37" i="23"/>
  <c r="AA37" i="23"/>
  <c r="Z37" i="23"/>
  <c r="AA41" i="23"/>
  <c r="Z41" i="23"/>
  <c r="Y41" i="23"/>
  <c r="AB41" i="23"/>
  <c r="AB18" i="23"/>
  <c r="AA18" i="23"/>
  <c r="Z18" i="23"/>
  <c r="Y18" i="23"/>
  <c r="AQ37" i="23"/>
  <c r="AA13" i="23"/>
  <c r="Z13" i="23"/>
  <c r="AB13" i="23"/>
  <c r="AA11" i="23"/>
  <c r="Z11" i="23"/>
  <c r="AB11" i="23"/>
  <c r="AB36" i="23"/>
  <c r="AA36" i="23"/>
  <c r="Z36" i="23"/>
  <c r="Y36" i="23"/>
  <c r="AB10" i="23"/>
  <c r="AA10" i="23"/>
  <c r="Z10" i="23"/>
  <c r="AQ44" i="23"/>
  <c r="AQ25" i="23"/>
  <c r="Z26" i="23"/>
  <c r="AQ36" i="23"/>
  <c r="AB28" i="23"/>
  <c r="AA28" i="23"/>
  <c r="Z28" i="23"/>
  <c r="Y28" i="23"/>
  <c r="AQ24" i="23"/>
  <c r="AQ26" i="23"/>
  <c r="AQ38" i="23"/>
  <c r="AQ23" i="23"/>
  <c r="AB30" i="23"/>
  <c r="AA30" i="23"/>
  <c r="Z30" i="23"/>
  <c r="Y30" i="23"/>
  <c r="AQ35" i="23"/>
  <c r="AA15" i="23"/>
  <c r="Z15" i="23"/>
  <c r="AB15" i="23"/>
  <c r="AQ27" i="23"/>
  <c r="AA24" i="23"/>
  <c r="Z24" i="23"/>
  <c r="Y24" i="23"/>
  <c r="AB24" i="23"/>
  <c r="Z23" i="23"/>
  <c r="AQ18" i="23"/>
  <c r="AB21" i="23"/>
  <c r="AA21" i="23"/>
  <c r="Z21" i="23"/>
  <c r="Y21" i="23"/>
  <c r="AA29" i="23"/>
  <c r="Z29" i="23"/>
  <c r="Y29" i="23"/>
  <c r="AB29" i="23"/>
  <c r="AB32" i="23"/>
  <c r="AA32" i="23"/>
  <c r="Z32" i="23"/>
  <c r="Y32" i="23"/>
  <c r="Z16" i="23"/>
  <c r="AA35" i="23"/>
  <c r="Z35" i="23"/>
  <c r="Y35" i="23"/>
  <c r="AB35" i="23"/>
  <c r="Z14" i="23"/>
  <c r="L16" i="20"/>
  <c r="K16" i="20"/>
  <c r="U9" i="4" l="1"/>
  <c r="U198" i="2"/>
  <c r="U197" i="2"/>
  <c r="U196" i="2"/>
  <c r="U195" i="2"/>
  <c r="U194" i="2"/>
  <c r="U193" i="2"/>
  <c r="U192" i="2"/>
  <c r="U191" i="2"/>
  <c r="U190" i="2"/>
  <c r="U189" i="2"/>
  <c r="U188" i="2"/>
  <c r="U187" i="2"/>
  <c r="U186" i="2"/>
  <c r="U185" i="2"/>
  <c r="U184" i="2"/>
  <c r="U183" i="2"/>
  <c r="U182" i="2"/>
  <c r="U181" i="2"/>
  <c r="U180" i="2"/>
  <c r="U179" i="2"/>
  <c r="U178" i="2"/>
  <c r="U177" i="2"/>
  <c r="U176" i="2"/>
  <c r="U175" i="2"/>
  <c r="U174" i="2"/>
  <c r="U173" i="2"/>
  <c r="U172" i="2"/>
  <c r="U171" i="2"/>
  <c r="U170" i="2"/>
  <c r="U169" i="2"/>
  <c r="U168" i="2"/>
  <c r="U167" i="2"/>
  <c r="U166" i="2"/>
  <c r="U165" i="2"/>
  <c r="U164" i="2"/>
  <c r="U163" i="2"/>
  <c r="U162" i="2"/>
  <c r="U161" i="2"/>
  <c r="U160" i="2"/>
  <c r="U159" i="2"/>
  <c r="U158" i="2"/>
  <c r="U157" i="2"/>
  <c r="U156" i="2"/>
  <c r="U155" i="2"/>
  <c r="U154" i="2"/>
  <c r="U153" i="2"/>
  <c r="U152" i="2"/>
  <c r="U151" i="2"/>
  <c r="U150" i="2"/>
  <c r="U149" i="2"/>
  <c r="U148" i="2"/>
  <c r="U147" i="2"/>
  <c r="U146" i="2"/>
  <c r="U145" i="2"/>
  <c r="U144" i="2"/>
  <c r="U143" i="2"/>
  <c r="U142" i="2"/>
  <c r="U141" i="2"/>
  <c r="U140" i="2"/>
  <c r="U139" i="2"/>
  <c r="U138" i="2"/>
  <c r="U137" i="2"/>
  <c r="U136" i="2"/>
  <c r="U135" i="2"/>
  <c r="U134" i="2"/>
  <c r="U133" i="2"/>
  <c r="U132" i="2"/>
  <c r="U131" i="2"/>
  <c r="U130" i="2"/>
  <c r="U129" i="2"/>
  <c r="U128" i="2"/>
  <c r="U127" i="2"/>
  <c r="U126" i="2"/>
  <c r="U125" i="2"/>
  <c r="U124" i="2"/>
  <c r="U123" i="2"/>
  <c r="U122" i="2"/>
  <c r="U121" i="2"/>
  <c r="U120" i="2"/>
  <c r="U119" i="2"/>
  <c r="U118" i="2"/>
  <c r="U117" i="2"/>
  <c r="U116" i="2"/>
  <c r="U115" i="2"/>
  <c r="U114" i="2"/>
  <c r="U113" i="2"/>
  <c r="U112" i="2"/>
  <c r="U111" i="2"/>
  <c r="U110" i="2"/>
  <c r="U109" i="2"/>
  <c r="U108" i="2"/>
  <c r="U107" i="2"/>
  <c r="U106" i="2"/>
  <c r="U105" i="2"/>
  <c r="U104" i="2"/>
  <c r="U103" i="2"/>
  <c r="U102" i="2"/>
  <c r="U101" i="2"/>
  <c r="U100" i="2"/>
  <c r="U99" i="2"/>
  <c r="U98" i="2"/>
  <c r="U97" i="2"/>
  <c r="U95" i="2"/>
  <c r="U94" i="2"/>
  <c r="U93" i="2"/>
  <c r="U92" i="2"/>
  <c r="U91" i="2"/>
  <c r="U90" i="2"/>
  <c r="U89" i="2"/>
  <c r="U88" i="2"/>
  <c r="U87" i="2"/>
  <c r="U86" i="2"/>
  <c r="U85" i="2"/>
  <c r="U84" i="2"/>
  <c r="U83" i="2"/>
  <c r="U82" i="2"/>
  <c r="U81" i="2"/>
  <c r="U80" i="2"/>
  <c r="U79" i="2"/>
  <c r="U78" i="2"/>
  <c r="U77" i="2"/>
  <c r="U76" i="2"/>
  <c r="U75" i="2"/>
  <c r="U74" i="2"/>
  <c r="U73" i="2"/>
  <c r="U72" i="2"/>
  <c r="U71" i="2"/>
  <c r="U70" i="2"/>
  <c r="U69" i="2"/>
  <c r="U68" i="2"/>
  <c r="U67" i="2"/>
  <c r="U66" i="2"/>
  <c r="U65" i="2"/>
  <c r="U64" i="2"/>
  <c r="U63" i="2"/>
  <c r="U62" i="2"/>
  <c r="U61" i="2"/>
  <c r="U60" i="2"/>
  <c r="U59" i="2"/>
  <c r="U58" i="2"/>
  <c r="U57" i="2"/>
  <c r="U56" i="2"/>
  <c r="U55" i="2"/>
  <c r="U53" i="2"/>
  <c r="U52" i="2"/>
  <c r="U51" i="2"/>
  <c r="U50" i="2"/>
  <c r="U49" i="2"/>
  <c r="U48" i="2"/>
  <c r="U47" i="2"/>
  <c r="U46" i="2"/>
  <c r="U45" i="2"/>
  <c r="U44" i="2"/>
  <c r="U43" i="2"/>
  <c r="U42" i="2"/>
  <c r="U41" i="2"/>
  <c r="U40" i="2"/>
  <c r="U39" i="2"/>
  <c r="U38" i="2"/>
  <c r="U37" i="2"/>
  <c r="U36" i="2"/>
  <c r="U35" i="2"/>
  <c r="U34" i="2"/>
  <c r="U33" i="2"/>
  <c r="U32" i="2"/>
  <c r="U31" i="2"/>
  <c r="U30" i="2"/>
  <c r="U29" i="2"/>
  <c r="U28" i="2"/>
  <c r="U27" i="2"/>
  <c r="U26" i="2"/>
  <c r="U25" i="2"/>
  <c r="U24" i="2"/>
  <c r="U23" i="2"/>
  <c r="U22" i="2"/>
  <c r="U21" i="2"/>
  <c r="U20" i="2"/>
  <c r="U19" i="2"/>
  <c r="U18" i="2"/>
  <c r="U17" i="2"/>
  <c r="U16" i="2"/>
  <c r="U15" i="2"/>
  <c r="U14" i="2"/>
  <c r="U12" i="2"/>
  <c r="U11" i="2"/>
  <c r="U10" i="2"/>
  <c r="U198"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0" i="3"/>
  <c r="U88" i="3"/>
  <c r="U86" i="3"/>
  <c r="U84" i="3"/>
  <c r="U82" i="3"/>
  <c r="U80" i="3"/>
  <c r="U79" i="3"/>
  <c r="U78" i="3"/>
  <c r="U77" i="3"/>
  <c r="U76" i="3"/>
  <c r="U75" i="3"/>
  <c r="U74" i="3"/>
  <c r="U73" i="3"/>
  <c r="U71" i="3"/>
  <c r="U70" i="3"/>
  <c r="U69" i="3"/>
  <c r="U68" i="3"/>
  <c r="U66" i="3"/>
  <c r="U65" i="3"/>
  <c r="U64" i="3"/>
  <c r="U63" i="3"/>
  <c r="U61" i="3"/>
  <c r="U56" i="3"/>
  <c r="U51" i="3"/>
  <c r="U46" i="3"/>
  <c r="U41" i="3"/>
  <c r="U36" i="3"/>
  <c r="U31" i="3"/>
  <c r="U28" i="3"/>
  <c r="U27" i="3"/>
  <c r="U26" i="3"/>
  <c r="U25" i="3"/>
  <c r="U24" i="3"/>
  <c r="U23" i="3"/>
  <c r="U22" i="3"/>
  <c r="U21" i="3"/>
  <c r="U20" i="3"/>
  <c r="U19" i="3"/>
  <c r="U18" i="3"/>
  <c r="U17" i="3"/>
  <c r="U16" i="3"/>
  <c r="U15" i="3"/>
  <c r="U14" i="3"/>
  <c r="U13" i="3"/>
  <c r="U12" i="3"/>
  <c r="U11" i="3"/>
  <c r="U10" i="3"/>
  <c r="U9" i="3"/>
  <c r="U199" i="3"/>
  <c r="U200" i="3"/>
  <c r="U201" i="3"/>
  <c r="U202" i="3"/>
  <c r="U203" i="3"/>
  <c r="U204" i="3"/>
  <c r="U205" i="3"/>
  <c r="U206" i="3"/>
  <c r="U207" i="3"/>
  <c r="U208" i="3"/>
  <c r="U209" i="3"/>
  <c r="U210" i="3"/>
  <c r="U211" i="3"/>
  <c r="U212" i="3"/>
  <c r="U213" i="3"/>
  <c r="U214" i="3"/>
  <c r="U215" i="3"/>
  <c r="U216" i="3"/>
  <c r="U217" i="3"/>
  <c r="U218" i="3"/>
  <c r="U219" i="3"/>
  <c r="U220" i="3"/>
  <c r="U221" i="3"/>
  <c r="U222" i="3"/>
  <c r="U223" i="3"/>
  <c r="U224" i="3"/>
  <c r="U225" i="3"/>
  <c r="U226" i="3"/>
  <c r="U227" i="3"/>
  <c r="L228" i="3"/>
  <c r="M228" i="3"/>
  <c r="U228" i="3"/>
  <c r="M229" i="3"/>
  <c r="U229" i="3"/>
  <c r="L230" i="3"/>
  <c r="M230" i="3" s="1"/>
  <c r="U230" i="3"/>
  <c r="U231" i="3"/>
  <c r="U232" i="3"/>
  <c r="U233" i="3"/>
  <c r="U234" i="3"/>
  <c r="U235" i="3"/>
  <c r="U236" i="3"/>
  <c r="U237" i="3"/>
  <c r="U238" i="3"/>
  <c r="U239" i="3"/>
  <c r="U240" i="3"/>
  <c r="U241" i="3"/>
  <c r="U242" i="3"/>
  <c r="U243" i="3"/>
  <c r="U244" i="3"/>
  <c r="U245" i="3"/>
  <c r="U246" i="3"/>
  <c r="U247" i="3"/>
  <c r="U248" i="3"/>
  <c r="U249" i="3"/>
  <c r="U250" i="3"/>
  <c r="U251" i="3"/>
  <c r="U252" i="3"/>
  <c r="U253" i="3"/>
  <c r="U254" i="3"/>
  <c r="U255" i="3"/>
  <c r="U256" i="3"/>
  <c r="U257" i="3"/>
  <c r="U258" i="3"/>
  <c r="U259" i="3"/>
  <c r="U260" i="3"/>
  <c r="U261" i="3"/>
  <c r="U262" i="3"/>
  <c r="U263" i="3"/>
  <c r="U264" i="3"/>
  <c r="U265" i="3"/>
  <c r="U266" i="3"/>
  <c r="U267" i="3"/>
  <c r="U268" i="3"/>
  <c r="U269" i="3"/>
  <c r="U270" i="3"/>
  <c r="U271" i="3"/>
  <c r="U272" i="3"/>
  <c r="U273" i="3"/>
  <c r="U274" i="3"/>
  <c r="U275" i="3"/>
  <c r="U276" i="3"/>
  <c r="U277" i="3"/>
  <c r="U278" i="3"/>
  <c r="U279" i="3"/>
  <c r="U280" i="3"/>
  <c r="U281" i="3"/>
  <c r="U282" i="3"/>
  <c r="U283" i="3"/>
  <c r="U284" i="3"/>
  <c r="U285" i="3"/>
  <c r="U286" i="3"/>
  <c r="U287" i="3"/>
  <c r="U288" i="3"/>
  <c r="U289" i="3"/>
  <c r="U290" i="3"/>
  <c r="U291" i="3"/>
  <c r="U292" i="3"/>
  <c r="U293" i="3"/>
  <c r="U294" i="3"/>
  <c r="U295" i="3"/>
  <c r="U296" i="3"/>
  <c r="U297" i="3"/>
  <c r="U298" i="3"/>
  <c r="U299" i="3"/>
  <c r="U300" i="3"/>
  <c r="U301" i="3"/>
  <c r="U302" i="3"/>
  <c r="U303" i="3"/>
  <c r="U304" i="3"/>
  <c r="U305" i="3"/>
  <c r="U306" i="3"/>
  <c r="U307" i="3"/>
  <c r="U308" i="3"/>
  <c r="U309" i="3"/>
  <c r="U310" i="3"/>
  <c r="U311" i="3"/>
  <c r="U312" i="3"/>
  <c r="U313" i="3"/>
  <c r="U314" i="3"/>
  <c r="U315" i="3"/>
  <c r="U316" i="3"/>
  <c r="U317" i="3"/>
  <c r="U318" i="3"/>
  <c r="U319" i="3"/>
  <c r="U320" i="3"/>
  <c r="U321" i="3"/>
  <c r="U322" i="3"/>
  <c r="U323" i="3"/>
  <c r="U324" i="3"/>
  <c r="U325" i="3"/>
  <c r="U326" i="3"/>
  <c r="U327" i="3"/>
  <c r="U328" i="3"/>
  <c r="U329" i="3"/>
  <c r="U330" i="3"/>
  <c r="U331" i="3"/>
  <c r="U332" i="3"/>
  <c r="U333" i="3"/>
  <c r="U334" i="3"/>
  <c r="U335" i="3"/>
  <c r="U336" i="3"/>
  <c r="U337" i="3"/>
  <c r="U338" i="3"/>
  <c r="U339" i="3"/>
  <c r="U340" i="3"/>
  <c r="U341" i="3"/>
  <c r="U342" i="3"/>
  <c r="U343" i="3"/>
  <c r="U344" i="3"/>
  <c r="U345" i="3"/>
  <c r="U346" i="3"/>
  <c r="U347" i="3"/>
  <c r="U348" i="3"/>
  <c r="U349" i="3"/>
  <c r="U350" i="3"/>
  <c r="U351" i="3"/>
  <c r="U352" i="3"/>
  <c r="U353" i="3"/>
  <c r="U354" i="3"/>
  <c r="U355" i="3"/>
  <c r="U356" i="3"/>
  <c r="U357" i="3"/>
  <c r="U358" i="3"/>
  <c r="U359" i="3"/>
  <c r="U360" i="3"/>
  <c r="U361" i="3"/>
  <c r="U362" i="3"/>
  <c r="U363" i="3"/>
  <c r="U364" i="3"/>
  <c r="U365" i="3"/>
  <c r="U366" i="3"/>
  <c r="U367" i="3"/>
  <c r="U368" i="3"/>
  <c r="U369" i="3"/>
  <c r="U370" i="3"/>
  <c r="U371" i="3"/>
  <c r="U372" i="3"/>
  <c r="U373" i="3"/>
  <c r="U374" i="3"/>
  <c r="U375" i="3"/>
  <c r="U376" i="3"/>
  <c r="U377" i="3"/>
  <c r="U378" i="3"/>
  <c r="L23" i="18" l="1"/>
  <c r="O23" i="18"/>
  <c r="N23" i="18"/>
  <c r="J11" i="16"/>
  <c r="R9" i="16"/>
  <c r="Q10" i="18"/>
  <c r="R11" i="18"/>
  <c r="Q12" i="18"/>
  <c r="R12" i="18"/>
  <c r="J14" i="16" s="1"/>
  <c r="Q13" i="18"/>
  <c r="R13" i="18"/>
  <c r="J15" i="16" s="1"/>
  <c r="Q14" i="18"/>
  <c r="R14" i="18"/>
  <c r="J16" i="16" s="1"/>
  <c r="Q15" i="18"/>
  <c r="R15" i="18"/>
  <c r="J17" i="16" s="1"/>
  <c r="Q16" i="18"/>
  <c r="R16" i="18"/>
  <c r="J18" i="16" s="1"/>
  <c r="Q17" i="18"/>
  <c r="R17" i="18"/>
  <c r="J19" i="16" s="1"/>
  <c r="Q18" i="18"/>
  <c r="R18" i="18"/>
  <c r="J20" i="16" s="1"/>
  <c r="Q19" i="18"/>
  <c r="F21" i="16" s="1"/>
  <c r="R19" i="18"/>
  <c r="J21" i="16" s="1"/>
  <c r="Q20" i="18"/>
  <c r="R20" i="18"/>
  <c r="J22" i="16" s="1"/>
  <c r="R11" i="16"/>
  <c r="R12" i="16"/>
  <c r="R13" i="16"/>
  <c r="R14" i="16"/>
  <c r="R15" i="16"/>
  <c r="R16" i="16"/>
  <c r="R17" i="16"/>
  <c r="R18" i="16"/>
  <c r="R19" i="16"/>
  <c r="R20" i="16"/>
  <c r="R21" i="16"/>
  <c r="Q9" i="18"/>
  <c r="F11" i="16" s="1"/>
  <c r="H30" i="29"/>
  <c r="I30" i="29" s="1"/>
  <c r="J30" i="29" s="1"/>
  <c r="K30" i="29" s="1"/>
  <c r="L30" i="29" s="1"/>
  <c r="M30" i="29" s="1"/>
  <c r="N30" i="29" s="1"/>
  <c r="O30" i="29" s="1"/>
  <c r="G35" i="29"/>
  <c r="H31" i="29" s="1"/>
  <c r="F35" i="29"/>
  <c r="G31" i="29" s="1"/>
  <c r="F31" i="29"/>
  <c r="G32" i="29"/>
  <c r="F32" i="29"/>
  <c r="G33" i="29"/>
  <c r="F33" i="29"/>
  <c r="G15" i="29"/>
  <c r="G12" i="29"/>
  <c r="F15" i="29"/>
  <c r="F12" i="29"/>
  <c r="K18" i="4"/>
  <c r="K87" i="4" s="1"/>
  <c r="J18" i="4"/>
  <c r="J87" i="4" s="1"/>
  <c r="I18" i="4"/>
  <c r="I87" i="4" s="1"/>
  <c r="H18" i="4"/>
  <c r="H87" i="4" s="1"/>
  <c r="L94" i="2"/>
  <c r="K159" i="4"/>
  <c r="J159" i="4"/>
  <c r="I159" i="4"/>
  <c r="H159" i="4"/>
  <c r="J24" i="16" l="1"/>
  <c r="R23" i="18"/>
  <c r="L111" i="4"/>
  <c r="J12" i="16"/>
  <c r="Q23" i="18"/>
  <c r="G34" i="29"/>
  <c r="F34" i="29"/>
  <c r="F16" i="29"/>
  <c r="F17" i="29" s="1"/>
  <c r="F18" i="29" s="1"/>
  <c r="G16" i="29"/>
  <c r="G17" i="29" s="1"/>
  <c r="G18" i="29" s="1"/>
  <c r="S95" i="2" l="1"/>
  <c r="R95" i="2"/>
  <c r="Q95" i="2"/>
  <c r="P95" i="2"/>
  <c r="O95" i="2"/>
  <c r="N95" i="2"/>
  <c r="M95" i="2"/>
  <c r="L95" i="2"/>
  <c r="S105" i="4"/>
  <c r="R105" i="4"/>
  <c r="Q105" i="4"/>
  <c r="P105" i="4"/>
  <c r="O105" i="4"/>
  <c r="N105" i="4"/>
  <c r="M105" i="4"/>
  <c r="L31" i="2"/>
  <c r="H32" i="29" s="1"/>
  <c r="S98" i="2"/>
  <c r="R98" i="2"/>
  <c r="Q98" i="2"/>
  <c r="P98" i="2"/>
  <c r="O98" i="2"/>
  <c r="N98" i="2"/>
  <c r="M98" i="2"/>
  <c r="L98" i="2"/>
  <c r="M42" i="20" s="1"/>
  <c r="L195" i="3"/>
  <c r="M195" i="3" s="1"/>
  <c r="N195" i="3" s="1"/>
  <c r="O195" i="3" s="1"/>
  <c r="P195" i="3" s="1"/>
  <c r="Q195" i="3" s="1"/>
  <c r="R195" i="3" s="1"/>
  <c r="S195" i="3" s="1"/>
  <c r="J175" i="4"/>
  <c r="K170" i="4" s="1"/>
  <c r="I175" i="4"/>
  <c r="H175" i="4"/>
  <c r="I170" i="4" s="1"/>
  <c r="G175" i="4"/>
  <c r="H170" i="4" s="1"/>
  <c r="K175" i="4"/>
  <c r="L170" i="4" s="1"/>
  <c r="K174" i="4"/>
  <c r="J174" i="4"/>
  <c r="I174" i="4"/>
  <c r="H174" i="4"/>
  <c r="K172" i="4"/>
  <c r="J172" i="4"/>
  <c r="I172" i="4"/>
  <c r="H172" i="4"/>
  <c r="K171" i="4"/>
  <c r="J171" i="4"/>
  <c r="I171" i="4"/>
  <c r="H171" i="4"/>
  <c r="K154" i="4"/>
  <c r="K156" i="4"/>
  <c r="J156" i="4"/>
  <c r="I156" i="4"/>
  <c r="H156" i="4"/>
  <c r="G156" i="4"/>
  <c r="K168" i="4"/>
  <c r="L165" i="4" s="1"/>
  <c r="L168" i="4" s="1"/>
  <c r="M165" i="4" s="1"/>
  <c r="M168" i="4" s="1"/>
  <c r="N165" i="4" s="1"/>
  <c r="N168" i="4" s="1"/>
  <c r="O165" i="4" s="1"/>
  <c r="O168" i="4" s="1"/>
  <c r="P165" i="4" s="1"/>
  <c r="P168" i="4" s="1"/>
  <c r="Q165" i="4" s="1"/>
  <c r="Q168" i="4" s="1"/>
  <c r="R165" i="4" s="1"/>
  <c r="R168" i="4" s="1"/>
  <c r="S165" i="4" s="1"/>
  <c r="S168" i="4" s="1"/>
  <c r="J168" i="4"/>
  <c r="I168" i="4"/>
  <c r="J165" i="4" s="1"/>
  <c r="H168" i="4"/>
  <c r="I165" i="4" s="1"/>
  <c r="G168" i="4"/>
  <c r="H165" i="4" s="1"/>
  <c r="K161" i="4"/>
  <c r="J161" i="4"/>
  <c r="I161" i="4"/>
  <c r="H161" i="4"/>
  <c r="S152" i="4"/>
  <c r="R152" i="4"/>
  <c r="Q152" i="4"/>
  <c r="P152" i="4"/>
  <c r="O152" i="4"/>
  <c r="N152" i="4"/>
  <c r="M152" i="4"/>
  <c r="L152" i="4"/>
  <c r="S91" i="2"/>
  <c r="R91" i="2"/>
  <c r="Q91" i="2"/>
  <c r="P91" i="2"/>
  <c r="O91" i="2"/>
  <c r="N91" i="2"/>
  <c r="M91" i="2"/>
  <c r="L91" i="2"/>
  <c r="K164" i="4"/>
  <c r="L158" i="4" s="1"/>
  <c r="J164" i="4"/>
  <c r="K158" i="4" s="1"/>
  <c r="I164" i="4"/>
  <c r="J158" i="4" s="1"/>
  <c r="H164" i="4"/>
  <c r="I158" i="4" s="1"/>
  <c r="K193" i="3"/>
  <c r="J193" i="3"/>
  <c r="I193" i="3"/>
  <c r="H193" i="3"/>
  <c r="K190" i="3"/>
  <c r="J190" i="3"/>
  <c r="J192" i="3" s="1"/>
  <c r="I190" i="3"/>
  <c r="I192" i="3" s="1"/>
  <c r="H190" i="3"/>
  <c r="H192" i="3" s="1"/>
  <c r="K146" i="4"/>
  <c r="K143" i="4" s="1"/>
  <c r="J146" i="4"/>
  <c r="J143" i="4" s="1"/>
  <c r="I146" i="4"/>
  <c r="I143" i="4" s="1"/>
  <c r="H146" i="4"/>
  <c r="H143" i="4" s="1"/>
  <c r="G146" i="4"/>
  <c r="G143" i="4" s="1"/>
  <c r="F38" i="2"/>
  <c r="F37" i="2"/>
  <c r="K175" i="3"/>
  <c r="L175" i="3" s="1"/>
  <c r="J175" i="3"/>
  <c r="J176" i="3" s="1"/>
  <c r="I175" i="3"/>
  <c r="I176" i="3" s="1"/>
  <c r="H175" i="3"/>
  <c r="H176" i="3" s="1"/>
  <c r="G175" i="3"/>
  <c r="G176" i="3" s="1"/>
  <c r="J172" i="3"/>
  <c r="I172" i="3"/>
  <c r="H172" i="3"/>
  <c r="G172" i="3"/>
  <c r="L62" i="2"/>
  <c r="H33" i="29" s="1"/>
  <c r="K61" i="4"/>
  <c r="K60" i="4" s="1"/>
  <c r="L60" i="4" s="1"/>
  <c r="J61" i="4"/>
  <c r="J60" i="4" s="1"/>
  <c r="I61" i="4"/>
  <c r="I60" i="4" s="1"/>
  <c r="H61" i="4"/>
  <c r="H60" i="4" s="1"/>
  <c r="G61" i="4"/>
  <c r="G60" i="4" s="1"/>
  <c r="K52" i="2"/>
  <c r="L25" i="20" s="1"/>
  <c r="S47" i="2"/>
  <c r="R47" i="2"/>
  <c r="Q47" i="2"/>
  <c r="P47" i="2"/>
  <c r="O47" i="2"/>
  <c r="N47" i="2"/>
  <c r="M47" i="2"/>
  <c r="L47" i="2"/>
  <c r="K48" i="2"/>
  <c r="L48" i="2" s="1"/>
  <c r="M48" i="2" s="1"/>
  <c r="N48" i="2" s="1"/>
  <c r="O48" i="2" s="1"/>
  <c r="P48" i="2" s="1"/>
  <c r="Q48" i="2" s="1"/>
  <c r="R48" i="2" s="1"/>
  <c r="S48" i="2" s="1"/>
  <c r="J48" i="2"/>
  <c r="I48" i="2"/>
  <c r="H48" i="2"/>
  <c r="K47" i="2"/>
  <c r="J47" i="2"/>
  <c r="I47" i="2"/>
  <c r="H47" i="2"/>
  <c r="G48" i="2"/>
  <c r="G47" i="2"/>
  <c r="S52" i="2"/>
  <c r="T25" i="20" s="1"/>
  <c r="R52" i="2"/>
  <c r="S25" i="20" s="1"/>
  <c r="Q52" i="2"/>
  <c r="R25" i="20" s="1"/>
  <c r="P52" i="2"/>
  <c r="Q25" i="20" s="1"/>
  <c r="O52" i="2"/>
  <c r="P25" i="20" s="1"/>
  <c r="N52" i="2"/>
  <c r="O25" i="20" s="1"/>
  <c r="M52" i="2"/>
  <c r="N25" i="20" s="1"/>
  <c r="L52" i="2"/>
  <c r="M25" i="20" s="1"/>
  <c r="K51" i="2"/>
  <c r="J51" i="2"/>
  <c r="I51" i="2"/>
  <c r="H51" i="2"/>
  <c r="G51" i="2"/>
  <c r="L185" i="3"/>
  <c r="M185" i="3" s="1"/>
  <c r="H186" i="3"/>
  <c r="I186" i="3"/>
  <c r="J186" i="3"/>
  <c r="K186" i="3"/>
  <c r="L6" i="4"/>
  <c r="K64" i="4"/>
  <c r="J64" i="4"/>
  <c r="I64" i="4"/>
  <c r="H64" i="4"/>
  <c r="K63" i="4"/>
  <c r="J63" i="4"/>
  <c r="I63" i="4"/>
  <c r="H63" i="4"/>
  <c r="K37" i="4"/>
  <c r="I37" i="4"/>
  <c r="H37" i="4"/>
  <c r="K92" i="4"/>
  <c r="J92" i="4"/>
  <c r="I92" i="4"/>
  <c r="H92" i="4"/>
  <c r="G92" i="4"/>
  <c r="G89" i="4"/>
  <c r="H89" i="4"/>
  <c r="I89" i="4"/>
  <c r="J89" i="4"/>
  <c r="K89" i="4"/>
  <c r="L89" i="4" s="1"/>
  <c r="M89" i="4" s="1"/>
  <c r="N89" i="4" s="1"/>
  <c r="O89" i="4" s="1"/>
  <c r="P89" i="4" s="1"/>
  <c r="Q89" i="4" s="1"/>
  <c r="R89" i="4" s="1"/>
  <c r="S89" i="4" s="1"/>
  <c r="K88" i="4"/>
  <c r="J88" i="4"/>
  <c r="I88" i="4"/>
  <c r="H88" i="4"/>
  <c r="G88" i="4"/>
  <c r="S111" i="4"/>
  <c r="R111" i="4"/>
  <c r="Q111" i="4"/>
  <c r="P111" i="4"/>
  <c r="O111" i="4"/>
  <c r="N111" i="4"/>
  <c r="M111" i="4"/>
  <c r="L97" i="2"/>
  <c r="K58" i="4"/>
  <c r="J58" i="4"/>
  <c r="I58" i="4"/>
  <c r="H58" i="4"/>
  <c r="G58" i="4"/>
  <c r="L50" i="4"/>
  <c r="K50" i="4"/>
  <c r="K52" i="4" s="1"/>
  <c r="J50" i="4"/>
  <c r="J52" i="4" s="1"/>
  <c r="I50" i="4"/>
  <c r="I52" i="4" s="1"/>
  <c r="H50" i="4"/>
  <c r="H52" i="4" s="1"/>
  <c r="K142" i="3"/>
  <c r="J142" i="3"/>
  <c r="I142" i="3"/>
  <c r="H142" i="3"/>
  <c r="K141" i="3"/>
  <c r="J141" i="3"/>
  <c r="I141" i="3"/>
  <c r="H141" i="3"/>
  <c r="K144" i="3"/>
  <c r="J144" i="3"/>
  <c r="I144" i="3"/>
  <c r="H144" i="3"/>
  <c r="G144" i="3"/>
  <c r="L149" i="4" l="1"/>
  <c r="L124" i="4"/>
  <c r="L71" i="4"/>
  <c r="I35" i="20"/>
  <c r="J35" i="20"/>
  <c r="K35" i="20"/>
  <c r="L35" i="20"/>
  <c r="H21" i="4"/>
  <c r="H45" i="4"/>
  <c r="I21" i="4"/>
  <c r="I45" i="4"/>
  <c r="K21" i="4"/>
  <c r="K45" i="4"/>
  <c r="S97" i="2"/>
  <c r="R97" i="2"/>
  <c r="O97" i="2"/>
  <c r="P97" i="2"/>
  <c r="Q97" i="2"/>
  <c r="K24" i="20"/>
  <c r="L24" i="20"/>
  <c r="I24" i="20"/>
  <c r="J24" i="20"/>
  <c r="H24" i="20"/>
  <c r="M175" i="3"/>
  <c r="L65" i="2"/>
  <c r="M31" i="2"/>
  <c r="M62" i="2"/>
  <c r="M159" i="2"/>
  <c r="N159" i="2" s="1"/>
  <c r="M139" i="2"/>
  <c r="N139" i="2" s="1"/>
  <c r="O139" i="2" s="1"/>
  <c r="P139" i="2" s="1"/>
  <c r="Q139" i="2" s="1"/>
  <c r="R139" i="2" s="1"/>
  <c r="S139" i="2" s="1"/>
  <c r="M164" i="2"/>
  <c r="N164" i="2" s="1"/>
  <c r="O164" i="2" s="1"/>
  <c r="P164" i="2" s="1"/>
  <c r="Q164" i="2" s="1"/>
  <c r="R164" i="2" s="1"/>
  <c r="S164" i="2" s="1"/>
  <c r="M140" i="2"/>
  <c r="N140" i="2" s="1"/>
  <c r="O140" i="2" s="1"/>
  <c r="P140" i="2" s="1"/>
  <c r="Q140" i="2" s="1"/>
  <c r="R140" i="2" s="1"/>
  <c r="S140" i="2" s="1"/>
  <c r="M141" i="2"/>
  <c r="N141" i="2" s="1"/>
  <c r="O141" i="2" s="1"/>
  <c r="P141" i="2" s="1"/>
  <c r="Q141" i="2" s="1"/>
  <c r="R141" i="2" s="1"/>
  <c r="S141" i="2" s="1"/>
  <c r="M146" i="2"/>
  <c r="N146" i="2" s="1"/>
  <c r="O146" i="2" s="1"/>
  <c r="P146" i="2" s="1"/>
  <c r="Q146" i="2" s="1"/>
  <c r="R146" i="2" s="1"/>
  <c r="S146" i="2" s="1"/>
  <c r="M94" i="2"/>
  <c r="N94" i="2" s="1"/>
  <c r="N174" i="4" s="1"/>
  <c r="M156" i="2"/>
  <c r="N156" i="2" s="1"/>
  <c r="O156" i="2" s="1"/>
  <c r="P156" i="2" s="1"/>
  <c r="Q156" i="2" s="1"/>
  <c r="R156" i="2" s="1"/>
  <c r="S156" i="2" s="1"/>
  <c r="M158" i="2"/>
  <c r="N158" i="2" s="1"/>
  <c r="O158" i="2" s="1"/>
  <c r="P158" i="2" s="1"/>
  <c r="Q158" i="2" s="1"/>
  <c r="R158" i="2" s="1"/>
  <c r="S158" i="2" s="1"/>
  <c r="M150" i="2"/>
  <c r="N150" i="2" s="1"/>
  <c r="O150" i="2" s="1"/>
  <c r="P150" i="2" s="1"/>
  <c r="Q150" i="2" s="1"/>
  <c r="R150" i="2" s="1"/>
  <c r="S150" i="2" s="1"/>
  <c r="H173" i="4"/>
  <c r="K173" i="4"/>
  <c r="I173" i="4"/>
  <c r="J170" i="4"/>
  <c r="J173" i="4" s="1"/>
  <c r="L174" i="4"/>
  <c r="K192" i="3"/>
  <c r="J167" i="4"/>
  <c r="H167" i="4"/>
  <c r="K165" i="4"/>
  <c r="K167" i="4" s="1"/>
  <c r="I167" i="4"/>
  <c r="I162" i="4"/>
  <c r="L92" i="4"/>
  <c r="K162" i="4"/>
  <c r="H162" i="4"/>
  <c r="J162" i="4"/>
  <c r="K176" i="3"/>
  <c r="N97" i="2"/>
  <c r="M97" i="2"/>
  <c r="M60" i="4"/>
  <c r="N185" i="3"/>
  <c r="M186" i="3"/>
  <c r="M66" i="2" s="1"/>
  <c r="L186" i="3"/>
  <c r="L66" i="2" s="1"/>
  <c r="I65" i="4"/>
  <c r="J51" i="20" s="1"/>
  <c r="K65" i="4"/>
  <c r="L51" i="20" s="1"/>
  <c r="H65" i="4"/>
  <c r="I51" i="20" s="1"/>
  <c r="J65" i="4"/>
  <c r="K51" i="20" s="1"/>
  <c r="K55" i="4"/>
  <c r="L56" i="4" s="1"/>
  <c r="L64" i="4" s="1"/>
  <c r="I55" i="4"/>
  <c r="H55" i="4"/>
  <c r="J55" i="4"/>
  <c r="H38" i="4"/>
  <c r="H39" i="4"/>
  <c r="I38" i="4"/>
  <c r="I39" i="4"/>
  <c r="J37" i="4"/>
  <c r="L37" i="4"/>
  <c r="I51" i="4"/>
  <c r="H51" i="4"/>
  <c r="J51" i="4"/>
  <c r="K51" i="4"/>
  <c r="N42" i="20" l="1"/>
  <c r="O42" i="20"/>
  <c r="J21" i="4"/>
  <c r="J45" i="4"/>
  <c r="N62" i="2"/>
  <c r="I33" i="29"/>
  <c r="N31" i="2"/>
  <c r="I32" i="29"/>
  <c r="M92" i="4"/>
  <c r="N175" i="3"/>
  <c r="M65" i="2"/>
  <c r="O94" i="2"/>
  <c r="M174" i="4"/>
  <c r="L174" i="3"/>
  <c r="H96" i="4"/>
  <c r="J96" i="4"/>
  <c r="K96" i="4"/>
  <c r="I96" i="4"/>
  <c r="O159" i="2"/>
  <c r="N92" i="4"/>
  <c r="N60" i="4"/>
  <c r="L51" i="2"/>
  <c r="M35" i="20" s="1"/>
  <c r="O185" i="3"/>
  <c r="N186" i="3"/>
  <c r="N66" i="2" s="1"/>
  <c r="J38" i="4"/>
  <c r="K38" i="4"/>
  <c r="J39" i="4"/>
  <c r="K39" i="4"/>
  <c r="P94" i="2" l="1"/>
  <c r="P174" i="4" s="1"/>
  <c r="P42" i="20"/>
  <c r="M24" i="20"/>
  <c r="O31" i="2"/>
  <c r="J32" i="29"/>
  <c r="O174" i="4"/>
  <c r="O62" i="2"/>
  <c r="J33" i="29"/>
  <c r="O175" i="3"/>
  <c r="N65" i="2"/>
  <c r="P159" i="2"/>
  <c r="O92" i="4"/>
  <c r="O60" i="4"/>
  <c r="O186" i="3"/>
  <c r="O66" i="2" s="1"/>
  <c r="P185" i="3"/>
  <c r="Q94" i="2" l="1"/>
  <c r="Q42" i="20"/>
  <c r="P62" i="2"/>
  <c r="K33" i="29"/>
  <c r="P31" i="2"/>
  <c r="K32" i="29"/>
  <c r="P175" i="3"/>
  <c r="O65" i="2"/>
  <c r="Q159" i="2"/>
  <c r="P92" i="4"/>
  <c r="P60" i="4"/>
  <c r="P186" i="3"/>
  <c r="P66" i="2" s="1"/>
  <c r="Q185" i="3"/>
  <c r="R42" i="20" l="1"/>
  <c r="R94" i="2"/>
  <c r="Q174" i="4"/>
  <c r="Q31" i="2"/>
  <c r="L32" i="29"/>
  <c r="Q62" i="2"/>
  <c r="L33" i="29"/>
  <c r="Q175" i="3"/>
  <c r="P65" i="2"/>
  <c r="R159" i="2"/>
  <c r="Q92" i="4"/>
  <c r="Q60" i="4"/>
  <c r="Q186" i="3"/>
  <c r="Q66" i="2" s="1"/>
  <c r="R185" i="3"/>
  <c r="S42" i="20" l="1"/>
  <c r="S94" i="2"/>
  <c r="R174" i="4"/>
  <c r="R62" i="2"/>
  <c r="M33" i="29"/>
  <c r="R31" i="2"/>
  <c r="M32" i="29"/>
  <c r="R175" i="3"/>
  <c r="Q65" i="2"/>
  <c r="S159" i="2"/>
  <c r="S92" i="4" s="1"/>
  <c r="R92" i="4"/>
  <c r="R60" i="4"/>
  <c r="S185" i="3"/>
  <c r="S186" i="3" s="1"/>
  <c r="S66" i="2" s="1"/>
  <c r="R186" i="3"/>
  <c r="R66" i="2" s="1"/>
  <c r="T42" i="20" l="1"/>
  <c r="S174" i="4"/>
  <c r="S31" i="2"/>
  <c r="O32" i="29" s="1"/>
  <c r="N32" i="29"/>
  <c r="S62" i="2"/>
  <c r="O33" i="29" s="1"/>
  <c r="N33" i="29"/>
  <c r="S175" i="3"/>
  <c r="S65" i="2" s="1"/>
  <c r="R65" i="2"/>
  <c r="S60" i="4"/>
  <c r="K156" i="3" l="1"/>
  <c r="J156" i="3"/>
  <c r="I156" i="3"/>
  <c r="H156" i="3"/>
  <c r="L149" i="3"/>
  <c r="K149" i="3"/>
  <c r="K152" i="3" s="1"/>
  <c r="J149" i="3"/>
  <c r="J152" i="3" s="1"/>
  <c r="I149" i="3"/>
  <c r="I152" i="3" s="1"/>
  <c r="H149" i="3"/>
  <c r="H152" i="3" s="1"/>
  <c r="I160" i="3"/>
  <c r="I165" i="3" s="1"/>
  <c r="H160" i="3"/>
  <c r="H165" i="3" s="1"/>
  <c r="K160" i="3"/>
  <c r="J160" i="3"/>
  <c r="J165" i="3" s="1"/>
  <c r="J167" i="3"/>
  <c r="I167" i="3"/>
  <c r="H167" i="3"/>
  <c r="K167" i="3"/>
  <c r="K162" i="3"/>
  <c r="J162" i="3"/>
  <c r="I162" i="3"/>
  <c r="H162" i="3"/>
  <c r="G162" i="3"/>
  <c r="H158" i="3" s="1"/>
  <c r="J147" i="3"/>
  <c r="I147" i="3"/>
  <c r="H147" i="3"/>
  <c r="K147" i="3"/>
  <c r="K140" i="3"/>
  <c r="I140" i="3"/>
  <c r="H140" i="3"/>
  <c r="H161" i="3" l="1"/>
  <c r="L158" i="3"/>
  <c r="I158" i="3"/>
  <c r="I161" i="3" s="1"/>
  <c r="J158" i="3"/>
  <c r="J161" i="3" s="1"/>
  <c r="K158" i="3"/>
  <c r="K161" i="3" s="1"/>
  <c r="K143" i="3"/>
  <c r="I143" i="3"/>
  <c r="L140" i="3"/>
  <c r="J140" i="3"/>
  <c r="J143" i="3" s="1"/>
  <c r="H143" i="3"/>
  <c r="J52" i="2" l="1"/>
  <c r="K25" i="20" s="1"/>
  <c r="I52" i="2"/>
  <c r="J25" i="20" s="1"/>
  <c r="H52" i="2"/>
  <c r="I25" i="20" s="1"/>
  <c r="G52" i="2"/>
  <c r="H25" i="20" s="1"/>
  <c r="K165" i="3" l="1"/>
  <c r="K23" i="4" l="1"/>
  <c r="J23" i="4"/>
  <c r="I23" i="4"/>
  <c r="H23" i="4"/>
  <c r="K22" i="4"/>
  <c r="J29" i="4"/>
  <c r="J22" i="4" s="1"/>
  <c r="I29" i="4"/>
  <c r="I22" i="4" s="1"/>
  <c r="H29" i="4"/>
  <c r="H22" i="4" s="1"/>
  <c r="H197" i="3"/>
  <c r="I56" i="20" s="1"/>
  <c r="I197" i="3"/>
  <c r="J197" i="3"/>
  <c r="K197" i="3"/>
  <c r="G197" i="3"/>
  <c r="K84" i="2"/>
  <c r="K116" i="2" s="1"/>
  <c r="L38" i="20" s="1"/>
  <c r="J84" i="2"/>
  <c r="J116" i="2" s="1"/>
  <c r="K38" i="20" s="1"/>
  <c r="H110" i="2"/>
  <c r="H113" i="2" s="1"/>
  <c r="H189" i="3" l="1"/>
  <c r="H196" i="3" s="1"/>
  <c r="H56" i="20"/>
  <c r="M138" i="2"/>
  <c r="N138" i="2" s="1"/>
  <c r="O138" i="2" s="1"/>
  <c r="P138" i="2" s="1"/>
  <c r="Q138" i="2" s="1"/>
  <c r="R138" i="2" s="1"/>
  <c r="S138" i="2" s="1"/>
  <c r="M137" i="2"/>
  <c r="N137" i="2" s="1"/>
  <c r="O137" i="2" s="1"/>
  <c r="P137" i="2" s="1"/>
  <c r="Q137" i="2" s="1"/>
  <c r="R137" i="2" s="1"/>
  <c r="S137" i="2" s="1"/>
  <c r="M135" i="2"/>
  <c r="N135" i="2" s="1"/>
  <c r="O135" i="2" s="1"/>
  <c r="P135" i="2" s="1"/>
  <c r="Q135" i="2" s="1"/>
  <c r="R135" i="2" s="1"/>
  <c r="S135" i="2" s="1"/>
  <c r="K189" i="3"/>
  <c r="K196" i="3" s="1"/>
  <c r="J189" i="3"/>
  <c r="J196" i="3" s="1"/>
  <c r="L189" i="3"/>
  <c r="I189" i="3"/>
  <c r="I196" i="3" s="1"/>
  <c r="C132" i="3" l="1"/>
  <c r="U132" i="3" s="1"/>
  <c r="C131" i="3"/>
  <c r="U131" i="3" s="1"/>
  <c r="K128" i="2" l="1"/>
  <c r="L128" i="2" s="1"/>
  <c r="J128" i="2"/>
  <c r="I128" i="2"/>
  <c r="H128" i="2"/>
  <c r="K46" i="2"/>
  <c r="J46" i="2"/>
  <c r="I46" i="2"/>
  <c r="H46" i="2"/>
  <c r="G46" i="2"/>
  <c r="M128" i="2" l="1"/>
  <c r="N128" i="2" s="1"/>
  <c r="O128" i="2" s="1"/>
  <c r="P128" i="2" s="1"/>
  <c r="Q128" i="2" s="1"/>
  <c r="R128" i="2" s="1"/>
  <c r="S128" i="2" s="1"/>
  <c r="K111" i="3"/>
  <c r="J111" i="3"/>
  <c r="I111" i="3"/>
  <c r="H111" i="3"/>
  <c r="G111" i="3"/>
  <c r="K106" i="3"/>
  <c r="J106" i="3"/>
  <c r="I106" i="3"/>
  <c r="H106" i="3"/>
  <c r="G106" i="3"/>
  <c r="K113" i="2"/>
  <c r="J110" i="2"/>
  <c r="J113" i="2" s="1"/>
  <c r="I110" i="2"/>
  <c r="I113" i="2" s="1"/>
  <c r="G110" i="2"/>
  <c r="G113" i="2" s="1"/>
  <c r="G152" i="2"/>
  <c r="G160" i="2" s="1"/>
  <c r="G130" i="2"/>
  <c r="G103" i="2"/>
  <c r="K100" i="2"/>
  <c r="J100" i="2"/>
  <c r="G85" i="2"/>
  <c r="I85" i="2"/>
  <c r="H85" i="2"/>
  <c r="G75" i="2"/>
  <c r="H37" i="20" s="1"/>
  <c r="K41" i="2"/>
  <c r="K144" i="4" s="1"/>
  <c r="K145" i="4" s="1"/>
  <c r="J41" i="2"/>
  <c r="J144" i="4" s="1"/>
  <c r="J145" i="4" s="1"/>
  <c r="H41" i="2"/>
  <c r="G41" i="2"/>
  <c r="I41" i="2"/>
  <c r="I144" i="4" s="1"/>
  <c r="I145" i="4" s="1"/>
  <c r="K23" i="2"/>
  <c r="J23" i="2"/>
  <c r="I23" i="2"/>
  <c r="H23" i="2"/>
  <c r="G23" i="2"/>
  <c r="K15" i="2"/>
  <c r="J15" i="2"/>
  <c r="I15" i="2"/>
  <c r="H15" i="2"/>
  <c r="G15" i="2"/>
  <c r="I103" i="2"/>
  <c r="K85" i="2"/>
  <c r="J85" i="2"/>
  <c r="J166" i="2"/>
  <c r="I166" i="2"/>
  <c r="I168" i="2" s="1"/>
  <c r="H166" i="2"/>
  <c r="H168" i="2" s="1"/>
  <c r="G166" i="2"/>
  <c r="G168" i="2" s="1"/>
  <c r="K166" i="2"/>
  <c r="J152" i="2"/>
  <c r="J160" i="2" s="1"/>
  <c r="I152" i="2"/>
  <c r="I160" i="2" s="1"/>
  <c r="H152" i="2"/>
  <c r="H160" i="2" s="1"/>
  <c r="K152" i="2"/>
  <c r="J130" i="2"/>
  <c r="I130" i="2"/>
  <c r="H130" i="2"/>
  <c r="K130" i="2"/>
  <c r="H144" i="4" l="1"/>
  <c r="H145" i="4" s="1"/>
  <c r="I57" i="20"/>
  <c r="K103" i="2"/>
  <c r="L41" i="20"/>
  <c r="J103" i="2"/>
  <c r="K41" i="20"/>
  <c r="G144" i="4"/>
  <c r="G145" i="4" s="1"/>
  <c r="H57" i="20"/>
  <c r="G32" i="5"/>
  <c r="H17" i="20"/>
  <c r="H18" i="20" s="1"/>
  <c r="H32" i="5"/>
  <c r="I17" i="20"/>
  <c r="I32" i="5"/>
  <c r="J17" i="20"/>
  <c r="K32" i="5"/>
  <c r="L17" i="20"/>
  <c r="J32" i="5"/>
  <c r="K17" i="20"/>
  <c r="I113" i="3"/>
  <c r="I33" i="5"/>
  <c r="H113" i="3"/>
  <c r="H33" i="5"/>
  <c r="J113" i="3"/>
  <c r="J33" i="5"/>
  <c r="K113" i="3"/>
  <c r="K33" i="5"/>
  <c r="G113" i="3"/>
  <c r="G33" i="5"/>
  <c r="G101" i="3"/>
  <c r="G128" i="3"/>
  <c r="G132" i="3" s="1"/>
  <c r="G127" i="3"/>
  <c r="G131" i="3" s="1"/>
  <c r="I101" i="3"/>
  <c r="I128" i="3"/>
  <c r="I132" i="3" s="1"/>
  <c r="I127" i="3"/>
  <c r="I131" i="3" s="1"/>
  <c r="H101" i="3"/>
  <c r="H127" i="3"/>
  <c r="H131" i="3" s="1"/>
  <c r="H128" i="3"/>
  <c r="H132" i="3" s="1"/>
  <c r="J101" i="3"/>
  <c r="J127" i="3"/>
  <c r="J131" i="3" s="1"/>
  <c r="J128" i="3"/>
  <c r="J132" i="3" s="1"/>
  <c r="K101" i="3"/>
  <c r="K128" i="3"/>
  <c r="K132" i="3" s="1"/>
  <c r="K127" i="3"/>
  <c r="K131" i="3" s="1"/>
  <c r="C60" i="3"/>
  <c r="U60" i="3" s="1"/>
  <c r="C59" i="3"/>
  <c r="U59" i="3" s="1"/>
  <c r="C58" i="3"/>
  <c r="C55" i="3"/>
  <c r="U55" i="3" s="1"/>
  <c r="C54" i="3"/>
  <c r="U54" i="3" s="1"/>
  <c r="C53" i="3"/>
  <c r="C50" i="3"/>
  <c r="U50" i="3" s="1"/>
  <c r="C49" i="3"/>
  <c r="U49" i="3" s="1"/>
  <c r="C48" i="3"/>
  <c r="C40" i="3"/>
  <c r="U40" i="3" s="1"/>
  <c r="C39" i="3"/>
  <c r="U39" i="3" s="1"/>
  <c r="C45" i="3"/>
  <c r="U45" i="3" s="1"/>
  <c r="C44" i="3"/>
  <c r="U44" i="3" s="1"/>
  <c r="C43" i="3"/>
  <c r="C35" i="3"/>
  <c r="U35" i="3" s="1"/>
  <c r="C34" i="3"/>
  <c r="U34" i="3" s="1"/>
  <c r="C33" i="3"/>
  <c r="U33" i="3" s="1"/>
  <c r="C38" i="3"/>
  <c r="C67" i="3"/>
  <c r="U67" i="3" s="1"/>
  <c r="S72" i="3"/>
  <c r="S110" i="3" s="1"/>
  <c r="R72" i="3"/>
  <c r="R110" i="3" s="1"/>
  <c r="Q72" i="3"/>
  <c r="Q110" i="3" s="1"/>
  <c r="P72" i="3"/>
  <c r="P110" i="3" s="1"/>
  <c r="O72" i="3"/>
  <c r="O110" i="3" s="1"/>
  <c r="N72" i="3"/>
  <c r="N110" i="3" s="1"/>
  <c r="M72" i="3"/>
  <c r="M110" i="3" s="1"/>
  <c r="L72" i="3"/>
  <c r="L110" i="3" s="1"/>
  <c r="U72" i="3"/>
  <c r="C37" i="3" l="1"/>
  <c r="U37" i="3" s="1"/>
  <c r="U38" i="3"/>
  <c r="C57" i="3"/>
  <c r="U57" i="3" s="1"/>
  <c r="U58" i="3"/>
  <c r="C42" i="3"/>
  <c r="U42" i="3" s="1"/>
  <c r="U43" i="3"/>
  <c r="C47" i="3"/>
  <c r="U47" i="3" s="1"/>
  <c r="U48" i="3"/>
  <c r="C52" i="3"/>
  <c r="U52" i="3" s="1"/>
  <c r="U53" i="3"/>
  <c r="K92" i="3"/>
  <c r="J92" i="3"/>
  <c r="I92" i="3"/>
  <c r="H92" i="3"/>
  <c r="G92" i="3"/>
  <c r="C91" i="3"/>
  <c r="U91" i="3" s="1"/>
  <c r="C89" i="3"/>
  <c r="U89" i="3" s="1"/>
  <c r="C87" i="3"/>
  <c r="U87" i="3" s="1"/>
  <c r="C85" i="3"/>
  <c r="U85" i="3" s="1"/>
  <c r="C83" i="3"/>
  <c r="U83" i="3" s="1"/>
  <c r="C81" i="3"/>
  <c r="U81" i="3" s="1"/>
  <c r="S57" i="3"/>
  <c r="S91" i="3" s="1"/>
  <c r="R57" i="3"/>
  <c r="R91" i="3" s="1"/>
  <c r="Q57" i="3"/>
  <c r="Q91" i="3" s="1"/>
  <c r="P57" i="3"/>
  <c r="P91" i="3" s="1"/>
  <c r="O57" i="3"/>
  <c r="O91" i="3" s="1"/>
  <c r="N57" i="3"/>
  <c r="N91" i="3" s="1"/>
  <c r="M57" i="3"/>
  <c r="M91" i="3" s="1"/>
  <c r="L57" i="3"/>
  <c r="L91" i="3" s="1"/>
  <c r="S52" i="3"/>
  <c r="S89" i="3" s="1"/>
  <c r="R52" i="3"/>
  <c r="R89" i="3" s="1"/>
  <c r="Q52" i="3"/>
  <c r="Q89" i="3" s="1"/>
  <c r="P52" i="3"/>
  <c r="P89" i="3" s="1"/>
  <c r="O52" i="3"/>
  <c r="O89" i="3" s="1"/>
  <c r="N52" i="3"/>
  <c r="N89" i="3" s="1"/>
  <c r="M52" i="3"/>
  <c r="M89" i="3" s="1"/>
  <c r="L52" i="3"/>
  <c r="L89" i="3" s="1"/>
  <c r="L88" i="3" s="1"/>
  <c r="M13" i="20" s="1"/>
  <c r="S47" i="3"/>
  <c r="S87" i="3" s="1"/>
  <c r="R47" i="3"/>
  <c r="R87" i="3" s="1"/>
  <c r="Q47" i="3"/>
  <c r="Q87" i="3" s="1"/>
  <c r="P47" i="3"/>
  <c r="P87" i="3" s="1"/>
  <c r="O47" i="3"/>
  <c r="O87" i="3" s="1"/>
  <c r="N47" i="3"/>
  <c r="N87" i="3" s="1"/>
  <c r="M47" i="3"/>
  <c r="M87" i="3" s="1"/>
  <c r="L47" i="3"/>
  <c r="L87" i="3" s="1"/>
  <c r="L86" i="3" s="1"/>
  <c r="M12" i="20" s="1"/>
  <c r="L7" i="2"/>
  <c r="G7" i="3"/>
  <c r="B1" i="18"/>
  <c r="B1" i="16"/>
  <c r="B1" i="20"/>
  <c r="B1" i="10"/>
  <c r="C1" i="9"/>
  <c r="C1" i="8"/>
  <c r="C1" i="21"/>
  <c r="B1" i="6"/>
  <c r="B1" i="5"/>
  <c r="B1" i="4"/>
  <c r="C62" i="3"/>
  <c r="U62" i="3" s="1"/>
  <c r="B2" i="2"/>
  <c r="R120" i="21"/>
  <c r="R119" i="21"/>
  <c r="R118" i="21"/>
  <c r="R117" i="21"/>
  <c r="R116" i="21"/>
  <c r="R115" i="21"/>
  <c r="R114" i="21"/>
  <c r="R113" i="21"/>
  <c r="R112" i="21"/>
  <c r="R111" i="21"/>
  <c r="R110" i="21"/>
  <c r="R109" i="21"/>
  <c r="R108" i="21"/>
  <c r="R107" i="21"/>
  <c r="R106" i="21"/>
  <c r="R105" i="21"/>
  <c r="R104" i="21"/>
  <c r="R103" i="21"/>
  <c r="R102" i="21"/>
  <c r="R101" i="21"/>
  <c r="R100" i="21"/>
  <c r="R99" i="21"/>
  <c r="R98" i="21"/>
  <c r="R97" i="21"/>
  <c r="R96" i="21"/>
  <c r="R95" i="21"/>
  <c r="R94" i="21"/>
  <c r="R93" i="21"/>
  <c r="R92" i="21"/>
  <c r="R91" i="21"/>
  <c r="R90" i="21"/>
  <c r="R89" i="21"/>
  <c r="R88" i="21"/>
  <c r="R87" i="21"/>
  <c r="R86" i="21"/>
  <c r="R85" i="21"/>
  <c r="R84" i="21"/>
  <c r="R83" i="21"/>
  <c r="R82" i="21"/>
  <c r="R81" i="21"/>
  <c r="R80" i="21"/>
  <c r="R79" i="21"/>
  <c r="R78" i="21"/>
  <c r="R77" i="21"/>
  <c r="R76" i="21"/>
  <c r="R75" i="21"/>
  <c r="R74" i="21"/>
  <c r="R73" i="21"/>
  <c r="R72" i="21"/>
  <c r="R71" i="21"/>
  <c r="R70" i="21"/>
  <c r="R69" i="21"/>
  <c r="R68" i="21"/>
  <c r="R67" i="21"/>
  <c r="R66" i="21"/>
  <c r="R65" i="21"/>
  <c r="R64" i="21"/>
  <c r="R63" i="21"/>
  <c r="R62" i="21"/>
  <c r="R61" i="21"/>
  <c r="R60" i="21"/>
  <c r="R59" i="21"/>
  <c r="R58" i="21"/>
  <c r="R57" i="21"/>
  <c r="R56" i="21"/>
  <c r="R55" i="21"/>
  <c r="R54" i="21"/>
  <c r="R53" i="21"/>
  <c r="R52" i="21"/>
  <c r="R51" i="21"/>
  <c r="R50" i="21"/>
  <c r="R49" i="21"/>
  <c r="R48" i="21"/>
  <c r="R47" i="21"/>
  <c r="R46" i="21"/>
  <c r="R43" i="21"/>
  <c r="R42" i="21"/>
  <c r="R41" i="21"/>
  <c r="R39" i="21"/>
  <c r="R37" i="21"/>
  <c r="R35" i="21"/>
  <c r="R33" i="21"/>
  <c r="R32" i="21"/>
  <c r="R31" i="21"/>
  <c r="R30" i="21"/>
  <c r="R24" i="21"/>
  <c r="R23" i="21"/>
  <c r="R16" i="21"/>
  <c r="R15" i="21"/>
  <c r="R14" i="21"/>
  <c r="R13" i="21"/>
  <c r="R12" i="21"/>
  <c r="R11" i="21"/>
  <c r="R9" i="21"/>
  <c r="U470" i="2"/>
  <c r="U469" i="2"/>
  <c r="U468" i="2"/>
  <c r="U467" i="2"/>
  <c r="U466" i="2"/>
  <c r="U465" i="2"/>
  <c r="U464" i="2"/>
  <c r="U463" i="2"/>
  <c r="U462" i="2"/>
  <c r="U461" i="2"/>
  <c r="U460" i="2"/>
  <c r="U459" i="2"/>
  <c r="U458" i="2"/>
  <c r="U457" i="2"/>
  <c r="U456" i="2"/>
  <c r="U455" i="2"/>
  <c r="U454" i="2"/>
  <c r="U453" i="2"/>
  <c r="U452" i="2"/>
  <c r="U451" i="2"/>
  <c r="U450" i="2"/>
  <c r="U449" i="2"/>
  <c r="U448" i="2"/>
  <c r="U447" i="2"/>
  <c r="U446" i="2"/>
  <c r="U445" i="2"/>
  <c r="U444" i="2"/>
  <c r="U443" i="2"/>
  <c r="U442" i="2"/>
  <c r="U441" i="2"/>
  <c r="U440" i="2"/>
  <c r="U439" i="2"/>
  <c r="U438" i="2"/>
  <c r="U437" i="2"/>
  <c r="U436" i="2"/>
  <c r="U435" i="2"/>
  <c r="U434" i="2"/>
  <c r="U433" i="2"/>
  <c r="U432" i="2"/>
  <c r="U431" i="2"/>
  <c r="U430" i="2"/>
  <c r="U429" i="2"/>
  <c r="U428" i="2"/>
  <c r="U427" i="2"/>
  <c r="U426" i="2"/>
  <c r="U425" i="2"/>
  <c r="U424" i="2"/>
  <c r="U423" i="2"/>
  <c r="U422" i="2"/>
  <c r="U421" i="2"/>
  <c r="U420" i="2"/>
  <c r="U419" i="2"/>
  <c r="U418" i="2"/>
  <c r="U417" i="2"/>
  <c r="U416" i="2"/>
  <c r="U415" i="2"/>
  <c r="U414" i="2"/>
  <c r="U413" i="2"/>
  <c r="U412" i="2"/>
  <c r="U411" i="2"/>
  <c r="U410" i="2"/>
  <c r="U409" i="2"/>
  <c r="U408" i="2"/>
  <c r="U407" i="2"/>
  <c r="U406" i="2"/>
  <c r="U405" i="2"/>
  <c r="U404" i="2"/>
  <c r="U403" i="2"/>
  <c r="U402" i="2"/>
  <c r="U401" i="2"/>
  <c r="U400" i="2"/>
  <c r="U399" i="2"/>
  <c r="U398" i="2"/>
  <c r="U397" i="2"/>
  <c r="U396" i="2"/>
  <c r="U395" i="2"/>
  <c r="U394" i="2"/>
  <c r="U393" i="2"/>
  <c r="U392" i="2"/>
  <c r="U391" i="2"/>
  <c r="U390" i="2"/>
  <c r="U389" i="2"/>
  <c r="U388" i="2"/>
  <c r="U387" i="2"/>
  <c r="U386" i="2"/>
  <c r="U385" i="2"/>
  <c r="U384" i="2"/>
  <c r="U383" i="2"/>
  <c r="U382" i="2"/>
  <c r="U381" i="2"/>
  <c r="U380" i="2"/>
  <c r="U379" i="2"/>
  <c r="U378" i="2"/>
  <c r="U377" i="2"/>
  <c r="U376" i="2"/>
  <c r="U375" i="2"/>
  <c r="U374" i="2"/>
  <c r="U373" i="2"/>
  <c r="U372" i="2"/>
  <c r="U371" i="2"/>
  <c r="U370" i="2"/>
  <c r="U369" i="2"/>
  <c r="U368" i="2"/>
  <c r="U367" i="2"/>
  <c r="U366" i="2"/>
  <c r="U365" i="2"/>
  <c r="U364" i="2"/>
  <c r="U363" i="2"/>
  <c r="U362" i="2"/>
  <c r="U361" i="2"/>
  <c r="U360" i="2"/>
  <c r="U359" i="2"/>
  <c r="U358" i="2"/>
  <c r="U357" i="2"/>
  <c r="U356" i="2"/>
  <c r="U355" i="2"/>
  <c r="U354" i="2"/>
  <c r="U353" i="2"/>
  <c r="U352" i="2"/>
  <c r="U351" i="2"/>
  <c r="U350" i="2"/>
  <c r="U349" i="2"/>
  <c r="U348" i="2"/>
  <c r="U347" i="2"/>
  <c r="U346" i="2"/>
  <c r="U345" i="2"/>
  <c r="U344" i="2"/>
  <c r="U343" i="2"/>
  <c r="U342" i="2"/>
  <c r="U341" i="2"/>
  <c r="U340" i="2"/>
  <c r="U339" i="2"/>
  <c r="U338" i="2"/>
  <c r="U337" i="2"/>
  <c r="U336" i="2"/>
  <c r="U335" i="2"/>
  <c r="U334" i="2"/>
  <c r="U333" i="2"/>
  <c r="U332" i="2"/>
  <c r="U331" i="2"/>
  <c r="U330" i="2"/>
  <c r="U329" i="2"/>
  <c r="U328" i="2"/>
  <c r="U327" i="2"/>
  <c r="U326" i="2"/>
  <c r="U325" i="2"/>
  <c r="U324" i="2"/>
  <c r="U323" i="2"/>
  <c r="U322" i="2"/>
  <c r="U321" i="2"/>
  <c r="U320" i="2"/>
  <c r="U319" i="2"/>
  <c r="U318" i="2"/>
  <c r="U317" i="2"/>
  <c r="U316" i="2"/>
  <c r="U315" i="2"/>
  <c r="U314" i="2"/>
  <c r="U313" i="2"/>
  <c r="U312" i="2"/>
  <c r="U311" i="2"/>
  <c r="U310" i="2"/>
  <c r="U309" i="2"/>
  <c r="U308" i="2"/>
  <c r="U307" i="2"/>
  <c r="U306" i="2"/>
  <c r="U305" i="2"/>
  <c r="U304" i="2"/>
  <c r="U303" i="2"/>
  <c r="U302" i="2"/>
  <c r="U301" i="2"/>
  <c r="U300" i="2"/>
  <c r="U299" i="2"/>
  <c r="U298" i="2"/>
  <c r="U297" i="2"/>
  <c r="U296" i="2"/>
  <c r="U295" i="2"/>
  <c r="U294" i="2"/>
  <c r="U293" i="2"/>
  <c r="U292" i="2"/>
  <c r="U291" i="2"/>
  <c r="U290" i="2"/>
  <c r="U289" i="2"/>
  <c r="U288" i="2"/>
  <c r="U287" i="2"/>
  <c r="U286" i="2"/>
  <c r="U285" i="2"/>
  <c r="U284" i="2"/>
  <c r="U283" i="2"/>
  <c r="U282" i="2"/>
  <c r="U281" i="2"/>
  <c r="U280" i="2"/>
  <c r="U279" i="2"/>
  <c r="U278" i="2"/>
  <c r="U277" i="2"/>
  <c r="U276" i="2"/>
  <c r="U275" i="2"/>
  <c r="U274" i="2"/>
  <c r="U273" i="2"/>
  <c r="U272" i="2"/>
  <c r="U271" i="2"/>
  <c r="U270" i="2"/>
  <c r="U269" i="2"/>
  <c r="U268" i="2"/>
  <c r="U267" i="2"/>
  <c r="U266" i="2"/>
  <c r="U265" i="2"/>
  <c r="U264" i="2"/>
  <c r="U263" i="2"/>
  <c r="U262" i="2"/>
  <c r="U261" i="2"/>
  <c r="U260" i="2"/>
  <c r="U259" i="2"/>
  <c r="U258" i="2"/>
  <c r="U257" i="2"/>
  <c r="U256" i="2"/>
  <c r="U255" i="2"/>
  <c r="U254" i="2"/>
  <c r="U253" i="2"/>
  <c r="U252" i="2"/>
  <c r="U251" i="2"/>
  <c r="U250" i="2"/>
  <c r="U249" i="2"/>
  <c r="U248" i="2"/>
  <c r="U247" i="2"/>
  <c r="U246" i="2"/>
  <c r="U245" i="2"/>
  <c r="U244" i="2"/>
  <c r="U243" i="2"/>
  <c r="U242" i="2"/>
  <c r="U241" i="2"/>
  <c r="U240" i="2"/>
  <c r="U239" i="2"/>
  <c r="U238" i="2"/>
  <c r="U237" i="2"/>
  <c r="U236" i="2"/>
  <c r="U235" i="2"/>
  <c r="U234" i="2"/>
  <c r="U233" i="2"/>
  <c r="U232" i="2"/>
  <c r="U231" i="2"/>
  <c r="U230" i="2"/>
  <c r="U229" i="2"/>
  <c r="U228" i="2"/>
  <c r="U227" i="2"/>
  <c r="U226" i="2"/>
  <c r="U225" i="2"/>
  <c r="U224" i="2"/>
  <c r="U223" i="2"/>
  <c r="U222" i="2"/>
  <c r="U221" i="2"/>
  <c r="U220" i="2"/>
  <c r="U219" i="2"/>
  <c r="U218" i="2"/>
  <c r="U217" i="2"/>
  <c r="U216" i="2"/>
  <c r="U215" i="2"/>
  <c r="U214" i="2"/>
  <c r="U213" i="2"/>
  <c r="U212" i="2"/>
  <c r="U211" i="2"/>
  <c r="U210" i="2"/>
  <c r="U209" i="2"/>
  <c r="U208" i="2"/>
  <c r="U207" i="2"/>
  <c r="U206" i="2"/>
  <c r="U205" i="2"/>
  <c r="U204" i="2"/>
  <c r="U203" i="2"/>
  <c r="U202" i="2"/>
  <c r="U201" i="2"/>
  <c r="U200" i="2"/>
  <c r="U8" i="2"/>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C3" i="19"/>
  <c r="L57" i="24"/>
  <c r="N57" i="24"/>
  <c r="O57" i="24"/>
  <c r="F43" i="25"/>
  <c r="Q57" i="24"/>
  <c r="R57" i="24"/>
  <c r="S57" i="24"/>
  <c r="T57" i="24"/>
  <c r="AH41" i="23"/>
  <c r="AE38" i="23"/>
  <c r="AM38" i="23"/>
  <c r="AG41" i="23"/>
  <c r="AL41" i="23"/>
  <c r="D3" i="24"/>
  <c r="E3" i="24"/>
  <c r="F3" i="24"/>
  <c r="H3" i="24"/>
  <c r="I3" i="24"/>
  <c r="J3" i="24"/>
  <c r="K3" i="24"/>
  <c r="T3" i="24"/>
  <c r="F4" i="24"/>
  <c r="H4" i="24"/>
  <c r="I4" i="24"/>
  <c r="J4" i="24"/>
  <c r="K4" i="24"/>
  <c r="L4" i="24"/>
  <c r="M4" i="24"/>
  <c r="N4" i="24"/>
  <c r="O4" i="24"/>
  <c r="P4" i="24"/>
  <c r="Q4" i="24"/>
  <c r="R4" i="24"/>
  <c r="S4" i="24"/>
  <c r="T4" i="24"/>
  <c r="B8" i="24"/>
  <c r="J8" i="24" s="1"/>
  <c r="B9" i="24"/>
  <c r="B55" i="24"/>
  <c r="F4" i="25"/>
  <c r="D4" i="25"/>
  <c r="B55" i="25"/>
  <c r="AX6" i="23"/>
  <c r="B25" i="16"/>
  <c r="F22" i="16"/>
  <c r="G59" i="21"/>
  <c r="H59" i="21"/>
  <c r="I59" i="21"/>
  <c r="J59" i="21"/>
  <c r="B11" i="16"/>
  <c r="C70" i="20"/>
  <c r="V70" i="20" s="1"/>
  <c r="C68" i="20"/>
  <c r="V68" i="20" s="1"/>
  <c r="G117" i="2"/>
  <c r="C19" i="20"/>
  <c r="V19" i="20" s="1"/>
  <c r="C17" i="20"/>
  <c r="V17" i="20" s="1"/>
  <c r="S83" i="3"/>
  <c r="R83" i="3"/>
  <c r="Q83" i="3"/>
  <c r="P83" i="3"/>
  <c r="O83" i="3"/>
  <c r="N83" i="3"/>
  <c r="M83" i="3"/>
  <c r="L83" i="3"/>
  <c r="L82" i="3" s="1"/>
  <c r="M10" i="20" s="1"/>
  <c r="G90" i="8"/>
  <c r="L133" i="4"/>
  <c r="H75" i="4"/>
  <c r="K75" i="4"/>
  <c r="J75" i="4"/>
  <c r="I75" i="4"/>
  <c r="C30" i="3"/>
  <c r="U30" i="3" s="1"/>
  <c r="C29" i="3"/>
  <c r="U29" i="3" s="1"/>
  <c r="L29" i="5" l="1"/>
  <c r="H29" i="29"/>
  <c r="L90" i="3"/>
  <c r="M90" i="3" s="1"/>
  <c r="N90" i="3" s="1"/>
  <c r="O90" i="3" s="1"/>
  <c r="P90" i="3" s="1"/>
  <c r="Q90" i="3" s="1"/>
  <c r="M9" i="20"/>
  <c r="G33" i="24"/>
  <c r="G31" i="24"/>
  <c r="G29" i="24"/>
  <c r="G27" i="24"/>
  <c r="G25" i="24"/>
  <c r="G43" i="24"/>
  <c r="G34" i="24"/>
  <c r="G32" i="24"/>
  <c r="G26" i="24"/>
  <c r="G24" i="24"/>
  <c r="G30" i="24"/>
  <c r="G41" i="24"/>
  <c r="G42" i="24"/>
  <c r="G28" i="24"/>
  <c r="F31" i="24"/>
  <c r="F41" i="24"/>
  <c r="F30" i="24"/>
  <c r="F24" i="24"/>
  <c r="F27" i="24"/>
  <c r="F34" i="24"/>
  <c r="F33" i="24"/>
  <c r="F43" i="24"/>
  <c r="F28" i="24"/>
  <c r="F29" i="24"/>
  <c r="F32" i="24"/>
  <c r="F26" i="24"/>
  <c r="F25" i="24"/>
  <c r="F42" i="24"/>
  <c r="Q29" i="24"/>
  <c r="Q24" i="24"/>
  <c r="Q33" i="24"/>
  <c r="Q26" i="24"/>
  <c r="Q27" i="24"/>
  <c r="Q28" i="24"/>
  <c r="Q30" i="24"/>
  <c r="Q31" i="24"/>
  <c r="Q32" i="24"/>
  <c r="Q25" i="24"/>
  <c r="Q41" i="24"/>
  <c r="Q34" i="24"/>
  <c r="Q42" i="24"/>
  <c r="O33" i="24"/>
  <c r="O29" i="24"/>
  <c r="O25" i="24"/>
  <c r="O31" i="24"/>
  <c r="O27" i="24"/>
  <c r="O42" i="24"/>
  <c r="O32" i="24"/>
  <c r="O26" i="24"/>
  <c r="O30" i="24"/>
  <c r="O24" i="24"/>
  <c r="O34" i="24"/>
  <c r="O28" i="24"/>
  <c r="O41" i="24"/>
  <c r="E33" i="24"/>
  <c r="E42" i="24"/>
  <c r="E26" i="24"/>
  <c r="E27" i="24"/>
  <c r="E24" i="24"/>
  <c r="E31" i="24"/>
  <c r="E32" i="24"/>
  <c r="E25" i="24"/>
  <c r="E43" i="24"/>
  <c r="E28" i="24"/>
  <c r="E29" i="24"/>
  <c r="E30" i="24"/>
  <c r="E34" i="24"/>
  <c r="E41" i="24"/>
  <c r="K24" i="24"/>
  <c r="K28" i="24"/>
  <c r="K26" i="24"/>
  <c r="K29" i="24"/>
  <c r="K42" i="24"/>
  <c r="K32" i="24"/>
  <c r="K33" i="24"/>
  <c r="K27" i="24"/>
  <c r="K34" i="24"/>
  <c r="K41" i="24"/>
  <c r="K31" i="24"/>
  <c r="K25" i="24"/>
  <c r="K30" i="24"/>
  <c r="T29" i="24"/>
  <c r="T30" i="24"/>
  <c r="T41" i="24"/>
  <c r="T34" i="24"/>
  <c r="T33" i="24"/>
  <c r="T42" i="24"/>
  <c r="T27" i="24"/>
  <c r="T24" i="24"/>
  <c r="T26" i="24"/>
  <c r="T31" i="24"/>
  <c r="T32" i="24"/>
  <c r="T28" i="24"/>
  <c r="T25" i="24"/>
  <c r="T43" i="24"/>
  <c r="J34" i="24"/>
  <c r="J28" i="24"/>
  <c r="J25" i="24"/>
  <c r="J32" i="24"/>
  <c r="J29" i="24"/>
  <c r="J24" i="24"/>
  <c r="J30" i="24"/>
  <c r="J43" i="24"/>
  <c r="J27" i="24"/>
  <c r="J26" i="24"/>
  <c r="J41" i="24"/>
  <c r="J33" i="24"/>
  <c r="J42" i="24"/>
  <c r="J31" i="24"/>
  <c r="D10" i="24"/>
  <c r="D29" i="24"/>
  <c r="D42" i="24"/>
  <c r="D43" i="24"/>
  <c r="D32" i="24"/>
  <c r="D30" i="24"/>
  <c r="D33" i="24"/>
  <c r="D28" i="24"/>
  <c r="D27" i="24"/>
  <c r="D34" i="24"/>
  <c r="D41" i="24"/>
  <c r="D24" i="24"/>
  <c r="D31" i="24"/>
  <c r="D25" i="24"/>
  <c r="D26" i="24"/>
  <c r="N29" i="24"/>
  <c r="N25" i="24"/>
  <c r="N33" i="24"/>
  <c r="N31" i="24"/>
  <c r="N27" i="24"/>
  <c r="N41" i="24"/>
  <c r="N28" i="24"/>
  <c r="N34" i="24"/>
  <c r="N42" i="24"/>
  <c r="N26" i="24"/>
  <c r="N30" i="24"/>
  <c r="N32" i="24"/>
  <c r="N24" i="24"/>
  <c r="I33" i="24"/>
  <c r="I26" i="24"/>
  <c r="I27" i="24"/>
  <c r="I32" i="24"/>
  <c r="I43" i="24"/>
  <c r="I42" i="24"/>
  <c r="I31" i="24"/>
  <c r="I28" i="24"/>
  <c r="I25" i="24"/>
  <c r="I34" i="24"/>
  <c r="I41" i="24"/>
  <c r="I24" i="24"/>
  <c r="I29" i="24"/>
  <c r="I30" i="24"/>
  <c r="H33" i="24"/>
  <c r="H29" i="24"/>
  <c r="H25" i="24"/>
  <c r="H31" i="24"/>
  <c r="H27" i="24"/>
  <c r="H30" i="24"/>
  <c r="H24" i="24"/>
  <c r="H42" i="24"/>
  <c r="H34" i="24"/>
  <c r="H43" i="24"/>
  <c r="H28" i="24"/>
  <c r="H32" i="24"/>
  <c r="H41" i="24"/>
  <c r="H26" i="24"/>
  <c r="S25" i="24"/>
  <c r="S34" i="24"/>
  <c r="S29" i="24"/>
  <c r="S42" i="24"/>
  <c r="S30" i="24"/>
  <c r="S28" i="24"/>
  <c r="S32" i="24"/>
  <c r="S33" i="24"/>
  <c r="S27" i="24"/>
  <c r="S24" i="24"/>
  <c r="S26" i="24"/>
  <c r="S41" i="24"/>
  <c r="S31" i="24"/>
  <c r="R25" i="24"/>
  <c r="R29" i="24"/>
  <c r="R32" i="24"/>
  <c r="R31" i="24"/>
  <c r="R42" i="24"/>
  <c r="R28" i="24"/>
  <c r="R26" i="24"/>
  <c r="R27" i="24"/>
  <c r="R34" i="24"/>
  <c r="R30" i="24"/>
  <c r="R33" i="24"/>
  <c r="R24" i="24"/>
  <c r="R41" i="24"/>
  <c r="L30" i="24"/>
  <c r="L34" i="24"/>
  <c r="L24" i="24"/>
  <c r="L41" i="24"/>
  <c r="L33" i="24"/>
  <c r="L42" i="24"/>
  <c r="L27" i="24"/>
  <c r="L28" i="24"/>
  <c r="L31" i="24"/>
  <c r="L32" i="24"/>
  <c r="L25" i="24"/>
  <c r="L26" i="24"/>
  <c r="L29" i="24"/>
  <c r="D9" i="24"/>
  <c r="B11" i="25"/>
  <c r="F11" i="25" s="1"/>
  <c r="D8" i="24"/>
  <c r="B10" i="25"/>
  <c r="F35" i="25"/>
  <c r="F34" i="25"/>
  <c r="F36" i="25"/>
  <c r="F27" i="25"/>
  <c r="F32" i="25"/>
  <c r="F26" i="25"/>
  <c r="F33" i="25"/>
  <c r="F30" i="25"/>
  <c r="F28" i="25"/>
  <c r="F31" i="25"/>
  <c r="F29" i="25"/>
  <c r="F13" i="25"/>
  <c r="F15" i="25"/>
  <c r="F14" i="25"/>
  <c r="F17" i="25"/>
  <c r="F16" i="25"/>
  <c r="F12" i="25"/>
  <c r="F18" i="25"/>
  <c r="H17" i="24"/>
  <c r="H16" i="24"/>
  <c r="R17" i="24"/>
  <c r="R16" i="24"/>
  <c r="L16" i="24"/>
  <c r="L17" i="24"/>
  <c r="F17" i="24"/>
  <c r="F16" i="24"/>
  <c r="I17" i="24"/>
  <c r="I16" i="24"/>
  <c r="K16" i="24"/>
  <c r="K17" i="24"/>
  <c r="G17" i="24"/>
  <c r="G16" i="24"/>
  <c r="Q16" i="24"/>
  <c r="Q17" i="24"/>
  <c r="E16" i="24"/>
  <c r="E17" i="24"/>
  <c r="T16" i="24"/>
  <c r="T17" i="24"/>
  <c r="O17" i="24"/>
  <c r="O16" i="24"/>
  <c r="D16" i="24"/>
  <c r="D17" i="24"/>
  <c r="J16" i="24"/>
  <c r="J17" i="24"/>
  <c r="N17" i="24"/>
  <c r="N16" i="24"/>
  <c r="S17" i="24"/>
  <c r="S16" i="24"/>
  <c r="F40" i="24"/>
  <c r="K40" i="24"/>
  <c r="I40" i="24"/>
  <c r="H40" i="24"/>
  <c r="R40" i="24"/>
  <c r="L40" i="24"/>
  <c r="G40" i="24"/>
  <c r="Q40" i="24"/>
  <c r="E40" i="24"/>
  <c r="T40" i="24"/>
  <c r="O40" i="24"/>
  <c r="D40" i="24"/>
  <c r="J40" i="24"/>
  <c r="N40" i="24"/>
  <c r="S40" i="24"/>
  <c r="G15" i="24"/>
  <c r="R15" i="24"/>
  <c r="F15" i="24"/>
  <c r="Q15" i="24"/>
  <c r="E15" i="24"/>
  <c r="K15" i="24"/>
  <c r="D15" i="24"/>
  <c r="T15" i="24"/>
  <c r="O15" i="24"/>
  <c r="J15" i="24"/>
  <c r="N15" i="24"/>
  <c r="L15" i="24"/>
  <c r="I15" i="24"/>
  <c r="H15" i="24"/>
  <c r="S15" i="24"/>
  <c r="E11" i="24"/>
  <c r="E12" i="24"/>
  <c r="E14" i="24"/>
  <c r="E13" i="24"/>
  <c r="E10" i="24"/>
  <c r="R13" i="24"/>
  <c r="R10" i="24"/>
  <c r="R14" i="24"/>
  <c r="R12" i="24"/>
  <c r="R11" i="24"/>
  <c r="L13" i="24"/>
  <c r="L11" i="24"/>
  <c r="L12" i="24"/>
  <c r="L14" i="24"/>
  <c r="L10" i="24"/>
  <c r="D12" i="24"/>
  <c r="D13" i="24"/>
  <c r="D14" i="24"/>
  <c r="D11" i="24"/>
  <c r="J14" i="24"/>
  <c r="J13" i="24"/>
  <c r="J12" i="24"/>
  <c r="J11" i="24"/>
  <c r="J10" i="24"/>
  <c r="Q14" i="24"/>
  <c r="Q10" i="24"/>
  <c r="Q11" i="24"/>
  <c r="Q12" i="24"/>
  <c r="Q13" i="24"/>
  <c r="K14" i="24"/>
  <c r="K11" i="24"/>
  <c r="K10" i="24"/>
  <c r="K13" i="24"/>
  <c r="K12" i="24"/>
  <c r="I13" i="24"/>
  <c r="I12" i="24"/>
  <c r="I11" i="24"/>
  <c r="I10" i="24"/>
  <c r="I14" i="24"/>
  <c r="H13" i="24"/>
  <c r="H14" i="24"/>
  <c r="H11" i="24"/>
  <c r="H12" i="24"/>
  <c r="H10" i="24"/>
  <c r="T13" i="24"/>
  <c r="T12" i="24"/>
  <c r="T11" i="24"/>
  <c r="T14" i="24"/>
  <c r="T10" i="24"/>
  <c r="O11" i="24"/>
  <c r="O13" i="24"/>
  <c r="O12" i="24"/>
  <c r="O14" i="24"/>
  <c r="O10" i="24"/>
  <c r="G11" i="24"/>
  <c r="G13" i="24"/>
  <c r="G12" i="24"/>
  <c r="G10" i="24"/>
  <c r="G14" i="24"/>
  <c r="N11" i="24"/>
  <c r="N10" i="24"/>
  <c r="N12" i="24"/>
  <c r="N14" i="24"/>
  <c r="N13" i="24"/>
  <c r="F11" i="24"/>
  <c r="F13" i="24"/>
  <c r="F10" i="24"/>
  <c r="F12" i="24"/>
  <c r="F14" i="24"/>
  <c r="S10" i="24"/>
  <c r="S13" i="24"/>
  <c r="S11" i="24"/>
  <c r="S12" i="24"/>
  <c r="S14" i="24"/>
  <c r="H146" i="3"/>
  <c r="H155" i="3"/>
  <c r="I146" i="3"/>
  <c r="I155" i="3"/>
  <c r="J146" i="3"/>
  <c r="J155" i="3"/>
  <c r="K155" i="3"/>
  <c r="K146" i="3"/>
  <c r="H164" i="3"/>
  <c r="I164" i="3"/>
  <c r="J164" i="3"/>
  <c r="K164" i="3"/>
  <c r="M86" i="3"/>
  <c r="M82" i="3"/>
  <c r="M88" i="3"/>
  <c r="G100" i="3"/>
  <c r="G11" i="2"/>
  <c r="G31" i="5" s="1"/>
  <c r="H100" i="3"/>
  <c r="H11" i="2"/>
  <c r="I11" i="2"/>
  <c r="I100" i="3"/>
  <c r="J100" i="3"/>
  <c r="J11" i="2"/>
  <c r="J31" i="5" s="1"/>
  <c r="K100" i="3"/>
  <c r="C32" i="3"/>
  <c r="U32" i="3" s="1"/>
  <c r="Z9" i="23"/>
  <c r="L8" i="24"/>
  <c r="AN38" i="23"/>
  <c r="AJ38" i="23"/>
  <c r="R8" i="24"/>
  <c r="AD41" i="23"/>
  <c r="Q23" i="24"/>
  <c r="AF38" i="23"/>
  <c r="AI38" i="23"/>
  <c r="S8" i="24"/>
  <c r="L23" i="24"/>
  <c r="R9" i="24"/>
  <c r="AB9" i="23"/>
  <c r="Q8" i="24"/>
  <c r="AO41" i="23"/>
  <c r="AM41" i="23"/>
  <c r="AD38" i="23"/>
  <c r="K43" i="24" s="1"/>
  <c r="L9" i="24"/>
  <c r="N9" i="24"/>
  <c r="AA9" i="23"/>
  <c r="O8" i="24"/>
  <c r="AH38" i="23"/>
  <c r="N43" i="24" s="1"/>
  <c r="AM44" i="23"/>
  <c r="AO44" i="23"/>
  <c r="AN44" i="23"/>
  <c r="AL44" i="23"/>
  <c r="N23" i="24"/>
  <c r="AE44" i="23"/>
  <c r="AI44" i="23"/>
  <c r="AD44" i="23"/>
  <c r="AJ44" i="23"/>
  <c r="AG44" i="23"/>
  <c r="AK44" i="23"/>
  <c r="S23" i="24"/>
  <c r="R23" i="24"/>
  <c r="AG38" i="23"/>
  <c r="AH44" i="23"/>
  <c r="AF44" i="23"/>
  <c r="S9" i="24"/>
  <c r="AL38" i="23"/>
  <c r="AF41" i="23"/>
  <c r="AJ41" i="23"/>
  <c r="AE41" i="23"/>
  <c r="AK41" i="23"/>
  <c r="AK38" i="23"/>
  <c r="AO38" i="23"/>
  <c r="S43" i="24" s="1"/>
  <c r="AI41" i="23"/>
  <c r="AN41" i="23"/>
  <c r="Z44" i="23"/>
  <c r="AW6" i="23"/>
  <c r="BX6" i="23"/>
  <c r="BO6" i="23"/>
  <c r="BG6" i="23"/>
  <c r="BW6" i="23"/>
  <c r="BN6" i="23"/>
  <c r="BC6" i="23"/>
  <c r="BT6" i="23"/>
  <c r="BI6" i="23"/>
  <c r="BB6" i="23"/>
  <c r="BR6" i="23"/>
  <c r="BH6" i="23"/>
  <c r="AY6" i="23"/>
  <c r="P57" i="24"/>
  <c r="T8" i="24"/>
  <c r="M57" i="24"/>
  <c r="D43" i="25"/>
  <c r="E8" i="24"/>
  <c r="BY6" i="23"/>
  <c r="BS6" i="23"/>
  <c r="BM6" i="23"/>
  <c r="BD6" i="23"/>
  <c r="G55" i="24"/>
  <c r="J55" i="24"/>
  <c r="D55" i="24"/>
  <c r="I55" i="24"/>
  <c r="J25" i="16" s="1"/>
  <c r="E55" i="24"/>
  <c r="T55" i="24"/>
  <c r="F55" i="24"/>
  <c r="F49" i="24"/>
  <c r="I49" i="24"/>
  <c r="G49" i="24"/>
  <c r="J49" i="24"/>
  <c r="E49" i="24"/>
  <c r="D49" i="24"/>
  <c r="H49" i="24"/>
  <c r="T49" i="24"/>
  <c r="H55" i="24"/>
  <c r="F25" i="16" s="1"/>
  <c r="G9" i="24"/>
  <c r="J9" i="24"/>
  <c r="F9" i="24"/>
  <c r="H9" i="24"/>
  <c r="E9" i="24"/>
  <c r="T9" i="24"/>
  <c r="I9" i="24"/>
  <c r="E23" i="24"/>
  <c r="H23" i="24"/>
  <c r="T23" i="24"/>
  <c r="F23" i="24"/>
  <c r="I23" i="24"/>
  <c r="J23" i="24"/>
  <c r="D23" i="24"/>
  <c r="G23" i="24"/>
  <c r="F8" i="24"/>
  <c r="I8" i="24"/>
  <c r="G8" i="24"/>
  <c r="N8" i="24"/>
  <c r="H8" i="24"/>
  <c r="O44" i="5"/>
  <c r="M14" i="20" l="1"/>
  <c r="Q43" i="24"/>
  <c r="R49" i="24"/>
  <c r="R51" i="24" s="1"/>
  <c r="L43" i="24"/>
  <c r="R43" i="24"/>
  <c r="R45" i="24" s="1"/>
  <c r="Q55" i="24"/>
  <c r="L55" i="24"/>
  <c r="F45" i="25"/>
  <c r="L49" i="24"/>
  <c r="L51" i="24" s="1"/>
  <c r="O43" i="24"/>
  <c r="M26" i="24"/>
  <c r="M25" i="24"/>
  <c r="M42" i="24"/>
  <c r="M31" i="24"/>
  <c r="M41" i="24"/>
  <c r="M30" i="24"/>
  <c r="M24" i="24"/>
  <c r="M27" i="24"/>
  <c r="M34" i="24"/>
  <c r="M33" i="24"/>
  <c r="M43" i="24"/>
  <c r="M28" i="24"/>
  <c r="M29" i="24"/>
  <c r="M32" i="24"/>
  <c r="P31" i="24"/>
  <c r="P29" i="24"/>
  <c r="P25" i="24"/>
  <c r="P33" i="24"/>
  <c r="P27" i="24"/>
  <c r="P26" i="24"/>
  <c r="P30" i="24"/>
  <c r="P24" i="24"/>
  <c r="P42" i="24"/>
  <c r="P34" i="24"/>
  <c r="P43" i="24"/>
  <c r="P28" i="24"/>
  <c r="P32" i="24"/>
  <c r="P41" i="24"/>
  <c r="D35" i="25"/>
  <c r="D45" i="25"/>
  <c r="D34" i="25"/>
  <c r="D44" i="25"/>
  <c r="D36" i="25"/>
  <c r="D27" i="25"/>
  <c r="D33" i="25"/>
  <c r="D26" i="25"/>
  <c r="D30" i="25"/>
  <c r="D32" i="25"/>
  <c r="D28" i="25"/>
  <c r="D31" i="25"/>
  <c r="D29" i="25"/>
  <c r="D18" i="25"/>
  <c r="D11" i="25"/>
  <c r="D17" i="25"/>
  <c r="D16" i="25"/>
  <c r="D14" i="25"/>
  <c r="D12" i="25"/>
  <c r="D13" i="25"/>
  <c r="D15" i="25"/>
  <c r="M17" i="24"/>
  <c r="M16" i="24"/>
  <c r="P16" i="24"/>
  <c r="P17" i="24"/>
  <c r="N14" i="20"/>
  <c r="N88" i="3"/>
  <c r="N13" i="20"/>
  <c r="N86" i="3"/>
  <c r="N12" i="20"/>
  <c r="N82" i="3"/>
  <c r="N10" i="20"/>
  <c r="N45" i="24"/>
  <c r="P40" i="24"/>
  <c r="M40" i="24"/>
  <c r="M15" i="24"/>
  <c r="P15" i="24"/>
  <c r="M14" i="24"/>
  <c r="M13" i="24"/>
  <c r="M11" i="24"/>
  <c r="M10" i="24"/>
  <c r="M12" i="24"/>
  <c r="P11" i="24"/>
  <c r="P10" i="24"/>
  <c r="P13" i="24"/>
  <c r="P14" i="24"/>
  <c r="P12" i="24"/>
  <c r="Q45" i="24"/>
  <c r="Q49" i="24"/>
  <c r="Q51" i="24" s="1"/>
  <c r="S55" i="24"/>
  <c r="S49" i="24"/>
  <c r="O9" i="24"/>
  <c r="O19" i="24" s="1"/>
  <c r="Q9" i="24"/>
  <c r="Q19" i="24" s="1"/>
  <c r="R55" i="24"/>
  <c r="N55" i="24"/>
  <c r="N49" i="24"/>
  <c r="N51" i="24" s="1"/>
  <c r="O23" i="24"/>
  <c r="O36" i="24" s="1"/>
  <c r="O49" i="24"/>
  <c r="K9" i="24"/>
  <c r="K8" i="24"/>
  <c r="D51" i="25"/>
  <c r="M49" i="24"/>
  <c r="M55" i="24"/>
  <c r="D10" i="25"/>
  <c r="M9" i="24"/>
  <c r="M23" i="24"/>
  <c r="L19" i="24"/>
  <c r="O55" i="24"/>
  <c r="M8" i="24"/>
  <c r="Y9" i="23"/>
  <c r="T36" i="24"/>
  <c r="K23" i="24"/>
  <c r="S36" i="24"/>
  <c r="Q36" i="24"/>
  <c r="K31" i="5"/>
  <c r="I31" i="5"/>
  <c r="H31" i="5"/>
  <c r="J16" i="2"/>
  <c r="I110" i="3"/>
  <c r="I126" i="3"/>
  <c r="H125" i="3"/>
  <c r="H126" i="3"/>
  <c r="G125" i="3"/>
  <c r="G129" i="3" s="1"/>
  <c r="G126" i="3"/>
  <c r="G130" i="3" s="1"/>
  <c r="K110" i="3"/>
  <c r="K126" i="3"/>
  <c r="J110" i="3"/>
  <c r="J126" i="3"/>
  <c r="I16" i="2"/>
  <c r="H16" i="2"/>
  <c r="H110" i="3"/>
  <c r="G110" i="3"/>
  <c r="H24" i="2"/>
  <c r="J105" i="3"/>
  <c r="I105" i="3"/>
  <c r="H105" i="3"/>
  <c r="G105" i="3"/>
  <c r="K24" i="2"/>
  <c r="K105" i="3"/>
  <c r="J9" i="2"/>
  <c r="J18" i="2"/>
  <c r="I9" i="2"/>
  <c r="I18" i="2"/>
  <c r="H9" i="2"/>
  <c r="H18" i="2"/>
  <c r="G9" i="2"/>
  <c r="G18" i="2"/>
  <c r="G24" i="2"/>
  <c r="K18" i="2"/>
  <c r="K16" i="2"/>
  <c r="M44" i="5"/>
  <c r="P44" i="5"/>
  <c r="L44" i="5"/>
  <c r="N44" i="5"/>
  <c r="R44" i="5"/>
  <c r="S44" i="5"/>
  <c r="P49" i="24"/>
  <c r="S19" i="24"/>
  <c r="R19" i="24"/>
  <c r="L36" i="24"/>
  <c r="P23" i="24"/>
  <c r="D25" i="25"/>
  <c r="N36" i="24"/>
  <c r="D42" i="25"/>
  <c r="P9" i="24"/>
  <c r="P55" i="24"/>
  <c r="P8" i="24"/>
  <c r="AA44" i="23"/>
  <c r="AB44" i="23"/>
  <c r="Q44" i="5"/>
  <c r="N19" i="24"/>
  <c r="R36" i="24"/>
  <c r="F10" i="25"/>
  <c r="F21" i="25" s="1"/>
  <c r="F51" i="25"/>
  <c r="T53" i="24"/>
  <c r="T51" i="24"/>
  <c r="F42" i="25"/>
  <c r="T19" i="24"/>
  <c r="T45" i="24"/>
  <c r="F25" i="25"/>
  <c r="F38" i="25" s="1"/>
  <c r="C130" i="3"/>
  <c r="U130" i="3" s="1"/>
  <c r="C129" i="3"/>
  <c r="U129" i="3" s="1"/>
  <c r="F47" i="25" l="1"/>
  <c r="F53" i="25"/>
  <c r="F57" i="25" s="1"/>
  <c r="F65" i="25" s="1"/>
  <c r="F67" i="25" s="1"/>
  <c r="D53" i="25"/>
  <c r="D47" i="25"/>
  <c r="D21" i="25"/>
  <c r="D38" i="25"/>
  <c r="O14" i="20"/>
  <c r="O88" i="3"/>
  <c r="O13" i="20"/>
  <c r="O86" i="3"/>
  <c r="O12" i="20"/>
  <c r="O82" i="3"/>
  <c r="O10" i="20"/>
  <c r="R53" i="24"/>
  <c r="L53" i="24"/>
  <c r="Q53" i="24"/>
  <c r="O45" i="24"/>
  <c r="L45" i="24"/>
  <c r="N53" i="24"/>
  <c r="O51" i="24"/>
  <c r="S53" i="24"/>
  <c r="K49" i="24"/>
  <c r="S51" i="24"/>
  <c r="S45" i="24"/>
  <c r="O53" i="24"/>
  <c r="K19" i="24"/>
  <c r="M51" i="24"/>
  <c r="M36" i="24"/>
  <c r="M19" i="24"/>
  <c r="P51" i="24"/>
  <c r="M45" i="24"/>
  <c r="K36" i="24"/>
  <c r="G133" i="3"/>
  <c r="G134" i="3" s="1"/>
  <c r="J26" i="2"/>
  <c r="H26" i="2"/>
  <c r="K26" i="2"/>
  <c r="L23" i="20" s="1"/>
  <c r="L26" i="20" s="1"/>
  <c r="L27" i="20" s="1"/>
  <c r="G26" i="2"/>
  <c r="H23" i="20" s="1"/>
  <c r="H26" i="20" s="1"/>
  <c r="H34" i="20" s="1"/>
  <c r="H39" i="20" s="1"/>
  <c r="H43" i="20" s="1"/>
  <c r="H46" i="20" s="1"/>
  <c r="I26" i="2"/>
  <c r="G19" i="2"/>
  <c r="K19" i="2"/>
  <c r="H19" i="2"/>
  <c r="P53" i="24"/>
  <c r="M53" i="24"/>
  <c r="K55" i="24"/>
  <c r="P45" i="24"/>
  <c r="P19" i="24"/>
  <c r="P36" i="24"/>
  <c r="S67" i="3"/>
  <c r="S105" i="3" s="1"/>
  <c r="R67" i="3"/>
  <c r="R105" i="3" s="1"/>
  <c r="Q67" i="3"/>
  <c r="Q105" i="3" s="1"/>
  <c r="P67" i="3"/>
  <c r="P105" i="3" s="1"/>
  <c r="O105" i="3"/>
  <c r="N105" i="3"/>
  <c r="M105" i="3"/>
  <c r="L105" i="3"/>
  <c r="K99" i="3"/>
  <c r="J99" i="3"/>
  <c r="L181" i="3"/>
  <c r="S62" i="3"/>
  <c r="S99" i="3" s="1"/>
  <c r="S100" i="3" s="1"/>
  <c r="R62" i="3"/>
  <c r="Q62" i="3"/>
  <c r="P62" i="3"/>
  <c r="O62" i="3"/>
  <c r="N62" i="3"/>
  <c r="M62" i="3"/>
  <c r="L62" i="3"/>
  <c r="L99" i="3" s="1"/>
  <c r="S42" i="3"/>
  <c r="S85" i="3" s="1"/>
  <c r="R42" i="3"/>
  <c r="R85" i="3" s="1"/>
  <c r="Q42" i="3"/>
  <c r="Q85" i="3" s="1"/>
  <c r="P42" i="3"/>
  <c r="P85" i="3" s="1"/>
  <c r="O42" i="3"/>
  <c r="O85" i="3" s="1"/>
  <c r="N42" i="3"/>
  <c r="N85" i="3" s="1"/>
  <c r="M42" i="3"/>
  <c r="M85" i="3" s="1"/>
  <c r="L42" i="3"/>
  <c r="L85" i="3" s="1"/>
  <c r="L84" i="3" s="1"/>
  <c r="M11" i="20" s="1"/>
  <c r="M15" i="20" s="1"/>
  <c r="M16" i="20" s="1"/>
  <c r="D57" i="25" l="1"/>
  <c r="D65" i="25" s="1"/>
  <c r="D67" i="25" s="1"/>
  <c r="Q99" i="3"/>
  <c r="Q100" i="3" s="1"/>
  <c r="R99" i="3"/>
  <c r="R100" i="3" s="1"/>
  <c r="M99" i="3"/>
  <c r="M100" i="3" s="1"/>
  <c r="N99" i="3"/>
  <c r="N100" i="3" s="1"/>
  <c r="O99" i="3"/>
  <c r="O100" i="3" s="1"/>
  <c r="P99" i="3"/>
  <c r="P100" i="3" s="1"/>
  <c r="P14" i="20"/>
  <c r="P88" i="3"/>
  <c r="P13" i="20"/>
  <c r="P86" i="3"/>
  <c r="P12" i="20"/>
  <c r="P82" i="3"/>
  <c r="P10" i="20"/>
  <c r="K45" i="24"/>
  <c r="K51" i="24"/>
  <c r="K53" i="24"/>
  <c r="H54" i="20"/>
  <c r="H53" i="20"/>
  <c r="H27" i="20"/>
  <c r="K53" i="2"/>
  <c r="J54" i="21" s="1"/>
  <c r="H60" i="2"/>
  <c r="H70" i="2" s="1"/>
  <c r="J60" i="2"/>
  <c r="J70" i="2" s="1"/>
  <c r="G60" i="2"/>
  <c r="G70" i="2" s="1"/>
  <c r="I60" i="2"/>
  <c r="I70" i="2" s="1"/>
  <c r="K60" i="2"/>
  <c r="K70" i="2" s="1"/>
  <c r="G32" i="2"/>
  <c r="G179" i="3" s="1"/>
  <c r="H32" i="2"/>
  <c r="H179" i="3" s="1"/>
  <c r="I32" i="2"/>
  <c r="I179" i="3" s="1"/>
  <c r="K32" i="2"/>
  <c r="K179" i="3" s="1"/>
  <c r="J32" i="2"/>
  <c r="J179" i="3" s="1"/>
  <c r="S81" i="3"/>
  <c r="N9" i="20"/>
  <c r="Q81" i="3"/>
  <c r="M84" i="3"/>
  <c r="L92" i="3"/>
  <c r="O81" i="3"/>
  <c r="P81" i="3"/>
  <c r="R81" i="3"/>
  <c r="J21" i="20"/>
  <c r="K21" i="20"/>
  <c r="L21" i="20"/>
  <c r="U9" i="2"/>
  <c r="I21" i="20"/>
  <c r="M181" i="3"/>
  <c r="L100" i="3"/>
  <c r="H99" i="3"/>
  <c r="G99" i="3"/>
  <c r="I99" i="3"/>
  <c r="R5" i="21"/>
  <c r="R1" i="21" s="1"/>
  <c r="C7" i="21"/>
  <c r="R7" i="21" s="1"/>
  <c r="C10" i="21"/>
  <c r="R10" i="21" s="1"/>
  <c r="C17" i="21"/>
  <c r="R17" i="21" s="1"/>
  <c r="C18" i="21"/>
  <c r="R18" i="21" s="1"/>
  <c r="C19" i="21"/>
  <c r="R19" i="21" s="1"/>
  <c r="C20" i="21"/>
  <c r="R20" i="21" s="1"/>
  <c r="C21" i="21"/>
  <c r="R21" i="21" s="1"/>
  <c r="C22" i="21"/>
  <c r="R22" i="21" s="1"/>
  <c r="J23" i="21"/>
  <c r="K24" i="21"/>
  <c r="L24" i="21"/>
  <c r="M24" i="21"/>
  <c r="N24" i="21"/>
  <c r="O24" i="21"/>
  <c r="P24" i="21"/>
  <c r="J25" i="21"/>
  <c r="C26" i="21"/>
  <c r="R26" i="21" s="1"/>
  <c r="H26" i="21"/>
  <c r="J26" i="21"/>
  <c r="C27" i="21"/>
  <c r="R27" i="21" s="1"/>
  <c r="J27" i="21"/>
  <c r="C28" i="21"/>
  <c r="R28" i="21" s="1"/>
  <c r="J28" i="21"/>
  <c r="C29" i="21"/>
  <c r="R29" i="21" s="1"/>
  <c r="J29" i="21"/>
  <c r="C44" i="21"/>
  <c r="R44" i="21" s="1"/>
  <c r="J44" i="21"/>
  <c r="C45" i="21"/>
  <c r="R45" i="21" s="1"/>
  <c r="J45" i="21"/>
  <c r="J74" i="21"/>
  <c r="J86" i="21"/>
  <c r="J87" i="21"/>
  <c r="J88" i="21"/>
  <c r="J89" i="21"/>
  <c r="J90" i="21"/>
  <c r="I91" i="21"/>
  <c r="J99" i="21"/>
  <c r="J100" i="21"/>
  <c r="J102" i="21"/>
  <c r="J105" i="21"/>
  <c r="J106" i="21"/>
  <c r="J108" i="21"/>
  <c r="J111" i="21"/>
  <c r="J112" i="21"/>
  <c r="J114" i="21"/>
  <c r="J117" i="21"/>
  <c r="J118" i="21"/>
  <c r="J120" i="21"/>
  <c r="L11" i="2" l="1"/>
  <c r="L225" i="3" s="1"/>
  <c r="L141" i="3"/>
  <c r="L142" i="3" s="1"/>
  <c r="L144" i="3" s="1"/>
  <c r="D82" i="20"/>
  <c r="K95" i="4"/>
  <c r="K54" i="2"/>
  <c r="Q14" i="20"/>
  <c r="Q88" i="3"/>
  <c r="Q13" i="20"/>
  <c r="Q86" i="3"/>
  <c r="Q12" i="20"/>
  <c r="N84" i="3"/>
  <c r="N11" i="20"/>
  <c r="N15" i="20" s="1"/>
  <c r="N16" i="20" s="1"/>
  <c r="Q82" i="3"/>
  <c r="Q10" i="20"/>
  <c r="J53" i="2"/>
  <c r="I54" i="21" s="1"/>
  <c r="K23" i="20"/>
  <c r="K26" i="20" s="1"/>
  <c r="K27" i="20" s="1"/>
  <c r="H53" i="2"/>
  <c r="G54" i="21" s="1"/>
  <c r="I23" i="20"/>
  <c r="I26" i="20" s="1"/>
  <c r="I53" i="2"/>
  <c r="H54" i="21" s="1"/>
  <c r="J23" i="20"/>
  <c r="J26" i="20" s="1"/>
  <c r="J27" i="20" s="1"/>
  <c r="L159" i="3"/>
  <c r="L160" i="3" s="1"/>
  <c r="G94" i="4"/>
  <c r="G53" i="2"/>
  <c r="L150" i="3"/>
  <c r="L151" i="3" s="1"/>
  <c r="L111" i="3"/>
  <c r="L22" i="2" s="1"/>
  <c r="M20" i="20" s="1"/>
  <c r="K118" i="3"/>
  <c r="K117" i="3" s="1"/>
  <c r="I118" i="3"/>
  <c r="I117" i="3" s="1"/>
  <c r="H118" i="3"/>
  <c r="H117" i="3" s="1"/>
  <c r="J118" i="3"/>
  <c r="J117" i="3" s="1"/>
  <c r="G118" i="3"/>
  <c r="G117" i="3" s="1"/>
  <c r="L106" i="3"/>
  <c r="L101" i="3"/>
  <c r="L14" i="2" s="1"/>
  <c r="L15" i="2" s="1"/>
  <c r="L131" i="3" s="1"/>
  <c r="L93" i="3"/>
  <c r="O9" i="20"/>
  <c r="M92" i="3"/>
  <c r="M11" i="2" s="1"/>
  <c r="N181" i="3"/>
  <c r="J119" i="21"/>
  <c r="V5" i="20"/>
  <c r="W1" i="20" s="1"/>
  <c r="V7" i="20"/>
  <c r="C34" i="20"/>
  <c r="V34" i="20" s="1"/>
  <c r="C36" i="20"/>
  <c r="V36" i="20" s="1"/>
  <c r="C57" i="20"/>
  <c r="V57" i="20" s="1"/>
  <c r="L12" i="2" l="1"/>
  <c r="L129" i="3"/>
  <c r="K78" i="4"/>
  <c r="K74" i="4"/>
  <c r="M141" i="3"/>
  <c r="M142" i="3" s="1"/>
  <c r="I95" i="4"/>
  <c r="G95" i="4"/>
  <c r="H95" i="4"/>
  <c r="J95" i="4"/>
  <c r="J54" i="2"/>
  <c r="R90" i="3"/>
  <c r="R14" i="20"/>
  <c r="R88" i="3"/>
  <c r="R13" i="20"/>
  <c r="R86" i="3"/>
  <c r="R12" i="20"/>
  <c r="O84" i="3"/>
  <c r="O11" i="20"/>
  <c r="O15" i="20" s="1"/>
  <c r="O16" i="20" s="1"/>
  <c r="R82" i="3"/>
  <c r="R10" i="20"/>
  <c r="I27" i="20"/>
  <c r="I28" i="20"/>
  <c r="L32" i="5"/>
  <c r="M17" i="20"/>
  <c r="L31" i="5"/>
  <c r="L167" i="3"/>
  <c r="L162" i="3"/>
  <c r="L133" i="2" s="1"/>
  <c r="M150" i="3"/>
  <c r="L81" i="2"/>
  <c r="L116" i="2" s="1"/>
  <c r="M38" i="20" s="1"/>
  <c r="M159" i="3"/>
  <c r="M111" i="3"/>
  <c r="M22" i="2" s="1"/>
  <c r="N20" i="20" s="1"/>
  <c r="M106" i="3"/>
  <c r="L132" i="3"/>
  <c r="L151" i="2" s="1"/>
  <c r="L148" i="2"/>
  <c r="O80" i="3"/>
  <c r="P9" i="20" s="1"/>
  <c r="N92" i="3"/>
  <c r="N11" i="2" s="1"/>
  <c r="M93" i="3"/>
  <c r="M31" i="5"/>
  <c r="M101" i="3"/>
  <c r="M14" i="2" s="1"/>
  <c r="M15" i="2" s="1"/>
  <c r="M131" i="3" s="1"/>
  <c r="L18" i="2"/>
  <c r="L19" i="2" s="1"/>
  <c r="O181" i="3"/>
  <c r="J18" i="20"/>
  <c r="L18" i="20"/>
  <c r="I18" i="20"/>
  <c r="K18" i="20"/>
  <c r="U8" i="3"/>
  <c r="U5" i="3"/>
  <c r="O7" i="9"/>
  <c r="B1" i="3"/>
  <c r="J78" i="4" l="1"/>
  <c r="J74" i="4"/>
  <c r="I78" i="4"/>
  <c r="I74" i="4"/>
  <c r="H78" i="4"/>
  <c r="H74" i="4"/>
  <c r="N141" i="3"/>
  <c r="N142" i="3" s="1"/>
  <c r="H18" i="9"/>
  <c r="K60" i="21"/>
  <c r="S90" i="3"/>
  <c r="T14" i="20" s="1"/>
  <c r="S14" i="20"/>
  <c r="S88" i="3"/>
  <c r="T13" i="20" s="1"/>
  <c r="S13" i="20"/>
  <c r="L74" i="2"/>
  <c r="S86" i="3"/>
  <c r="T12" i="20" s="1"/>
  <c r="S12" i="20"/>
  <c r="P84" i="3"/>
  <c r="P11" i="20"/>
  <c r="P15" i="20" s="1"/>
  <c r="P16" i="20" s="1"/>
  <c r="S82" i="3"/>
  <c r="T10" i="20" s="1"/>
  <c r="S10" i="20"/>
  <c r="M32" i="5"/>
  <c r="N17" i="20"/>
  <c r="M12" i="2"/>
  <c r="M81" i="2"/>
  <c r="M116" i="2" s="1"/>
  <c r="N38" i="20" s="1"/>
  <c r="M158" i="3"/>
  <c r="N150" i="3"/>
  <c r="M151" i="3"/>
  <c r="N159" i="3"/>
  <c r="M160" i="3"/>
  <c r="N111" i="3"/>
  <c r="N22" i="2" s="1"/>
  <c r="O20" i="20" s="1"/>
  <c r="N106" i="3"/>
  <c r="M18" i="2"/>
  <c r="M19" i="2" s="1"/>
  <c r="M132" i="3"/>
  <c r="M151" i="2" s="1"/>
  <c r="M148" i="2"/>
  <c r="N93" i="3"/>
  <c r="N101" i="3"/>
  <c r="N14" i="2" s="1"/>
  <c r="N15" i="2" s="1"/>
  <c r="P80" i="3"/>
  <c r="Q9" i="20" s="1"/>
  <c r="O92" i="3"/>
  <c r="O11" i="2" s="1"/>
  <c r="P181" i="3"/>
  <c r="F15" i="16"/>
  <c r="F19" i="16"/>
  <c r="B12" i="16"/>
  <c r="F12" i="16"/>
  <c r="B13" i="16"/>
  <c r="F13" i="16"/>
  <c r="B14" i="16"/>
  <c r="B15" i="16"/>
  <c r="B16" i="16"/>
  <c r="F16" i="16"/>
  <c r="B17" i="16"/>
  <c r="F17" i="16"/>
  <c r="B18" i="16"/>
  <c r="F18" i="16"/>
  <c r="B19" i="16"/>
  <c r="B20" i="16"/>
  <c r="F20" i="16"/>
  <c r="B21" i="16"/>
  <c r="F24" i="16" l="1"/>
  <c r="F26" i="16" s="1"/>
  <c r="O141" i="3"/>
  <c r="O142" i="3" s="1"/>
  <c r="L60" i="21"/>
  <c r="I18" i="9"/>
  <c r="Q84" i="3"/>
  <c r="Q11" i="20"/>
  <c r="Q15" i="20" s="1"/>
  <c r="Q16" i="20" s="1"/>
  <c r="N32" i="5"/>
  <c r="O17" i="20"/>
  <c r="N31" i="5"/>
  <c r="M74" i="2"/>
  <c r="L46" i="2"/>
  <c r="L61" i="2"/>
  <c r="N81" i="2"/>
  <c r="N116" i="2" s="1"/>
  <c r="O38" i="20" s="1"/>
  <c r="M140" i="3"/>
  <c r="M144" i="3" s="1"/>
  <c r="O150" i="3"/>
  <c r="O151" i="3" s="1"/>
  <c r="M167" i="3"/>
  <c r="L153" i="3"/>
  <c r="M149" i="3" s="1"/>
  <c r="M153" i="3" s="1"/>
  <c r="N149" i="3" s="1"/>
  <c r="N151" i="3"/>
  <c r="M162" i="3"/>
  <c r="O159" i="3"/>
  <c r="N160" i="3"/>
  <c r="O111" i="3"/>
  <c r="O22" i="2" s="1"/>
  <c r="P20" i="20" s="1"/>
  <c r="O106" i="3"/>
  <c r="N132" i="3"/>
  <c r="N151" i="2" s="1"/>
  <c r="N131" i="3"/>
  <c r="Q80" i="3"/>
  <c r="R9" i="20" s="1"/>
  <c r="P92" i="3"/>
  <c r="P11" i="2" s="1"/>
  <c r="N18" i="2"/>
  <c r="N19" i="2" s="1"/>
  <c r="N12" i="2"/>
  <c r="O93" i="3"/>
  <c r="O101" i="3"/>
  <c r="O14" i="2" s="1"/>
  <c r="O15" i="2" s="1"/>
  <c r="Q181" i="3"/>
  <c r="J26" i="16"/>
  <c r="J27" i="16" l="1"/>
  <c r="J31" i="16" s="1"/>
  <c r="F27" i="16"/>
  <c r="P141" i="3"/>
  <c r="J18" i="9"/>
  <c r="M60" i="21"/>
  <c r="R84" i="3"/>
  <c r="R11" i="20"/>
  <c r="R15" i="20"/>
  <c r="R16" i="20" s="1"/>
  <c r="L134" i="2"/>
  <c r="L39" i="5"/>
  <c r="M67" i="20" s="1"/>
  <c r="L35" i="5"/>
  <c r="O32" i="5"/>
  <c r="P17" i="20"/>
  <c r="O31" i="5"/>
  <c r="N148" i="2"/>
  <c r="N74" i="2" s="1"/>
  <c r="M46" i="2"/>
  <c r="M61" i="2"/>
  <c r="N167" i="3"/>
  <c r="O81" i="2"/>
  <c r="O116" i="2" s="1"/>
  <c r="P38" i="20" s="1"/>
  <c r="N140" i="3"/>
  <c r="N144" i="3" s="1"/>
  <c r="M134" i="2"/>
  <c r="M53" i="4" s="1"/>
  <c r="N158" i="3"/>
  <c r="N162" i="3" s="1"/>
  <c r="M133" i="2"/>
  <c r="N153" i="3"/>
  <c r="O149" i="3" s="1"/>
  <c r="O153" i="3" s="1"/>
  <c r="P149" i="3" s="1"/>
  <c r="O160" i="3"/>
  <c r="P159" i="3"/>
  <c r="P111" i="3"/>
  <c r="P22" i="2" s="1"/>
  <c r="Q20" i="20" s="1"/>
  <c r="P106" i="3"/>
  <c r="O132" i="3"/>
  <c r="O151" i="2" s="1"/>
  <c r="O131" i="3"/>
  <c r="O12" i="2"/>
  <c r="O18" i="2"/>
  <c r="O19" i="2" s="1"/>
  <c r="P101" i="3"/>
  <c r="P14" i="2" s="1"/>
  <c r="P15" i="2" s="1"/>
  <c r="P93" i="3"/>
  <c r="R80" i="3"/>
  <c r="S9" i="20" s="1"/>
  <c r="Q92" i="3"/>
  <c r="R181" i="3"/>
  <c r="Q141" i="3" l="1"/>
  <c r="Q142" i="3" s="1"/>
  <c r="Q11" i="2"/>
  <c r="N60" i="21"/>
  <c r="K18" i="9"/>
  <c r="S84" i="3"/>
  <c r="T11" i="20" s="1"/>
  <c r="S11" i="20"/>
  <c r="S15" i="20" s="1"/>
  <c r="S16" i="20" s="1"/>
  <c r="M39" i="5"/>
  <c r="N67" i="20" s="1"/>
  <c r="M35" i="5"/>
  <c r="P32" i="5"/>
  <c r="Q17" i="20"/>
  <c r="P31" i="5"/>
  <c r="L53" i="4"/>
  <c r="L51" i="4" s="1"/>
  <c r="O148" i="2"/>
  <c r="O74" i="2" s="1"/>
  <c r="N46" i="2"/>
  <c r="N61" i="2"/>
  <c r="M88" i="4"/>
  <c r="M61" i="4"/>
  <c r="M155" i="2" s="1"/>
  <c r="O140" i="3"/>
  <c r="O144" i="3" s="1"/>
  <c r="N134" i="2"/>
  <c r="N53" i="4" s="1"/>
  <c r="O158" i="3"/>
  <c r="O162" i="3" s="1"/>
  <c r="N133" i="2"/>
  <c r="P150" i="3"/>
  <c r="P151" i="3" s="1"/>
  <c r="P153" i="3" s="1"/>
  <c r="Q149" i="3" s="1"/>
  <c r="Q150" i="3"/>
  <c r="Q151" i="3" s="1"/>
  <c r="O167" i="3"/>
  <c r="P142" i="3"/>
  <c r="P160" i="3"/>
  <c r="Q159" i="3"/>
  <c r="Q111" i="3"/>
  <c r="Q22" i="2" s="1"/>
  <c r="R20" i="20" s="1"/>
  <c r="Q106" i="3"/>
  <c r="P131" i="3"/>
  <c r="P132" i="3"/>
  <c r="P151" i="2" s="1"/>
  <c r="Q101" i="3"/>
  <c r="Q14" i="2" s="1"/>
  <c r="Q15" i="2" s="1"/>
  <c r="Q93" i="3"/>
  <c r="S80" i="3"/>
  <c r="T9" i="20" s="1"/>
  <c r="R92" i="3"/>
  <c r="P12" i="2"/>
  <c r="P18" i="2"/>
  <c r="P19" i="2" s="1"/>
  <c r="S181" i="3"/>
  <c r="I117" i="8"/>
  <c r="I116" i="8"/>
  <c r="I115" i="8"/>
  <c r="I114" i="8"/>
  <c r="I113" i="8"/>
  <c r="I112" i="8"/>
  <c r="I111" i="8"/>
  <c r="I110" i="8"/>
  <c r="I109" i="8"/>
  <c r="I108" i="8"/>
  <c r="I107" i="8"/>
  <c r="I106" i="8"/>
  <c r="I105" i="8"/>
  <c r="I104" i="8"/>
  <c r="I103" i="8"/>
  <c r="I102" i="8"/>
  <c r="I101" i="8"/>
  <c r="I100" i="8"/>
  <c r="I98" i="8"/>
  <c r="I97" i="8"/>
  <c r="I96" i="8"/>
  <c r="I95" i="8"/>
  <c r="I94" i="8"/>
  <c r="I93" i="8"/>
  <c r="I92" i="8"/>
  <c r="I91" i="8"/>
  <c r="I90" i="8"/>
  <c r="I89" i="8"/>
  <c r="I88" i="8"/>
  <c r="I87" i="8"/>
  <c r="I86" i="8"/>
  <c r="I85" i="8"/>
  <c r="I84" i="8"/>
  <c r="I83" i="8"/>
  <c r="I82" i="8"/>
  <c r="I81" i="8"/>
  <c r="I80" i="8"/>
  <c r="I79" i="8"/>
  <c r="I74" i="8"/>
  <c r="I73" i="8"/>
  <c r="I72" i="8"/>
  <c r="I71" i="8"/>
  <c r="I70" i="8"/>
  <c r="I69" i="8"/>
  <c r="I68" i="8"/>
  <c r="I67" i="8"/>
  <c r="I66" i="8"/>
  <c r="I65" i="8"/>
  <c r="I64" i="8"/>
  <c r="I63" i="8"/>
  <c r="I62" i="8"/>
  <c r="I61" i="8"/>
  <c r="I60" i="8"/>
  <c r="I59" i="8"/>
  <c r="I58" i="8"/>
  <c r="I57" i="8"/>
  <c r="I56" i="8"/>
  <c r="I55" i="8"/>
  <c r="I54" i="8"/>
  <c r="I53"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I9" i="8"/>
  <c r="I8" i="8"/>
  <c r="I7" i="8"/>
  <c r="I5" i="8"/>
  <c r="I1" i="8" s="1"/>
  <c r="O5" i="9"/>
  <c r="O1" i="9" s="1"/>
  <c r="R141" i="3" l="1"/>
  <c r="R11" i="2"/>
  <c r="S92" i="3"/>
  <c r="T15" i="20"/>
  <c r="T16" i="20" s="1"/>
  <c r="N39" i="5"/>
  <c r="O67" i="20" s="1"/>
  <c r="N35" i="5"/>
  <c r="Q32" i="5"/>
  <c r="R17" i="20"/>
  <c r="L61" i="4"/>
  <c r="Q31" i="5"/>
  <c r="L88" i="4"/>
  <c r="L52" i="4"/>
  <c r="L139" i="4" s="1"/>
  <c r="P148" i="2"/>
  <c r="P74" i="2" s="1"/>
  <c r="O46" i="2"/>
  <c r="O61" i="2"/>
  <c r="N88" i="4"/>
  <c r="N61" i="4"/>
  <c r="N155" i="2" s="1"/>
  <c r="N101" i="2" s="1"/>
  <c r="Q81" i="2"/>
  <c r="Q116" i="2" s="1"/>
  <c r="R38" i="20" s="1"/>
  <c r="P140" i="3"/>
  <c r="P144" i="3" s="1"/>
  <c r="O134" i="2"/>
  <c r="O53" i="4" s="1"/>
  <c r="P81" i="2"/>
  <c r="P116" i="2" s="1"/>
  <c r="Q38" i="20" s="1"/>
  <c r="P158" i="3"/>
  <c r="P162" i="3" s="1"/>
  <c r="O133" i="2"/>
  <c r="Q153" i="3"/>
  <c r="R149" i="3" s="1"/>
  <c r="R150" i="3"/>
  <c r="R151" i="3" s="1"/>
  <c r="P167" i="3"/>
  <c r="Q160" i="3"/>
  <c r="Q167" i="3" s="1"/>
  <c r="Q61" i="2" s="1"/>
  <c r="R159" i="3"/>
  <c r="R111" i="3"/>
  <c r="R22" i="2" s="1"/>
  <c r="S20" i="20" s="1"/>
  <c r="R106" i="3"/>
  <c r="Q132" i="3"/>
  <c r="Q151" i="2" s="1"/>
  <c r="Q131" i="3"/>
  <c r="R93" i="3"/>
  <c r="R101" i="3"/>
  <c r="R14" i="2" s="1"/>
  <c r="R15" i="2" s="1"/>
  <c r="Q18" i="2"/>
  <c r="Q19" i="2" s="1"/>
  <c r="Q12" i="2"/>
  <c r="C15" i="9"/>
  <c r="C14" i="9"/>
  <c r="C11" i="9"/>
  <c r="C10" i="9"/>
  <c r="C9" i="9"/>
  <c r="G52" i="9"/>
  <c r="E66" i="21"/>
  <c r="C99" i="8"/>
  <c r="I99" i="8" s="1"/>
  <c r="F157" i="9"/>
  <c r="F147" i="9"/>
  <c r="F150" i="9"/>
  <c r="F153" i="9"/>
  <c r="C13" i="9"/>
  <c r="E21" i="8"/>
  <c r="D129" i="9" s="1"/>
  <c r="S141" i="3" l="1"/>
  <c r="S142" i="3" s="1"/>
  <c r="S11" i="2"/>
  <c r="S31" i="5" s="1"/>
  <c r="S11" i="5" s="1"/>
  <c r="S150" i="3"/>
  <c r="S101" i="3"/>
  <c r="S14" i="2" s="1"/>
  <c r="S15" i="2" s="1"/>
  <c r="S32" i="5" s="1"/>
  <c r="M18" i="9"/>
  <c r="P60" i="21"/>
  <c r="O60" i="21"/>
  <c r="L18" i="9"/>
  <c r="S106" i="3"/>
  <c r="S111" i="3"/>
  <c r="S22" i="2" s="1"/>
  <c r="T20" i="20" s="1"/>
  <c r="S93" i="3"/>
  <c r="S159" i="3"/>
  <c r="S160" i="3" s="1"/>
  <c r="O39" i="5"/>
  <c r="P67" i="20" s="1"/>
  <c r="O35" i="5"/>
  <c r="L155" i="2"/>
  <c r="L101" i="2" s="1"/>
  <c r="R32" i="5"/>
  <c r="S17" i="20"/>
  <c r="R31" i="5"/>
  <c r="Q148" i="2"/>
  <c r="Q74" i="2" s="1"/>
  <c r="R81" i="2"/>
  <c r="R116" i="2" s="1"/>
  <c r="S38" i="20" s="1"/>
  <c r="P46" i="2"/>
  <c r="P61" i="2"/>
  <c r="O88" i="4"/>
  <c r="O61" i="4"/>
  <c r="O155" i="2" s="1"/>
  <c r="O101" i="2" s="1"/>
  <c r="Q140" i="3"/>
  <c r="Q144" i="3" s="1"/>
  <c r="P134" i="2"/>
  <c r="P53" i="4" s="1"/>
  <c r="Q158" i="3"/>
  <c r="Q162" i="3" s="1"/>
  <c r="P133" i="2"/>
  <c r="R153" i="3"/>
  <c r="S149" i="3" s="1"/>
  <c r="S151" i="3"/>
  <c r="Q46" i="2"/>
  <c r="R142" i="3"/>
  <c r="R160" i="3"/>
  <c r="R132" i="3"/>
  <c r="R151" i="2" s="1"/>
  <c r="R131" i="3"/>
  <c r="R18" i="2"/>
  <c r="R19" i="2" s="1"/>
  <c r="R12" i="2"/>
  <c r="H129" i="9"/>
  <c r="Q1" i="10"/>
  <c r="R1" i="10"/>
  <c r="G41" i="9"/>
  <c r="C100" i="9"/>
  <c r="E101" i="9"/>
  <c r="C126" i="9" s="1"/>
  <c r="C95" i="9"/>
  <c r="E96" i="9"/>
  <c r="E106" i="9"/>
  <c r="C110" i="9"/>
  <c r="E111" i="9"/>
  <c r="C129" i="9" s="1"/>
  <c r="C116" i="9"/>
  <c r="C117" i="9"/>
  <c r="C118" i="9"/>
  <c r="C119" i="9"/>
  <c r="D167" i="9"/>
  <c r="E167" i="9" s="1"/>
  <c r="F167" i="9" s="1"/>
  <c r="G167" i="9" s="1"/>
  <c r="H167" i="9" s="1"/>
  <c r="I167" i="9" s="1"/>
  <c r="J167" i="9" s="1"/>
  <c r="K167" i="9" s="1"/>
  <c r="L167" i="9" s="1"/>
  <c r="M167" i="9" s="1"/>
  <c r="E9" i="8"/>
  <c r="E12" i="8"/>
  <c r="E49" i="8" s="1"/>
  <c r="E13" i="8"/>
  <c r="E50" i="8" s="1"/>
  <c r="E14" i="8"/>
  <c r="E51" i="8" s="1"/>
  <c r="E15" i="8"/>
  <c r="E52" i="8" s="1"/>
  <c r="E18" i="8"/>
  <c r="E19" i="8"/>
  <c r="E20" i="8"/>
  <c r="E24" i="8"/>
  <c r="E25" i="8"/>
  <c r="E28" i="8"/>
  <c r="D104" i="8" s="1"/>
  <c r="E29" i="8"/>
  <c r="D105" i="8" s="1"/>
  <c r="E30" i="8"/>
  <c r="G83" i="8" s="1"/>
  <c r="E33" i="8"/>
  <c r="C10" i="10" s="1"/>
  <c r="E34" i="8"/>
  <c r="C25" i="21" s="1"/>
  <c r="R25" i="21" s="1"/>
  <c r="F37" i="8"/>
  <c r="G37" i="8" s="1"/>
  <c r="C75" i="8"/>
  <c r="I75" i="8" s="1"/>
  <c r="C76" i="8"/>
  <c r="C77" i="8"/>
  <c r="C78" i="8"/>
  <c r="G116" i="8"/>
  <c r="S131" i="3" l="1"/>
  <c r="S148" i="2" s="1"/>
  <c r="S132" i="3"/>
  <c r="S151" i="2" s="1"/>
  <c r="T17" i="20"/>
  <c r="S18" i="2"/>
  <c r="S19" i="2" s="1"/>
  <c r="S81" i="2"/>
  <c r="S116" i="2" s="1"/>
  <c r="T38" i="20" s="1"/>
  <c r="C11" i="6" s="1"/>
  <c r="S12" i="2"/>
  <c r="Q39" i="5"/>
  <c r="R67" i="20" s="1"/>
  <c r="Q35" i="5"/>
  <c r="P39" i="5"/>
  <c r="Q67" i="20" s="1"/>
  <c r="P35" i="5"/>
  <c r="M101" i="2"/>
  <c r="R148" i="2"/>
  <c r="R74" i="2" s="1"/>
  <c r="P88" i="4"/>
  <c r="P61" i="4"/>
  <c r="P155" i="2" s="1"/>
  <c r="P101" i="2" s="1"/>
  <c r="R140" i="3"/>
  <c r="R144" i="3" s="1"/>
  <c r="Q134" i="2"/>
  <c r="Q53" i="4" s="1"/>
  <c r="R158" i="3"/>
  <c r="R162" i="3" s="1"/>
  <c r="Q133" i="2"/>
  <c r="S167" i="3"/>
  <c r="R167" i="3"/>
  <c r="S153" i="3"/>
  <c r="C163" i="9"/>
  <c r="I77" i="8"/>
  <c r="C162" i="9"/>
  <c r="I76" i="8"/>
  <c r="I6" i="8" s="1"/>
  <c r="J1" i="8" s="1"/>
  <c r="C164" i="9"/>
  <c r="I78" i="8"/>
  <c r="D117" i="9"/>
  <c r="D116" i="9"/>
  <c r="D119" i="9"/>
  <c r="C135" i="9"/>
  <c r="G162" i="9"/>
  <c r="D118" i="9"/>
  <c r="C132" i="9"/>
  <c r="G76" i="8"/>
  <c r="D127" i="9"/>
  <c r="G75" i="8"/>
  <c r="D126" i="9"/>
  <c r="G77" i="8"/>
  <c r="D128" i="9"/>
  <c r="D107" i="8"/>
  <c r="D106" i="8"/>
  <c r="F79" i="9"/>
  <c r="M79" i="9" s="1"/>
  <c r="M82" i="9" s="1"/>
  <c r="F69" i="9"/>
  <c r="C128" i="9"/>
  <c r="G115" i="8"/>
  <c r="G93" i="8"/>
  <c r="F162" i="9"/>
  <c r="C161" i="9"/>
  <c r="F163" i="9"/>
  <c r="E53" i="8"/>
  <c r="C127" i="9"/>
  <c r="G85" i="8"/>
  <c r="U5" i="5"/>
  <c r="U1" i="5" s="1"/>
  <c r="U5" i="4"/>
  <c r="S38" i="5" l="1"/>
  <c r="T69" i="20" s="1"/>
  <c r="S74" i="2"/>
  <c r="R46" i="2"/>
  <c r="R61" i="2"/>
  <c r="S46" i="2"/>
  <c r="S61" i="2"/>
  <c r="Q88" i="4"/>
  <c r="Q61" i="4"/>
  <c r="Q155" i="2" s="1"/>
  <c r="Q101" i="2" s="1"/>
  <c r="S140" i="3"/>
  <c r="R134" i="2"/>
  <c r="R53" i="4" s="1"/>
  <c r="S158" i="3"/>
  <c r="S162" i="3" s="1"/>
  <c r="S133" i="2" s="1"/>
  <c r="R133" i="2"/>
  <c r="U6" i="5"/>
  <c r="V1" i="5" s="1"/>
  <c r="H128" i="9"/>
  <c r="H127" i="9"/>
  <c r="H126" i="9"/>
  <c r="C65" i="20"/>
  <c r="V65" i="20" s="1"/>
  <c r="F164" i="9"/>
  <c r="C36" i="21"/>
  <c r="R36" i="21" s="1"/>
  <c r="C38" i="21"/>
  <c r="R38" i="21" s="1"/>
  <c r="C34" i="21"/>
  <c r="R34" i="21" s="1"/>
  <c r="H28" i="21"/>
  <c r="C8" i="21"/>
  <c r="R8" i="21" s="1"/>
  <c r="G164" i="9"/>
  <c r="G163" i="9"/>
  <c r="D135" i="9"/>
  <c r="D132" i="9"/>
  <c r="C9" i="10"/>
  <c r="C11" i="10"/>
  <c r="D108" i="8"/>
  <c r="C134" i="9"/>
  <c r="L79" i="9"/>
  <c r="L82" i="9" s="1"/>
  <c r="M69" i="9"/>
  <c r="I69" i="9"/>
  <c r="L69" i="9"/>
  <c r="H69" i="9"/>
  <c r="K69" i="9"/>
  <c r="J69" i="9"/>
  <c r="G94" i="8"/>
  <c r="H27" i="21" s="1"/>
  <c r="F161" i="9"/>
  <c r="G161" i="9"/>
  <c r="C133" i="9"/>
  <c r="S144" i="3" l="1"/>
  <c r="S134" i="2" s="1"/>
  <c r="S53" i="4" s="1"/>
  <c r="S39" i="5"/>
  <c r="T67" i="20" s="1"/>
  <c r="S35" i="5"/>
  <c r="R39" i="5"/>
  <c r="S67" i="20" s="1"/>
  <c r="R35" i="5"/>
  <c r="V6" i="20"/>
  <c r="V1" i="20" s="1"/>
  <c r="R88" i="4"/>
  <c r="R61" i="4"/>
  <c r="R155" i="2" s="1"/>
  <c r="R101" i="2" s="1"/>
  <c r="C157" i="9"/>
  <c r="D133" i="9"/>
  <c r="D134" i="9"/>
  <c r="C150" i="9"/>
  <c r="C153" i="9"/>
  <c r="C147" i="9"/>
  <c r="I126" i="9"/>
  <c r="I128" i="9"/>
  <c r="H103" i="2"/>
  <c r="S61" i="4" l="1"/>
  <c r="S155" i="2" s="1"/>
  <c r="S101" i="2" s="1"/>
  <c r="S88" i="4"/>
  <c r="M157" i="2"/>
  <c r="N157" i="2" s="1"/>
  <c r="O157" i="2" s="1"/>
  <c r="P157" i="2" s="1"/>
  <c r="Q157" i="2" s="1"/>
  <c r="R157" i="2" s="1"/>
  <c r="S157" i="2" s="1"/>
  <c r="O6" i="9"/>
  <c r="P1" i="9" s="1"/>
  <c r="J128" i="9"/>
  <c r="J126" i="9"/>
  <c r="I127" i="9"/>
  <c r="J127" i="9" l="1"/>
  <c r="K126" i="9"/>
  <c r="L126" i="9" s="1"/>
  <c r="K128" i="9"/>
  <c r="L128" i="9" s="1"/>
  <c r="M128" i="9" l="1"/>
  <c r="M126" i="9"/>
  <c r="K127" i="9"/>
  <c r="L127" i="9" s="1"/>
  <c r="M127" i="9" l="1"/>
  <c r="G50" i="21" l="1"/>
  <c r="G52" i="21" s="1"/>
  <c r="I50" i="21"/>
  <c r="I52" i="21" s="1"/>
  <c r="H50" i="21"/>
  <c r="H52" i="21" s="1"/>
  <c r="K75" i="2"/>
  <c r="L37" i="20" s="1"/>
  <c r="J75" i="2"/>
  <c r="K37" i="20" s="1"/>
  <c r="I75" i="2"/>
  <c r="J37" i="20" s="1"/>
  <c r="H75" i="2"/>
  <c r="I37" i="20" s="1"/>
  <c r="K160" i="2"/>
  <c r="I117" i="2" l="1"/>
  <c r="H61" i="21" s="1"/>
  <c r="H117" i="2"/>
  <c r="G61" i="21" s="1"/>
  <c r="J117" i="2"/>
  <c r="I61" i="21" s="1"/>
  <c r="K117" i="2"/>
  <c r="J61" i="21" s="1"/>
  <c r="K77" i="2"/>
  <c r="J50" i="21"/>
  <c r="J52" i="21" s="1"/>
  <c r="J24" i="2"/>
  <c r="I24" i="2"/>
  <c r="J130" i="3"/>
  <c r="J129" i="3"/>
  <c r="K130" i="3"/>
  <c r="K129" i="3"/>
  <c r="H130" i="3"/>
  <c r="H129" i="3"/>
  <c r="I130" i="3"/>
  <c r="I129" i="3"/>
  <c r="J19" i="2"/>
  <c r="I19" i="2"/>
  <c r="H19" i="9" l="1"/>
  <c r="H133" i="3"/>
  <c r="I133" i="3"/>
  <c r="J133" i="3"/>
  <c r="K133" i="3"/>
  <c r="I53" i="21"/>
  <c r="H53" i="21"/>
  <c r="C15" i="6"/>
  <c r="C16" i="6"/>
  <c r="C17" i="6"/>
  <c r="C18" i="6"/>
  <c r="R10" i="5"/>
  <c r="L74" i="20"/>
  <c r="U1" i="4"/>
  <c r="D7" i="4"/>
  <c r="D72" i="4" s="1"/>
  <c r="E7" i="4"/>
  <c r="E72" i="4" s="1"/>
  <c r="J66" i="21"/>
  <c r="G164" i="4"/>
  <c r="H158" i="4" s="1"/>
  <c r="U1" i="3"/>
  <c r="F11" i="3"/>
  <c r="F12" i="3"/>
  <c r="F21" i="3"/>
  <c r="C197" i="3"/>
  <c r="U197" i="3" s="1"/>
  <c r="J56" i="20"/>
  <c r="K56" i="20"/>
  <c r="V2" i="2"/>
  <c r="L57" i="2"/>
  <c r="L121" i="2"/>
  <c r="E150" i="4" l="1"/>
  <c r="D125" i="4"/>
  <c r="F19" i="3"/>
  <c r="G8" i="2" s="1"/>
  <c r="F18" i="3"/>
  <c r="D21" i="5" s="1"/>
  <c r="L43" i="5" s="1"/>
  <c r="F20" i="3"/>
  <c r="L56" i="20"/>
  <c r="I34" i="20"/>
  <c r="U6" i="3"/>
  <c r="V1" i="3" s="1"/>
  <c r="G92" i="8"/>
  <c r="D150" i="4"/>
  <c r="E125" i="4"/>
  <c r="I170" i="2"/>
  <c r="G170" i="2"/>
  <c r="H170" i="2"/>
  <c r="U2" i="2"/>
  <c r="H66" i="21"/>
  <c r="G66" i="21"/>
  <c r="F66" i="21"/>
  <c r="L151" i="4"/>
  <c r="U6" i="4"/>
  <c r="V1" i="4" s="1"/>
  <c r="I54" i="20" l="1"/>
  <c r="I39" i="20"/>
  <c r="I43" i="20" s="1"/>
  <c r="I46" i="20" s="1"/>
  <c r="M43" i="5"/>
  <c r="L45" i="5"/>
  <c r="F22" i="3"/>
  <c r="K34" i="20"/>
  <c r="L28" i="20"/>
  <c r="L34" i="20"/>
  <c r="J34" i="20"/>
  <c r="K28" i="20"/>
  <c r="J28" i="20"/>
  <c r="G7" i="4"/>
  <c r="F49" i="21" s="1"/>
  <c r="F62" i="8"/>
  <c r="E7" i="21" s="1"/>
  <c r="G95" i="8"/>
  <c r="F63" i="8" s="1"/>
  <c r="E8" i="21" s="1"/>
  <c r="H7" i="3"/>
  <c r="L54" i="20" l="1"/>
  <c r="L39" i="20"/>
  <c r="L43" i="20" s="1"/>
  <c r="K54" i="20"/>
  <c r="K39" i="20"/>
  <c r="K43" i="20" s="1"/>
  <c r="K46" i="20" s="1"/>
  <c r="J54" i="20"/>
  <c r="J39" i="20"/>
  <c r="J43" i="20" s="1"/>
  <c r="J46" i="20" s="1"/>
  <c r="N43" i="5"/>
  <c r="M45" i="5"/>
  <c r="G58" i="2"/>
  <c r="G122" i="2"/>
  <c r="G30" i="5"/>
  <c r="I64" i="20"/>
  <c r="I7" i="20"/>
  <c r="I32" i="20"/>
  <c r="E9" i="21"/>
  <c r="G125" i="4"/>
  <c r="G96" i="8"/>
  <c r="F64" i="8"/>
  <c r="G150" i="4"/>
  <c r="H8" i="2"/>
  <c r="H7" i="4" s="1"/>
  <c r="I7" i="3"/>
  <c r="J7" i="3" s="1"/>
  <c r="G72" i="4"/>
  <c r="F96" i="21" l="1"/>
  <c r="G49" i="21"/>
  <c r="O43" i="5"/>
  <c r="N45" i="5"/>
  <c r="K64" i="20"/>
  <c r="K7" i="20"/>
  <c r="K32" i="20"/>
  <c r="J64" i="20"/>
  <c r="J7" i="20"/>
  <c r="J32" i="20"/>
  <c r="H30" i="5"/>
  <c r="H122" i="2"/>
  <c r="H58" i="2"/>
  <c r="I8" i="2"/>
  <c r="I122" i="2" s="1"/>
  <c r="H150" i="4"/>
  <c r="H125" i="4"/>
  <c r="H72" i="4"/>
  <c r="K7" i="3"/>
  <c r="J8" i="2"/>
  <c r="P43" i="5" l="1"/>
  <c r="O45" i="5"/>
  <c r="I30" i="5"/>
  <c r="L7" i="20"/>
  <c r="L32" i="20"/>
  <c r="L64" i="20"/>
  <c r="I58" i="2"/>
  <c r="I7" i="4"/>
  <c r="L7" i="3"/>
  <c r="K8" i="2"/>
  <c r="J122" i="2"/>
  <c r="J30" i="5"/>
  <c r="J58" i="2"/>
  <c r="J7" i="4"/>
  <c r="G96" i="21" l="1"/>
  <c r="H49" i="21"/>
  <c r="H96" i="21" s="1"/>
  <c r="I49" i="21"/>
  <c r="Q43" i="5"/>
  <c r="P45" i="5"/>
  <c r="I125" i="4"/>
  <c r="I150" i="4"/>
  <c r="M64" i="20"/>
  <c r="M7" i="20"/>
  <c r="M32" i="20"/>
  <c r="I72" i="4"/>
  <c r="K122" i="2"/>
  <c r="K30" i="5"/>
  <c r="K58" i="2"/>
  <c r="K7" i="4"/>
  <c r="J49" i="21" s="1"/>
  <c r="J96" i="21" s="1"/>
  <c r="J72" i="4"/>
  <c r="J125" i="4"/>
  <c r="J150" i="4"/>
  <c r="M7" i="3"/>
  <c r="L8" i="2"/>
  <c r="I96" i="21" l="1"/>
  <c r="J32" i="21"/>
  <c r="J16" i="21" s="1"/>
  <c r="G94" i="9"/>
  <c r="R43" i="5"/>
  <c r="Q45" i="5"/>
  <c r="N64" i="20"/>
  <c r="N7" i="20"/>
  <c r="N32" i="20"/>
  <c r="N7" i="3"/>
  <c r="M8" i="2"/>
  <c r="K72" i="4"/>
  <c r="K125" i="4"/>
  <c r="K150" i="4"/>
  <c r="L122" i="2"/>
  <c r="L58" i="2"/>
  <c r="L7" i="4"/>
  <c r="L30" i="5"/>
  <c r="K32" i="21" l="1"/>
  <c r="K49" i="21"/>
  <c r="H94" i="9" s="1"/>
  <c r="S43" i="5"/>
  <c r="S45" i="5" s="1"/>
  <c r="R45" i="5"/>
  <c r="O64" i="20"/>
  <c r="O7" i="20"/>
  <c r="O32" i="20"/>
  <c r="M122" i="2"/>
  <c r="M58" i="2"/>
  <c r="M30" i="5"/>
  <c r="M7" i="4"/>
  <c r="O7" i="3"/>
  <c r="N8" i="2"/>
  <c r="L150" i="4"/>
  <c r="L125" i="4"/>
  <c r="L72" i="4"/>
  <c r="G142" i="2"/>
  <c r="G172" i="2" s="1"/>
  <c r="L49" i="21" l="1"/>
  <c r="I94" i="9" s="1"/>
  <c r="L32" i="21"/>
  <c r="K16" i="21"/>
  <c r="K96" i="21"/>
  <c r="P7" i="20"/>
  <c r="P32" i="20"/>
  <c r="P64" i="20"/>
  <c r="N58" i="2"/>
  <c r="N7" i="4"/>
  <c r="N122" i="2"/>
  <c r="N30" i="5"/>
  <c r="M125" i="4"/>
  <c r="M72" i="4"/>
  <c r="M150" i="4"/>
  <c r="P7" i="3"/>
  <c r="O8" i="2"/>
  <c r="M32" i="21" l="1"/>
  <c r="M49" i="21"/>
  <c r="J94" i="9" s="1"/>
  <c r="L16" i="21"/>
  <c r="L96" i="21"/>
  <c r="Q64" i="20"/>
  <c r="Q7" i="20"/>
  <c r="Q32" i="20"/>
  <c r="G144" i="9"/>
  <c r="G65" i="9"/>
  <c r="G115" i="9"/>
  <c r="G8" i="9"/>
  <c r="Q7" i="3"/>
  <c r="P8" i="2"/>
  <c r="N72" i="4"/>
  <c r="N125" i="4"/>
  <c r="N150" i="4"/>
  <c r="O122" i="2"/>
  <c r="O7" i="4"/>
  <c r="O30" i="5"/>
  <c r="O58" i="2"/>
  <c r="H142" i="2"/>
  <c r="H172" i="2" s="1"/>
  <c r="N49" i="21" l="1"/>
  <c r="K94" i="9" s="1"/>
  <c r="N32" i="21"/>
  <c r="H134" i="3"/>
  <c r="R64" i="20"/>
  <c r="R7" i="20"/>
  <c r="R32" i="20"/>
  <c r="M16" i="21"/>
  <c r="M96" i="21"/>
  <c r="G31" i="9"/>
  <c r="G45" i="9"/>
  <c r="O125" i="4"/>
  <c r="O150" i="4"/>
  <c r="O72" i="4"/>
  <c r="P122" i="2"/>
  <c r="P30" i="5"/>
  <c r="P58" i="2"/>
  <c r="P7" i="4"/>
  <c r="R7" i="3"/>
  <c r="Q8" i="2"/>
  <c r="O32" i="21" l="1"/>
  <c r="O49" i="21"/>
  <c r="L94" i="9" s="1"/>
  <c r="N16" i="21"/>
  <c r="N96" i="21"/>
  <c r="S64" i="20"/>
  <c r="S7" i="20"/>
  <c r="S32" i="20"/>
  <c r="P150" i="4"/>
  <c r="P72" i="4"/>
  <c r="P125" i="4"/>
  <c r="R8" i="2"/>
  <c r="S7" i="3"/>
  <c r="Q7" i="4"/>
  <c r="Q58" i="2"/>
  <c r="Q122" i="2"/>
  <c r="Q30" i="5"/>
  <c r="I142" i="2"/>
  <c r="I172" i="2" s="1"/>
  <c r="P49" i="21" l="1"/>
  <c r="M94" i="9" s="1"/>
  <c r="P32" i="21"/>
  <c r="I134" i="3"/>
  <c r="T7" i="20"/>
  <c r="T32" i="20"/>
  <c r="T64" i="20"/>
  <c r="O16" i="21"/>
  <c r="O96" i="21"/>
  <c r="S8" i="2"/>
  <c r="S7" i="4" s="1"/>
  <c r="R122" i="2"/>
  <c r="R7" i="4"/>
  <c r="R30" i="5"/>
  <c r="R58" i="2"/>
  <c r="Q150" i="4"/>
  <c r="Q125" i="4"/>
  <c r="Q72" i="4"/>
  <c r="S58" i="2" l="1"/>
  <c r="P16" i="21"/>
  <c r="P96" i="21"/>
  <c r="S122" i="2"/>
  <c r="S30" i="5"/>
  <c r="R125" i="4"/>
  <c r="R150" i="4"/>
  <c r="R72" i="4"/>
  <c r="S72" i="4"/>
  <c r="S125" i="4"/>
  <c r="S150" i="4"/>
  <c r="J142" i="2"/>
  <c r="J168" i="2" l="1"/>
  <c r="J170" i="2" s="1"/>
  <c r="J172" i="2" s="1"/>
  <c r="J134" i="3"/>
  <c r="L65" i="9"/>
  <c r="L144" i="9"/>
  <c r="L8" i="9"/>
  <c r="L125" i="9"/>
  <c r="L115" i="9"/>
  <c r="M65" i="9" l="1"/>
  <c r="M144" i="9"/>
  <c r="M125" i="9"/>
  <c r="M115" i="9"/>
  <c r="M8" i="9"/>
  <c r="L31" i="9"/>
  <c r="L42" i="9" s="1"/>
  <c r="L45" i="9"/>
  <c r="K142" i="2"/>
  <c r="K168" i="2" l="1"/>
  <c r="K170" i="2" s="1"/>
  <c r="K172" i="2" s="1"/>
  <c r="K134" i="3"/>
  <c r="M31" i="9"/>
  <c r="M42" i="9" s="1"/>
  <c r="M45" i="9"/>
  <c r="H79" i="9" l="1"/>
  <c r="H82" i="9" s="1"/>
  <c r="I79" i="9" l="1"/>
  <c r="I82" i="9" s="1"/>
  <c r="K79" i="9" l="1"/>
  <c r="K82" i="9" s="1"/>
  <c r="J79" i="9"/>
  <c r="J82" i="9" s="1"/>
  <c r="F82" i="9" l="1"/>
  <c r="F18" i="21" s="1"/>
  <c r="C13" i="10" l="1"/>
  <c r="H65" i="9"/>
  <c r="H8" i="9"/>
  <c r="H144" i="9"/>
  <c r="H115" i="9"/>
  <c r="H125" i="9"/>
  <c r="H31" i="9" l="1"/>
  <c r="H42" i="9" s="1"/>
  <c r="H45" i="9"/>
  <c r="I125" i="9"/>
  <c r="I8" i="9"/>
  <c r="I144" i="9"/>
  <c r="I115" i="9"/>
  <c r="I65" i="9"/>
  <c r="I31" i="9" l="1"/>
  <c r="I42" i="9" s="1"/>
  <c r="I45" i="9"/>
  <c r="J115" i="9"/>
  <c r="J65" i="9"/>
  <c r="J125" i="9"/>
  <c r="J8" i="9"/>
  <c r="J144" i="9"/>
  <c r="J31" i="9" l="1"/>
  <c r="J42" i="9" s="1"/>
  <c r="J45" i="9"/>
  <c r="K65" i="9"/>
  <c r="K8" i="9"/>
  <c r="K144" i="9"/>
  <c r="K115" i="9"/>
  <c r="K125" i="9"/>
  <c r="G78" i="8"/>
  <c r="C40" i="21" l="1"/>
  <c r="R40" i="21" s="1"/>
  <c r="K31" i="9"/>
  <c r="K42" i="9" s="1"/>
  <c r="K45" i="9"/>
  <c r="I129" i="9"/>
  <c r="J129" i="9" s="1"/>
  <c r="K129" i="9" s="1"/>
  <c r="L129" i="9" s="1"/>
  <c r="M129" i="9" s="1"/>
  <c r="R6" i="21" l="1"/>
  <c r="S1" i="21" s="1"/>
  <c r="H27" i="9" l="1"/>
  <c r="G35" i="2" l="1"/>
  <c r="G77" i="2" l="1"/>
  <c r="G107" i="2" s="1"/>
  <c r="G44" i="2"/>
  <c r="E73" i="21"/>
  <c r="G108" i="2" l="1"/>
  <c r="H105" i="2" s="1"/>
  <c r="H59" i="20"/>
  <c r="G87" i="2"/>
  <c r="L38" i="5"/>
  <c r="M69" i="20" s="1"/>
  <c r="L85" i="2"/>
  <c r="G111" i="2" l="1"/>
  <c r="G13" i="4" s="1"/>
  <c r="G17" i="4" s="1"/>
  <c r="H10" i="4" l="1"/>
  <c r="M65" i="20"/>
  <c r="H71" i="9"/>
  <c r="K50" i="21"/>
  <c r="L154" i="4"/>
  <c r="L162" i="2" s="1"/>
  <c r="M38" i="5"/>
  <c r="N69" i="20" s="1"/>
  <c r="M18" i="20"/>
  <c r="J53" i="21"/>
  <c r="L130" i="3"/>
  <c r="G56" i="21"/>
  <c r="J35" i="2"/>
  <c r="K35" i="2"/>
  <c r="H94" i="4"/>
  <c r="I94" i="4"/>
  <c r="K94" i="4"/>
  <c r="J94" i="4"/>
  <c r="L125" i="2" l="1"/>
  <c r="L72" i="2" s="1"/>
  <c r="L126" i="2"/>
  <c r="L73" i="2" s="1"/>
  <c r="J163" i="4"/>
  <c r="J44" i="2"/>
  <c r="K163" i="4"/>
  <c r="K44" i="2"/>
  <c r="M151" i="4"/>
  <c r="M154" i="4" s="1"/>
  <c r="I56" i="21"/>
  <c r="J56" i="21"/>
  <c r="H56" i="21"/>
  <c r="H62" i="21" s="1"/>
  <c r="H73" i="21" s="1"/>
  <c r="M85" i="2"/>
  <c r="K57" i="20"/>
  <c r="H35" i="2"/>
  <c r="I35" i="2"/>
  <c r="L75" i="2" l="1"/>
  <c r="M37" i="20" s="1"/>
  <c r="H163" i="4"/>
  <c r="H44" i="2"/>
  <c r="I163" i="4"/>
  <c r="I44" i="2"/>
  <c r="N151" i="4"/>
  <c r="N154" i="4" s="1"/>
  <c r="M162" i="2"/>
  <c r="N65" i="20"/>
  <c r="L50" i="21"/>
  <c r="I71" i="9"/>
  <c r="M130" i="3"/>
  <c r="M126" i="2" s="1"/>
  <c r="M73" i="2" s="1"/>
  <c r="M129" i="3"/>
  <c r="M125" i="2" s="1"/>
  <c r="M72" i="2" s="1"/>
  <c r="L133" i="3"/>
  <c r="F73" i="21"/>
  <c r="J77" i="2"/>
  <c r="J107" i="2" s="1"/>
  <c r="K59" i="20" s="1"/>
  <c r="H57" i="21"/>
  <c r="J57" i="20"/>
  <c r="I57" i="21"/>
  <c r="G57" i="21"/>
  <c r="G62" i="21"/>
  <c r="G73" i="21" s="1"/>
  <c r="O151" i="4" l="1"/>
  <c r="O154" i="4" s="1"/>
  <c r="N162" i="2"/>
  <c r="L117" i="2"/>
  <c r="H30" i="3"/>
  <c r="I30" i="3"/>
  <c r="J30" i="3"/>
  <c r="N38" i="5"/>
  <c r="O69" i="20" s="1"/>
  <c r="H9" i="9"/>
  <c r="H72" i="9"/>
  <c r="N18" i="20"/>
  <c r="L134" i="3"/>
  <c r="J87" i="2"/>
  <c r="I77" i="2"/>
  <c r="I107" i="2" s="1"/>
  <c r="J59" i="20" s="1"/>
  <c r="P151" i="4" l="1"/>
  <c r="P154" i="4" s="1"/>
  <c r="O162" i="2"/>
  <c r="L40" i="5"/>
  <c r="M70" i="20" s="1"/>
  <c r="N85" i="2"/>
  <c r="H73" i="9"/>
  <c r="K51" i="21"/>
  <c r="K52" i="21" s="1"/>
  <c r="H10" i="9"/>
  <c r="H77" i="2"/>
  <c r="H107" i="2" s="1"/>
  <c r="I87" i="2"/>
  <c r="H108" i="2" l="1"/>
  <c r="H90" i="4" s="1"/>
  <c r="I59" i="20"/>
  <c r="Q151" i="4"/>
  <c r="Q154" i="4" s="1"/>
  <c r="P162" i="2"/>
  <c r="H87" i="2"/>
  <c r="K61" i="21"/>
  <c r="I19" i="9"/>
  <c r="H11" i="9"/>
  <c r="M133" i="3"/>
  <c r="I105" i="2" l="1"/>
  <c r="I108" i="2" s="1"/>
  <c r="H111" i="2"/>
  <c r="R151" i="4"/>
  <c r="R154" i="4" s="1"/>
  <c r="Q162" i="2"/>
  <c r="H13" i="4"/>
  <c r="L57" i="20"/>
  <c r="F40" i="8"/>
  <c r="O65" i="20"/>
  <c r="J71" i="9"/>
  <c r="M50" i="21"/>
  <c r="I62" i="21"/>
  <c r="M134" i="3"/>
  <c r="M75" i="2"/>
  <c r="N37" i="20" s="1"/>
  <c r="K53" i="21"/>
  <c r="K17" i="21"/>
  <c r="O38" i="5"/>
  <c r="P69" i="20" s="1"/>
  <c r="N129" i="3"/>
  <c r="N125" i="2" s="1"/>
  <c r="N72" i="2" s="1"/>
  <c r="N130" i="3"/>
  <c r="N126" i="2" s="1"/>
  <c r="N73" i="2" s="1"/>
  <c r="J105" i="2" l="1"/>
  <c r="J108" i="2" s="1"/>
  <c r="J90" i="4" s="1"/>
  <c r="I90" i="4"/>
  <c r="I111" i="2"/>
  <c r="I15" i="4" s="1"/>
  <c r="H17" i="4"/>
  <c r="S151" i="4"/>
  <c r="S154" i="4" s="1"/>
  <c r="S162" i="2" s="1"/>
  <c r="R162" i="2"/>
  <c r="H11" i="4"/>
  <c r="H12" i="4"/>
  <c r="I10" i="4"/>
  <c r="M117" i="2"/>
  <c r="I72" i="9"/>
  <c r="I73" i="9" s="1"/>
  <c r="I9" i="9"/>
  <c r="O85" i="2"/>
  <c r="O18" i="20"/>
  <c r="K87" i="2"/>
  <c r="I13" i="4" l="1"/>
  <c r="I17" i="4" s="1"/>
  <c r="J111" i="2"/>
  <c r="K105" i="2"/>
  <c r="K90" i="4" s="1"/>
  <c r="P65" i="20"/>
  <c r="N50" i="21"/>
  <c r="K71" i="9"/>
  <c r="M40" i="5"/>
  <c r="N70" i="20" s="1"/>
  <c r="L51" i="21"/>
  <c r="L52" i="21" s="1"/>
  <c r="I10" i="9"/>
  <c r="O130" i="3"/>
  <c r="O126" i="2" s="1"/>
  <c r="O73" i="2" s="1"/>
  <c r="O129" i="3"/>
  <c r="O125" i="2" s="1"/>
  <c r="O72" i="2" s="1"/>
  <c r="I11" i="9"/>
  <c r="I74" i="9"/>
  <c r="J10" i="4" l="1"/>
  <c r="I11" i="4"/>
  <c r="I12" i="4"/>
  <c r="J15" i="4"/>
  <c r="J13" i="4"/>
  <c r="L105" i="2"/>
  <c r="P18" i="20"/>
  <c r="J19" i="9"/>
  <c r="L61" i="21"/>
  <c r="P38" i="5"/>
  <c r="Q69" i="20" s="1"/>
  <c r="N133" i="3"/>
  <c r="J9" i="9"/>
  <c r="J72" i="9"/>
  <c r="J73" i="9" s="1"/>
  <c r="L53" i="21"/>
  <c r="L17" i="21"/>
  <c r="J17" i="4" l="1"/>
  <c r="L132" i="4"/>
  <c r="L134" i="4" s="1"/>
  <c r="K10" i="4"/>
  <c r="J11" i="4"/>
  <c r="J12" i="4"/>
  <c r="G84" i="8"/>
  <c r="P85" i="2"/>
  <c r="N75" i="2"/>
  <c r="O37" i="20" s="1"/>
  <c r="N134" i="3"/>
  <c r="P129" i="3"/>
  <c r="P125" i="2" s="1"/>
  <c r="P72" i="2" s="1"/>
  <c r="J74" i="9"/>
  <c r="J11" i="9"/>
  <c r="J10" i="9"/>
  <c r="M51" i="21"/>
  <c r="M52" i="21" s="1"/>
  <c r="K17" i="4" l="1"/>
  <c r="L17" i="4" s="1"/>
  <c r="L96" i="2" s="1"/>
  <c r="K12" i="4"/>
  <c r="O133" i="3"/>
  <c r="O134" i="3" s="1"/>
  <c r="O75" i="2"/>
  <c r="P37" i="20" s="1"/>
  <c r="Q18" i="20"/>
  <c r="Q65" i="20"/>
  <c r="L71" i="9"/>
  <c r="O50" i="21"/>
  <c r="P130" i="3"/>
  <c r="P126" i="2" s="1"/>
  <c r="P73" i="2" s="1"/>
  <c r="N117" i="2"/>
  <c r="M17" i="21"/>
  <c r="M53" i="21"/>
  <c r="K9" i="9"/>
  <c r="K72" i="9"/>
  <c r="K73" i="9" s="1"/>
  <c r="L18" i="4" l="1"/>
  <c r="L145" i="2" s="1"/>
  <c r="M17" i="4"/>
  <c r="M96" i="2" s="1"/>
  <c r="L129" i="4"/>
  <c r="O117" i="2"/>
  <c r="Q38" i="5"/>
  <c r="R69" i="20" s="1"/>
  <c r="N40" i="5"/>
  <c r="O70" i="20" s="1"/>
  <c r="K11" i="9"/>
  <c r="K74" i="9"/>
  <c r="N51" i="21"/>
  <c r="N52" i="21" s="1"/>
  <c r="K10" i="9"/>
  <c r="N17" i="4" l="1"/>
  <c r="N96" i="2" s="1"/>
  <c r="L87" i="4"/>
  <c r="O40" i="5"/>
  <c r="P70" i="20" s="1"/>
  <c r="Q85" i="2"/>
  <c r="L19" i="9"/>
  <c r="N61" i="21"/>
  <c r="R65" i="20"/>
  <c r="P50" i="21"/>
  <c r="M71" i="9"/>
  <c r="M61" i="21"/>
  <c r="K19" i="9"/>
  <c r="Q130" i="3"/>
  <c r="Q126" i="2" s="1"/>
  <c r="Q73" i="2" s="1"/>
  <c r="Q129" i="3"/>
  <c r="Q125" i="2" s="1"/>
  <c r="Q72" i="2" s="1"/>
  <c r="P133" i="3"/>
  <c r="N53" i="21"/>
  <c r="N17" i="21"/>
  <c r="O17" i="4" l="1"/>
  <c r="O96" i="2" s="1"/>
  <c r="R18" i="20"/>
  <c r="R38" i="5"/>
  <c r="S69" i="20" s="1"/>
  <c r="L9" i="9"/>
  <c r="L72" i="9"/>
  <c r="L73" i="9" s="1"/>
  <c r="P134" i="3"/>
  <c r="P75" i="2"/>
  <c r="Q37" i="20" s="1"/>
  <c r="P17" i="4" l="1"/>
  <c r="P96" i="2" s="1"/>
  <c r="S65" i="20"/>
  <c r="R85" i="2"/>
  <c r="P117" i="2"/>
  <c r="L74" i="9"/>
  <c r="L11" i="9"/>
  <c r="L10" i="9"/>
  <c r="O51" i="21"/>
  <c r="O52" i="21" s="1"/>
  <c r="Q17" i="4" l="1"/>
  <c r="Q96" i="2" s="1"/>
  <c r="R129" i="3"/>
  <c r="R125" i="2" s="1"/>
  <c r="R72" i="2" s="1"/>
  <c r="R130" i="3"/>
  <c r="R126" i="2" s="1"/>
  <c r="R73" i="2" s="1"/>
  <c r="P40" i="5"/>
  <c r="Q70" i="20" s="1"/>
  <c r="Q133" i="3"/>
  <c r="Q134" i="3" s="1"/>
  <c r="Q75" i="2"/>
  <c r="R37" i="20" s="1"/>
  <c r="M72" i="9"/>
  <c r="M73" i="9" s="1"/>
  <c r="M9" i="9"/>
  <c r="O53" i="21"/>
  <c r="O17" i="21"/>
  <c r="R17" i="4" l="1"/>
  <c r="R96" i="2" s="1"/>
  <c r="O61" i="21"/>
  <c r="M19" i="9"/>
  <c r="Q117" i="2"/>
  <c r="S18" i="20"/>
  <c r="M11" i="9"/>
  <c r="M74" i="9"/>
  <c r="M10" i="9"/>
  <c r="P51" i="21"/>
  <c r="P52" i="21" s="1"/>
  <c r="F72" i="9"/>
  <c r="S17" i="4" l="1"/>
  <c r="S96" i="2" s="1"/>
  <c r="Q40" i="5"/>
  <c r="R70" i="20" s="1"/>
  <c r="P61" i="21"/>
  <c r="S85" i="2"/>
  <c r="P53" i="21"/>
  <c r="P17" i="21"/>
  <c r="F17" i="21"/>
  <c r="C12" i="10"/>
  <c r="R133" i="3" l="1"/>
  <c r="T65" i="20" l="1"/>
  <c r="R134" i="3"/>
  <c r="R75" i="2"/>
  <c r="S37" i="20" s="1"/>
  <c r="C7" i="6"/>
  <c r="S129" i="3"/>
  <c r="S130" i="3"/>
  <c r="S125" i="2" l="1"/>
  <c r="S72" i="2" s="1"/>
  <c r="S126" i="2"/>
  <c r="S73" i="2" s="1"/>
  <c r="R117" i="2"/>
  <c r="T18" i="20"/>
  <c r="R40" i="5" l="1"/>
  <c r="S70" i="20" s="1"/>
  <c r="S133" i="3" l="1"/>
  <c r="S75" i="2" l="1"/>
  <c r="T37" i="20" s="1"/>
  <c r="S134" i="3"/>
  <c r="S117" i="2" l="1"/>
  <c r="S40" i="5" l="1"/>
  <c r="T70" i="20" s="1"/>
  <c r="F51" i="8" l="1"/>
  <c r="J57" i="21"/>
  <c r="O9" i="21" l="1"/>
  <c r="G108" i="9"/>
  <c r="F154" i="9"/>
  <c r="J62" i="21" l="1"/>
  <c r="J73" i="21" s="1"/>
  <c r="G57" i="9"/>
  <c r="H55" i="9" s="1"/>
  <c r="J38" i="21"/>
  <c r="H106" i="9"/>
  <c r="J113" i="21"/>
  <c r="H134" i="9" l="1"/>
  <c r="K114" i="21" s="1"/>
  <c r="K111" i="21"/>
  <c r="G86" i="8" l="1"/>
  <c r="F58" i="8" s="1"/>
  <c r="O13" i="21" s="1"/>
  <c r="J78" i="21" s="1"/>
  <c r="F70" i="8"/>
  <c r="I66" i="21" l="1"/>
  <c r="I73" i="21" s="1"/>
  <c r="K30" i="3" l="1"/>
  <c r="L46" i="20"/>
  <c r="L59" i="20" s="1"/>
  <c r="M113" i="3" l="1"/>
  <c r="M21" i="2"/>
  <c r="N19" i="20" s="1"/>
  <c r="N113" i="3"/>
  <c r="P113" i="3"/>
  <c r="Q113" i="3"/>
  <c r="R113" i="3"/>
  <c r="S113" i="3"/>
  <c r="L113" i="3"/>
  <c r="S21" i="2" l="1"/>
  <c r="R21" i="2"/>
  <c r="S19" i="20" s="1"/>
  <c r="O113" i="3"/>
  <c r="O21" i="2"/>
  <c r="P19" i="20" s="1"/>
  <c r="L21" i="2"/>
  <c r="M19" i="20" s="1"/>
  <c r="Q21" i="2"/>
  <c r="R19" i="20" s="1"/>
  <c r="M23" i="2"/>
  <c r="P21" i="2"/>
  <c r="Q19" i="20" s="1"/>
  <c r="N21" i="2"/>
  <c r="O19" i="20" s="1"/>
  <c r="R23" i="2" l="1"/>
  <c r="R24" i="2" s="1"/>
  <c r="S23" i="2"/>
  <c r="S33" i="5" s="1"/>
  <c r="T19" i="20"/>
  <c r="S21" i="20"/>
  <c r="N21" i="20"/>
  <c r="M26" i="2"/>
  <c r="M60" i="2" s="1"/>
  <c r="M33" i="5"/>
  <c r="Q23" i="2"/>
  <c r="L23" i="2"/>
  <c r="N23" i="2"/>
  <c r="P23" i="2"/>
  <c r="O23" i="2"/>
  <c r="M24" i="2"/>
  <c r="R33" i="5" l="1"/>
  <c r="R26" i="2"/>
  <c r="R60" i="2" s="1"/>
  <c r="S26" i="2"/>
  <c r="S49" i="2" s="1"/>
  <c r="S24" i="2"/>
  <c r="O21" i="20"/>
  <c r="M21" i="20"/>
  <c r="T21" i="20"/>
  <c r="P21" i="20"/>
  <c r="Q21" i="20"/>
  <c r="R21" i="20"/>
  <c r="P26" i="2"/>
  <c r="P49" i="2" s="1"/>
  <c r="P33" i="5"/>
  <c r="Q26" i="2"/>
  <c r="Q60" i="2" s="1"/>
  <c r="Q33" i="5"/>
  <c r="N26" i="2"/>
  <c r="N60" i="2" s="1"/>
  <c r="N33" i="5"/>
  <c r="M49" i="2"/>
  <c r="M118" i="3" s="1"/>
  <c r="O26" i="2"/>
  <c r="O49" i="2" s="1"/>
  <c r="O33" i="5"/>
  <c r="L26" i="2"/>
  <c r="L60" i="2" s="1"/>
  <c r="L33" i="5"/>
  <c r="N24" i="2"/>
  <c r="O24" i="2"/>
  <c r="P24" i="2"/>
  <c r="L24" i="2"/>
  <c r="Q24" i="2"/>
  <c r="R49" i="2" l="1"/>
  <c r="R118" i="3" s="1"/>
  <c r="R117" i="3" s="1"/>
  <c r="T23" i="20"/>
  <c r="S118" i="3"/>
  <c r="S117" i="3" s="1"/>
  <c r="Q23" i="20"/>
  <c r="P118" i="3"/>
  <c r="P117" i="3" s="1"/>
  <c r="P23" i="20"/>
  <c r="O118" i="3"/>
  <c r="O117" i="3" s="1"/>
  <c r="S60" i="2"/>
  <c r="S94" i="4"/>
  <c r="O60" i="2"/>
  <c r="M94" i="4"/>
  <c r="N23" i="20"/>
  <c r="P60" i="2"/>
  <c r="N49" i="2"/>
  <c r="N118" i="3" s="1"/>
  <c r="Q49" i="2"/>
  <c r="Q118" i="3" s="1"/>
  <c r="M117" i="3"/>
  <c r="L49" i="2"/>
  <c r="O94" i="4"/>
  <c r="P94" i="4"/>
  <c r="S23" i="20" l="1"/>
  <c r="R94" i="4"/>
  <c r="C9" i="6"/>
  <c r="L118" i="3"/>
  <c r="L117" i="3" s="1"/>
  <c r="Q94" i="4"/>
  <c r="R23" i="20"/>
  <c r="N117" i="3"/>
  <c r="O23" i="20"/>
  <c r="L53" i="2"/>
  <c r="M23" i="20"/>
  <c r="M26" i="20" s="1"/>
  <c r="N94" i="4"/>
  <c r="Q117" i="3"/>
  <c r="L94" i="4"/>
  <c r="M27" i="20" l="1"/>
  <c r="M28" i="20"/>
  <c r="K54" i="21"/>
  <c r="L54" i="2"/>
  <c r="H81" i="9" s="1"/>
  <c r="H83" i="9" s="1"/>
  <c r="H88" i="9" s="1"/>
  <c r="H85" i="9"/>
  <c r="H13" i="9" s="1"/>
  <c r="L95" i="4"/>
  <c r="L34" i="5"/>
  <c r="L36" i="5" s="1"/>
  <c r="M34" i="20"/>
  <c r="H86" i="9" l="1"/>
  <c r="H14" i="9" s="1"/>
  <c r="L37" i="5"/>
  <c r="M66" i="20"/>
  <c r="H87" i="9" l="1"/>
  <c r="H15" i="9" s="1"/>
  <c r="H16" i="9" s="1"/>
  <c r="M68" i="20"/>
  <c r="L41" i="5"/>
  <c r="H89" i="9" l="1"/>
  <c r="K55" i="21" s="1"/>
  <c r="K18" i="21" s="1"/>
  <c r="M71" i="20"/>
  <c r="L46" i="5"/>
  <c r="H41" i="9"/>
  <c r="H34" i="9" s="1"/>
  <c r="K56" i="21" l="1"/>
  <c r="K19" i="21" s="1"/>
  <c r="K86" i="21"/>
  <c r="H36" i="9"/>
  <c r="H33" i="9"/>
  <c r="K25" i="21"/>
  <c r="F49" i="8" l="1"/>
  <c r="O7" i="21" s="1"/>
  <c r="F50" i="8"/>
  <c r="O8" i="21" s="1"/>
  <c r="K57" i="21"/>
  <c r="K89" i="21"/>
  <c r="K28" i="21"/>
  <c r="K26" i="21"/>
  <c r="K87" i="21"/>
  <c r="G103" i="9" l="1"/>
  <c r="J36" i="21" s="1"/>
  <c r="G98" i="9"/>
  <c r="J107" i="21" s="1"/>
  <c r="J80" i="21"/>
  <c r="J81" i="21"/>
  <c r="H101" i="9" l="1"/>
  <c r="H132" i="9" s="1"/>
  <c r="G53" i="9"/>
  <c r="H51" i="9" s="1"/>
  <c r="J101" i="21"/>
  <c r="H96" i="9"/>
  <c r="H133" i="9" s="1"/>
  <c r="G49" i="9"/>
  <c r="H47" i="9" s="1"/>
  <c r="J34" i="21"/>
  <c r="F43" i="8" s="1"/>
  <c r="K99" i="21" l="1"/>
  <c r="K105" i="21"/>
  <c r="K108" i="21"/>
  <c r="H136" i="9"/>
  <c r="K64" i="21" s="1"/>
  <c r="K102" i="21"/>
  <c r="M50" i="4" l="1"/>
  <c r="M56" i="4" s="1"/>
  <c r="M64" i="4" l="1"/>
  <c r="M51" i="2"/>
  <c r="M52" i="4"/>
  <c r="M51" i="4"/>
  <c r="N24" i="20" l="1"/>
  <c r="N26" i="20" s="1"/>
  <c r="N35" i="20"/>
  <c r="M139" i="4"/>
  <c r="M53" i="2"/>
  <c r="N28" i="20" l="1"/>
  <c r="N27" i="20"/>
  <c r="L54" i="21"/>
  <c r="M54" i="2"/>
  <c r="I81" i="9" s="1"/>
  <c r="I85" i="9"/>
  <c r="M95" i="4"/>
  <c r="M34" i="5"/>
  <c r="M36" i="5" s="1"/>
  <c r="M37" i="5" s="1"/>
  <c r="N68" i="20" s="1"/>
  <c r="N34" i="20"/>
  <c r="M41" i="5" l="1"/>
  <c r="M46" i="5" s="1"/>
  <c r="I86" i="9"/>
  <c r="I14" i="9" s="1"/>
  <c r="I83" i="9"/>
  <c r="I88" i="9" s="1"/>
  <c r="N66" i="20"/>
  <c r="I13" i="9"/>
  <c r="N71" i="20" l="1"/>
  <c r="I87" i="9"/>
  <c r="I15" i="9" s="1"/>
  <c r="I16" i="9" s="1"/>
  <c r="I41" i="9" s="1"/>
  <c r="I34" i="9" s="1"/>
  <c r="I89" i="9" l="1"/>
  <c r="L55" i="21" s="1"/>
  <c r="L18" i="21" s="1"/>
  <c r="I33" i="9"/>
  <c r="L28" i="21" s="1"/>
  <c r="L25" i="21"/>
  <c r="I36" i="9"/>
  <c r="L26" i="21" s="1"/>
  <c r="L86" i="21"/>
  <c r="L56" i="21" l="1"/>
  <c r="L19" i="21" s="1"/>
  <c r="L87" i="21"/>
  <c r="L89" i="21"/>
  <c r="L57" i="21" l="1"/>
  <c r="N50" i="4"/>
  <c r="N56" i="4" s="1"/>
  <c r="N64" i="4" l="1"/>
  <c r="N51" i="2"/>
  <c r="N51" i="4"/>
  <c r="N52" i="4"/>
  <c r="O24" i="20" l="1"/>
  <c r="O26" i="20" s="1"/>
  <c r="O35" i="20"/>
  <c r="N139" i="4"/>
  <c r="N53" i="2"/>
  <c r="O50" i="4"/>
  <c r="O56" i="4" s="1"/>
  <c r="O27" i="20" l="1"/>
  <c r="O28" i="20"/>
  <c r="M54" i="21"/>
  <c r="N54" i="2"/>
  <c r="J81" i="9" s="1"/>
  <c r="O34" i="20"/>
  <c r="J85" i="9"/>
  <c r="N95" i="4"/>
  <c r="N34" i="5"/>
  <c r="N36" i="5" s="1"/>
  <c r="O66" i="20" s="1"/>
  <c r="O64" i="4"/>
  <c r="O51" i="2"/>
  <c r="O52" i="4"/>
  <c r="O51" i="4"/>
  <c r="N37" i="5" l="1"/>
  <c r="O68" i="20" s="1"/>
  <c r="J86" i="9"/>
  <c r="J14" i="9" s="1"/>
  <c r="J83" i="9"/>
  <c r="J88" i="9" s="1"/>
  <c r="J13" i="9"/>
  <c r="P24" i="20"/>
  <c r="P26" i="20" s="1"/>
  <c r="P35" i="20"/>
  <c r="O139" i="4"/>
  <c r="O53" i="2"/>
  <c r="P50" i="4"/>
  <c r="P56" i="4" s="1"/>
  <c r="P27" i="20" l="1"/>
  <c r="P28" i="20"/>
  <c r="J87" i="9"/>
  <c r="J15" i="9" s="1"/>
  <c r="J16" i="9" s="1"/>
  <c r="J41" i="9" s="1"/>
  <c r="J34" i="9" s="1"/>
  <c r="N41" i="5"/>
  <c r="O71" i="20" s="1"/>
  <c r="O54" i="2"/>
  <c r="K81" i="9" s="1"/>
  <c r="N54" i="21"/>
  <c r="P34" i="20"/>
  <c r="K85" i="9"/>
  <c r="O95" i="4"/>
  <c r="O34" i="5"/>
  <c r="O36" i="5" s="1"/>
  <c r="P66" i="20" s="1"/>
  <c r="P64" i="4"/>
  <c r="P51" i="2"/>
  <c r="P52" i="4"/>
  <c r="P51" i="4"/>
  <c r="J89" i="9" l="1"/>
  <c r="M55" i="21" s="1"/>
  <c r="M18" i="21" s="1"/>
  <c r="N46" i="5"/>
  <c r="K86" i="9"/>
  <c r="K14" i="9" s="1"/>
  <c r="K83" i="9"/>
  <c r="K88" i="9" s="1"/>
  <c r="M86" i="21"/>
  <c r="J33" i="9"/>
  <c r="M28" i="21" s="1"/>
  <c r="M25" i="21"/>
  <c r="J36" i="9"/>
  <c r="M87" i="21" s="1"/>
  <c r="O37" i="5"/>
  <c r="P68" i="20" s="1"/>
  <c r="K13" i="9"/>
  <c r="P139" i="4"/>
  <c r="Q24" i="20"/>
  <c r="Q26" i="20" s="1"/>
  <c r="Q35" i="20"/>
  <c r="P53" i="2"/>
  <c r="Q50" i="4"/>
  <c r="Q56" i="4" s="1"/>
  <c r="Q34" i="20" l="1"/>
  <c r="Q27" i="20"/>
  <c r="Q28" i="20"/>
  <c r="M56" i="21"/>
  <c r="M19" i="21" s="1"/>
  <c r="O41" i="5"/>
  <c r="P71" i="20" s="1"/>
  <c r="K87" i="9"/>
  <c r="K89" i="9" s="1"/>
  <c r="N55" i="21" s="1"/>
  <c r="P54" i="2"/>
  <c r="L81" i="9" s="1"/>
  <c r="O54" i="21"/>
  <c r="M89" i="21"/>
  <c r="M26" i="21"/>
  <c r="L85" i="9"/>
  <c r="P95" i="4"/>
  <c r="P34" i="5"/>
  <c r="P36" i="5" s="1"/>
  <c r="P37" i="5" s="1"/>
  <c r="Q68" i="20" s="1"/>
  <c r="Q64" i="4"/>
  <c r="Q51" i="2"/>
  <c r="Q52" i="4"/>
  <c r="Q51" i="4"/>
  <c r="M57" i="21" l="1"/>
  <c r="O46" i="5"/>
  <c r="K15" i="9"/>
  <c r="K16" i="9" s="1"/>
  <c r="K41" i="9" s="1"/>
  <c r="K34" i="9" s="1"/>
  <c r="K33" i="9" s="1"/>
  <c r="N28" i="21" s="1"/>
  <c r="L86" i="9"/>
  <c r="L14" i="9" s="1"/>
  <c r="L83" i="9"/>
  <c r="L88" i="9" s="1"/>
  <c r="N18" i="21"/>
  <c r="N56" i="21"/>
  <c r="L13" i="9"/>
  <c r="Q66" i="20"/>
  <c r="P41" i="5"/>
  <c r="Q71" i="20" s="1"/>
  <c r="Q139" i="4"/>
  <c r="R24" i="20"/>
  <c r="R26" i="20" s="1"/>
  <c r="R35" i="20"/>
  <c r="Q53" i="2"/>
  <c r="R50" i="4"/>
  <c r="R56" i="4" s="1"/>
  <c r="R34" i="20" l="1"/>
  <c r="R27" i="20"/>
  <c r="N25" i="21"/>
  <c r="N86" i="21"/>
  <c r="K36" i="9"/>
  <c r="N87" i="21" s="1"/>
  <c r="L87" i="9"/>
  <c r="L89" i="9" s="1"/>
  <c r="O55" i="21" s="1"/>
  <c r="P54" i="21"/>
  <c r="Q54" i="2"/>
  <c r="M81" i="9" s="1"/>
  <c r="R28" i="20"/>
  <c r="N89" i="21"/>
  <c r="N57" i="21"/>
  <c r="N19" i="21"/>
  <c r="M85" i="9"/>
  <c r="Q95" i="4"/>
  <c r="Q34" i="5"/>
  <c r="Q36" i="5" s="1"/>
  <c r="Q37" i="5" s="1"/>
  <c r="R68" i="20" s="1"/>
  <c r="P46" i="5"/>
  <c r="R64" i="4"/>
  <c r="R51" i="2"/>
  <c r="R52" i="4"/>
  <c r="R51" i="4"/>
  <c r="N26" i="21" l="1"/>
  <c r="L15" i="9"/>
  <c r="L16" i="9" s="1"/>
  <c r="L41" i="9" s="1"/>
  <c r="L34" i="9" s="1"/>
  <c r="O86" i="21" s="1"/>
  <c r="M83" i="9"/>
  <c r="M88" i="9" s="1"/>
  <c r="M86" i="9"/>
  <c r="M14" i="9" s="1"/>
  <c r="O56" i="21"/>
  <c r="O18" i="21"/>
  <c r="R66" i="20"/>
  <c r="M13" i="9"/>
  <c r="Q41" i="5"/>
  <c r="Q46" i="5" s="1"/>
  <c r="S24" i="20"/>
  <c r="S26" i="20" s="1"/>
  <c r="S34" i="20" s="1"/>
  <c r="S35" i="20"/>
  <c r="R139" i="4"/>
  <c r="R53" i="2"/>
  <c r="R54" i="2" s="1"/>
  <c r="S50" i="4"/>
  <c r="S56" i="4" s="1"/>
  <c r="S27" i="20" l="1"/>
  <c r="L33" i="9"/>
  <c r="O28" i="21" s="1"/>
  <c r="L36" i="9"/>
  <c r="O26" i="21" s="1"/>
  <c r="O25" i="21"/>
  <c r="M87" i="9"/>
  <c r="M15" i="9" s="1"/>
  <c r="M16" i="9" s="1"/>
  <c r="M41" i="9" s="1"/>
  <c r="M34" i="9" s="1"/>
  <c r="M36" i="9" s="1"/>
  <c r="S28" i="20"/>
  <c r="O19" i="21"/>
  <c r="O57" i="21"/>
  <c r="R95" i="4"/>
  <c r="R34" i="5"/>
  <c r="R36" i="5" s="1"/>
  <c r="R37" i="5" s="1"/>
  <c r="S68" i="20" s="1"/>
  <c r="R71" i="20"/>
  <c r="S64" i="4"/>
  <c r="S51" i="2"/>
  <c r="S52" i="4"/>
  <c r="S51" i="4"/>
  <c r="O89" i="21" l="1"/>
  <c r="O87" i="21"/>
  <c r="M89" i="9"/>
  <c r="P55" i="21" s="1"/>
  <c r="P18" i="21" s="1"/>
  <c r="P86" i="21"/>
  <c r="M33" i="9"/>
  <c r="P89" i="21" s="1"/>
  <c r="P25" i="21"/>
  <c r="P87" i="21"/>
  <c r="P26" i="21"/>
  <c r="S66" i="20"/>
  <c r="R41" i="5"/>
  <c r="S71" i="20" s="1"/>
  <c r="T24" i="20"/>
  <c r="T26" i="20" s="1"/>
  <c r="T27" i="20" s="1"/>
  <c r="T35" i="20"/>
  <c r="S139" i="4"/>
  <c r="S53" i="2"/>
  <c r="S54" i="2" s="1"/>
  <c r="R46" i="5" l="1"/>
  <c r="P56" i="21"/>
  <c r="P19" i="21" s="1"/>
  <c r="F19" i="21" s="1"/>
  <c r="P28" i="21"/>
  <c r="C8" i="6"/>
  <c r="T28" i="20"/>
  <c r="C10" i="6"/>
  <c r="S95" i="4"/>
  <c r="S34" i="5"/>
  <c r="S9" i="5" s="1"/>
  <c r="T34" i="20"/>
  <c r="P57" i="21" l="1"/>
  <c r="D75" i="20"/>
  <c r="S36" i="5"/>
  <c r="T66" i="20" l="1"/>
  <c r="S37" i="5"/>
  <c r="S12" i="5"/>
  <c r="D76" i="20" s="1"/>
  <c r="S13" i="5" l="1"/>
  <c r="T68" i="20"/>
  <c r="S41" i="5"/>
  <c r="D77" i="20" l="1"/>
  <c r="T71" i="20"/>
  <c r="S46" i="5"/>
  <c r="S15" i="5" s="1"/>
  <c r="S17" i="5" s="1"/>
  <c r="S24" i="5" s="1"/>
  <c r="S16" i="5" l="1"/>
  <c r="D78" i="20"/>
  <c r="D79" i="20" s="1"/>
  <c r="D84" i="20" s="1"/>
  <c r="D86" i="20" s="1"/>
  <c r="D87" i="20" s="1"/>
  <c r="S14" i="5" l="1"/>
  <c r="S26" i="5"/>
  <c r="M10" i="4" l="1"/>
  <c r="L128" i="4"/>
  <c r="M163" i="2" l="1"/>
  <c r="M156" i="4" s="1"/>
  <c r="L156" i="4"/>
  <c r="N163" i="2" l="1"/>
  <c r="N156" i="4" l="1"/>
  <c r="O163" i="2"/>
  <c r="O156" i="4" l="1"/>
  <c r="P163" i="2"/>
  <c r="Q163" i="2" l="1"/>
  <c r="P156" i="4"/>
  <c r="R163" i="2" l="1"/>
  <c r="Q156" i="4"/>
  <c r="R156" i="4" l="1"/>
  <c r="S163" i="2"/>
  <c r="S156" i="4" l="1"/>
  <c r="L67" i="2" l="1"/>
  <c r="L176" i="3"/>
  <c r="L29" i="2" s="1"/>
  <c r="L152" i="2" l="1"/>
  <c r="H35" i="29" l="1"/>
  <c r="L136" i="2" s="1"/>
  <c r="I31" i="29" l="1"/>
  <c r="I35" i="29" s="1"/>
  <c r="J31" i="29" l="1"/>
  <c r="J35" i="29" s="1"/>
  <c r="M136" i="2"/>
  <c r="K31" i="29" l="1"/>
  <c r="K35" i="29" s="1"/>
  <c r="N136" i="2"/>
  <c r="L31" i="29" l="1"/>
  <c r="L35" i="29" s="1"/>
  <c r="O136" i="2"/>
  <c r="M31" i="29" l="1"/>
  <c r="M35" i="29" s="1"/>
  <c r="P136" i="2"/>
  <c r="N31" i="29" l="1"/>
  <c r="N35" i="29" s="1"/>
  <c r="Q136" i="2"/>
  <c r="O31" i="29" l="1"/>
  <c r="O35" i="29" s="1"/>
  <c r="S136" i="2" s="1"/>
  <c r="R136" i="2"/>
  <c r="J31" i="4"/>
  <c r="J24" i="4" s="1"/>
  <c r="I31" i="4"/>
  <c r="I24" i="4" s="1"/>
  <c r="K31" i="4"/>
  <c r="K24" i="4" s="1"/>
  <c r="L46" i="4"/>
  <c r="H31" i="4"/>
  <c r="H24" i="4" s="1"/>
  <c r="K25" i="4" l="1"/>
  <c r="G99" i="8" s="1"/>
  <c r="J25" i="4"/>
  <c r="I25" i="4"/>
  <c r="H25" i="4"/>
  <c r="I86" i="4" l="1"/>
  <c r="I91" i="4" s="1"/>
  <c r="I93" i="4" s="1"/>
  <c r="J53" i="20"/>
  <c r="I53" i="20"/>
  <c r="H86" i="4"/>
  <c r="H91" i="4" s="1"/>
  <c r="H93" i="4" s="1"/>
  <c r="J86" i="4"/>
  <c r="J91" i="4" s="1"/>
  <c r="J93" i="4" s="1"/>
  <c r="K53" i="20"/>
  <c r="L53" i="20"/>
  <c r="K86" i="4"/>
  <c r="K91" i="4" s="1"/>
  <c r="K93" i="4" s="1"/>
  <c r="L21" i="4"/>
  <c r="J77" i="4" l="1"/>
  <c r="J29" i="3" s="1"/>
  <c r="L108" i="4"/>
  <c r="H77" i="4"/>
  <c r="H29" i="3" s="1"/>
  <c r="I77" i="4"/>
  <c r="I29" i="3" s="1"/>
  <c r="K77" i="4"/>
  <c r="K29" i="3" s="1"/>
  <c r="G107" i="8"/>
  <c r="G108" i="8" s="1"/>
  <c r="F66" i="8"/>
  <c r="F52" i="8" s="1"/>
  <c r="O10" i="21" l="1"/>
  <c r="O11" i="21" s="1"/>
  <c r="G113" i="9"/>
  <c r="F53" i="8"/>
  <c r="G110" i="8" s="1"/>
  <c r="E10" i="21"/>
  <c r="L101" i="4"/>
  <c r="L32" i="4"/>
  <c r="L63" i="4"/>
  <c r="L65" i="4" s="1"/>
  <c r="M51" i="20" s="1"/>
  <c r="M54" i="20" s="1"/>
  <c r="G105" i="8"/>
  <c r="G104" i="8"/>
  <c r="G61" i="9" l="1"/>
  <c r="H59" i="9" s="1"/>
  <c r="H111" i="9"/>
  <c r="J40" i="21"/>
  <c r="J41" i="21" s="1"/>
  <c r="J68" i="21" s="1"/>
  <c r="J43" i="21" s="1"/>
  <c r="F105" i="8"/>
  <c r="M28" i="4"/>
  <c r="M32" i="4" s="1"/>
  <c r="N28" i="4" s="1"/>
  <c r="L68" i="2"/>
  <c r="M40" i="20" s="1"/>
  <c r="L30" i="2"/>
  <c r="L32" i="2" s="1"/>
  <c r="M101" i="4"/>
  <c r="L104" i="4"/>
  <c r="L106" i="4" s="1"/>
  <c r="G106" i="8"/>
  <c r="F67" i="8" s="1"/>
  <c r="F42" i="8" l="1"/>
  <c r="C8" i="10"/>
  <c r="K117" i="21"/>
  <c r="H135" i="9"/>
  <c r="L107" i="4"/>
  <c r="L109" i="4" s="1"/>
  <c r="N32" i="4"/>
  <c r="O28" i="4" s="1"/>
  <c r="N101" i="4"/>
  <c r="L34" i="2"/>
  <c r="L35" i="2" s="1"/>
  <c r="E11" i="21"/>
  <c r="F68" i="8"/>
  <c r="G67" i="8" s="1"/>
  <c r="M104" i="4"/>
  <c r="M106" i="4" s="1"/>
  <c r="K120" i="21" l="1"/>
  <c r="K63" i="21"/>
  <c r="H138" i="9"/>
  <c r="H137" i="9"/>
  <c r="K65" i="21" s="1"/>
  <c r="L44" i="2"/>
  <c r="L38" i="2"/>
  <c r="L171" i="4" s="1"/>
  <c r="L175" i="4" s="1"/>
  <c r="L37" i="2"/>
  <c r="L69" i="2"/>
  <c r="N104" i="4"/>
  <c r="N106" i="4" s="1"/>
  <c r="O32" i="4"/>
  <c r="P28" i="4" s="1"/>
  <c r="O101" i="4"/>
  <c r="F71" i="8"/>
  <c r="G63" i="8"/>
  <c r="G62" i="8"/>
  <c r="G64" i="8"/>
  <c r="F55" i="8"/>
  <c r="G66" i="8"/>
  <c r="E14" i="21"/>
  <c r="F11" i="21" s="1"/>
  <c r="K66" i="21" l="1"/>
  <c r="H21" i="9"/>
  <c r="H17" i="9"/>
  <c r="F38" i="8"/>
  <c r="G38" i="8"/>
  <c r="L70" i="2"/>
  <c r="L77" i="2" s="1"/>
  <c r="M36" i="20"/>
  <c r="M39" i="20" s="1"/>
  <c r="G70" i="8"/>
  <c r="G39" i="8"/>
  <c r="F39" i="8"/>
  <c r="P101" i="4"/>
  <c r="F9" i="21"/>
  <c r="F8" i="21"/>
  <c r="J82" i="21"/>
  <c r="F7" i="21"/>
  <c r="F10" i="21"/>
  <c r="F56" i="8"/>
  <c r="F59" i="8" s="1"/>
  <c r="G55" i="8" s="1"/>
  <c r="O12" i="21"/>
  <c r="O14" i="21" s="1"/>
  <c r="G32" i="9"/>
  <c r="G68" i="8"/>
  <c r="L167" i="2"/>
  <c r="M170" i="4"/>
  <c r="O104" i="4"/>
  <c r="O106" i="4" s="1"/>
  <c r="P32" i="4"/>
  <c r="Q28" i="4" s="1"/>
  <c r="L159" i="4"/>
  <c r="L87" i="2" l="1"/>
  <c r="L127" i="4" s="1"/>
  <c r="L130" i="4" s="1"/>
  <c r="K59" i="21"/>
  <c r="K62" i="21" s="1"/>
  <c r="H20" i="9"/>
  <c r="H23" i="9" s="1"/>
  <c r="K69" i="21"/>
  <c r="K21" i="21"/>
  <c r="P13" i="21"/>
  <c r="P7" i="21"/>
  <c r="P8" i="21"/>
  <c r="P11" i="21"/>
  <c r="P9" i="21"/>
  <c r="P10" i="21"/>
  <c r="G53" i="8"/>
  <c r="G58" i="8"/>
  <c r="G51" i="8"/>
  <c r="G52" i="8"/>
  <c r="G50" i="8"/>
  <c r="G49" i="8"/>
  <c r="A68" i="8"/>
  <c r="P104" i="4"/>
  <c r="P106" i="4" s="1"/>
  <c r="G38" i="9"/>
  <c r="J24" i="21"/>
  <c r="J30" i="21" s="1"/>
  <c r="F14" i="21"/>
  <c r="Q101" i="4"/>
  <c r="J79" i="21"/>
  <c r="J85" i="21"/>
  <c r="P12" i="21"/>
  <c r="Q32" i="4"/>
  <c r="R28" i="4" s="1"/>
  <c r="G56" i="8"/>
  <c r="G109" i="8"/>
  <c r="E104" i="8" s="1"/>
  <c r="G71" i="8"/>
  <c r="H146" i="9" l="1"/>
  <c r="K20" i="21"/>
  <c r="K70" i="21"/>
  <c r="K44" i="21" s="1"/>
  <c r="K73" i="21"/>
  <c r="K71" i="21"/>
  <c r="K45" i="21" s="1"/>
  <c r="G59" i="8"/>
  <c r="J91" i="21"/>
  <c r="P14" i="21"/>
  <c r="L136" i="4"/>
  <c r="L114" i="4" s="1"/>
  <c r="L135" i="4"/>
  <c r="L137" i="4" s="1"/>
  <c r="L40" i="4" s="1"/>
  <c r="R32" i="4"/>
  <c r="S28" i="4" s="1"/>
  <c r="Q104" i="4"/>
  <c r="Q106" i="4" s="1"/>
  <c r="S101" i="4"/>
  <c r="R101" i="4"/>
  <c r="L42" i="4" l="1"/>
  <c r="H147" i="9"/>
  <c r="H97" i="9" s="1"/>
  <c r="L112" i="4"/>
  <c r="L113" i="4" s="1"/>
  <c r="L41" i="4" s="1"/>
  <c r="R104" i="4"/>
  <c r="R106" i="4" s="1"/>
  <c r="S32" i="4"/>
  <c r="L100" i="2"/>
  <c r="S104" i="4"/>
  <c r="S106" i="4" s="1"/>
  <c r="L22" i="4" l="1"/>
  <c r="L99" i="2"/>
  <c r="M41" i="20" s="1"/>
  <c r="M43" i="20" s="1"/>
  <c r="H149" i="9"/>
  <c r="H150" i="9" s="1"/>
  <c r="H48" i="9"/>
  <c r="K106" i="21"/>
  <c r="H98" i="9"/>
  <c r="L116" i="4"/>
  <c r="L118" i="4" s="1"/>
  <c r="L138" i="4"/>
  <c r="L140" i="4" s="1"/>
  <c r="L23" i="4"/>
  <c r="L115" i="4"/>
  <c r="L43" i="4"/>
  <c r="L96" i="4" s="1"/>
  <c r="L25" i="4" l="1"/>
  <c r="L154" i="2" s="1"/>
  <c r="M49" i="20" s="1"/>
  <c r="K33" i="21"/>
  <c r="H49" i="9"/>
  <c r="K34" i="21"/>
  <c r="H117" i="9"/>
  <c r="I96" i="9"/>
  <c r="K107" i="21"/>
  <c r="H152" i="9"/>
  <c r="H153" i="9" s="1"/>
  <c r="H102" i="9"/>
  <c r="L117" i="4"/>
  <c r="L190" i="3" s="1"/>
  <c r="L146" i="4"/>
  <c r="L162" i="4"/>
  <c r="L102" i="2"/>
  <c r="M45" i="20" s="1"/>
  <c r="M37" i="4"/>
  <c r="M21" i="4" l="1"/>
  <c r="M108" i="4" s="1"/>
  <c r="L86" i="4"/>
  <c r="L90" i="2"/>
  <c r="M44" i="20" s="1"/>
  <c r="M46" i="20" s="1"/>
  <c r="L191" i="3"/>
  <c r="L197" i="3" s="1"/>
  <c r="H107" i="9"/>
  <c r="I47" i="9"/>
  <c r="I133" i="9"/>
  <c r="L105" i="21"/>
  <c r="H156" i="9"/>
  <c r="H157" i="9" s="1"/>
  <c r="H112" i="9" s="1"/>
  <c r="H52" i="9"/>
  <c r="K100" i="21"/>
  <c r="H103" i="9"/>
  <c r="L103" i="2"/>
  <c r="L161" i="4"/>
  <c r="L164" i="4" s="1"/>
  <c r="L165" i="2" s="1"/>
  <c r="L160" i="2"/>
  <c r="L78" i="4"/>
  <c r="L30" i="3" s="1"/>
  <c r="L107" i="2" l="1"/>
  <c r="L108" i="2" s="1"/>
  <c r="L110" i="2" s="1"/>
  <c r="L129" i="2" s="1"/>
  <c r="M189" i="3"/>
  <c r="L40" i="2"/>
  <c r="L41" i="2" s="1"/>
  <c r="M57" i="20" s="1"/>
  <c r="M56" i="20"/>
  <c r="K118" i="21"/>
  <c r="K119" i="21" s="1"/>
  <c r="H60" i="9"/>
  <c r="H113" i="9"/>
  <c r="L108" i="21"/>
  <c r="H53" i="9"/>
  <c r="K35" i="21"/>
  <c r="H24" i="9"/>
  <c r="H116" i="9"/>
  <c r="K36" i="21"/>
  <c r="K101" i="21"/>
  <c r="I101" i="9"/>
  <c r="H108" i="9"/>
  <c r="H56" i="9"/>
  <c r="K112" i="21"/>
  <c r="L143" i="4"/>
  <c r="M158" i="4"/>
  <c r="L166" i="2"/>
  <c r="L168" i="2" s="1"/>
  <c r="L170" i="2" s="1"/>
  <c r="M59" i="20" l="1"/>
  <c r="L90" i="4"/>
  <c r="L172" i="3"/>
  <c r="G40" i="8"/>
  <c r="L144" i="4"/>
  <c r="K113" i="21"/>
  <c r="K38" i="21"/>
  <c r="I106" i="9"/>
  <c r="H118" i="9"/>
  <c r="H120" i="9" s="1"/>
  <c r="L99" i="21"/>
  <c r="I132" i="9"/>
  <c r="I51" i="9"/>
  <c r="G43" i="8"/>
  <c r="K37" i="21"/>
  <c r="H57" i="9"/>
  <c r="K40" i="21"/>
  <c r="H119" i="9"/>
  <c r="H121" i="9" s="1"/>
  <c r="I111" i="9"/>
  <c r="K39" i="21"/>
  <c r="H61" i="9"/>
  <c r="K74" i="21"/>
  <c r="H25" i="9"/>
  <c r="H37" i="9" s="1"/>
  <c r="K29" i="21" s="1"/>
  <c r="L145" i="4"/>
  <c r="M105" i="2"/>
  <c r="K41" i="21" l="1"/>
  <c r="K68" i="21" s="1"/>
  <c r="K43" i="21" s="1"/>
  <c r="G42" i="8" s="1"/>
  <c r="H28" i="9"/>
  <c r="I27" i="9" s="1"/>
  <c r="H122" i="9"/>
  <c r="L102" i="21"/>
  <c r="L117" i="21"/>
  <c r="I59" i="9"/>
  <c r="I135" i="9"/>
  <c r="K22" i="21"/>
  <c r="K23" i="21" s="1"/>
  <c r="K75" i="21"/>
  <c r="K90" i="21" s="1"/>
  <c r="I134" i="9"/>
  <c r="L114" i="21" s="1"/>
  <c r="I55" i="9"/>
  <c r="L111" i="21"/>
  <c r="M13" i="4"/>
  <c r="M132" i="4"/>
  <c r="M134" i="4" s="1"/>
  <c r="M11" i="4" l="1"/>
  <c r="M111" i="2"/>
  <c r="L120" i="21"/>
  <c r="L63" i="21"/>
  <c r="I137" i="9"/>
  <c r="L65" i="21" s="1"/>
  <c r="I138" i="9"/>
  <c r="I136" i="9"/>
  <c r="L64" i="21" s="1"/>
  <c r="H123" i="9"/>
  <c r="H35" i="9"/>
  <c r="M48" i="20"/>
  <c r="M50" i="20" s="1"/>
  <c r="M53" i="20" s="1"/>
  <c r="N10" i="4"/>
  <c r="M12" i="4"/>
  <c r="M129" i="4" s="1"/>
  <c r="M18" i="4"/>
  <c r="L130" i="2"/>
  <c r="L142" i="2" s="1"/>
  <c r="L172" i="2" s="1"/>
  <c r="L91" i="4"/>
  <c r="L93" i="4" s="1"/>
  <c r="L77" i="4" s="1"/>
  <c r="L29" i="3" s="1"/>
  <c r="M174" i="3"/>
  <c r="L113" i="2"/>
  <c r="I21" i="9" l="1"/>
  <c r="I17" i="9"/>
  <c r="L66" i="21"/>
  <c r="K88" i="21"/>
  <c r="K91" i="21" s="1"/>
  <c r="K27" i="21"/>
  <c r="K30" i="21" s="1"/>
  <c r="H38" i="9"/>
  <c r="M46" i="4"/>
  <c r="M63" i="4" s="1"/>
  <c r="M65" i="4" s="1"/>
  <c r="N51" i="20" s="1"/>
  <c r="N54" i="20" s="1"/>
  <c r="M87" i="4"/>
  <c r="M107" i="4" s="1"/>
  <c r="M109" i="4" s="1"/>
  <c r="M110" i="4"/>
  <c r="M128" i="4"/>
  <c r="M145" i="2"/>
  <c r="M176" i="3"/>
  <c r="M29" i="2" s="1"/>
  <c r="M67" i="2"/>
  <c r="L21" i="21" l="1"/>
  <c r="L69" i="21"/>
  <c r="L59" i="21"/>
  <c r="L62" i="21" s="1"/>
  <c r="I20" i="9"/>
  <c r="I23" i="9" s="1"/>
  <c r="M68" i="2"/>
  <c r="N40" i="20" s="1"/>
  <c r="M30" i="2"/>
  <c r="M32" i="2" s="1"/>
  <c r="M34" i="2" s="1"/>
  <c r="M152" i="2"/>
  <c r="I146" i="9" l="1"/>
  <c r="L71" i="21"/>
  <c r="L45" i="21" s="1"/>
  <c r="L73" i="21"/>
  <c r="L70" i="21"/>
  <c r="L44" i="21" s="1"/>
  <c r="L20" i="21"/>
  <c r="M69" i="2"/>
  <c r="M35" i="2"/>
  <c r="I147" i="9" l="1"/>
  <c r="I97" i="9" s="1"/>
  <c r="M70" i="2"/>
  <c r="M77" i="2" s="1"/>
  <c r="M87" i="2" s="1"/>
  <c r="M127" i="4" s="1"/>
  <c r="N36" i="20"/>
  <c r="M37" i="2"/>
  <c r="M38" i="2"/>
  <c r="M171" i="4" s="1"/>
  <c r="M175" i="4" s="1"/>
  <c r="M44" i="2"/>
  <c r="I48" i="9" l="1"/>
  <c r="L106" i="21"/>
  <c r="I98" i="9"/>
  <c r="I149" i="9"/>
  <c r="I150" i="9" s="1"/>
  <c r="N39" i="20"/>
  <c r="M130" i="4"/>
  <c r="M167" i="2"/>
  <c r="N170" i="4"/>
  <c r="M159" i="4"/>
  <c r="I102" i="9" l="1"/>
  <c r="I152" i="9"/>
  <c r="I153" i="9" s="1"/>
  <c r="L34" i="21"/>
  <c r="J96" i="9"/>
  <c r="I117" i="9"/>
  <c r="L107" i="21"/>
  <c r="L33" i="21"/>
  <c r="I49" i="9"/>
  <c r="M135" i="4"/>
  <c r="M137" i="4" s="1"/>
  <c r="M40" i="4" s="1"/>
  <c r="M136" i="4"/>
  <c r="M114" i="4" s="1"/>
  <c r="I107" i="9" l="1"/>
  <c r="I156" i="9"/>
  <c r="I157" i="9" s="1"/>
  <c r="I112" i="9" s="1"/>
  <c r="J47" i="9"/>
  <c r="M105" i="21"/>
  <c r="J133" i="9"/>
  <c r="L100" i="21"/>
  <c r="I52" i="9"/>
  <c r="I103" i="9"/>
  <c r="M112" i="4"/>
  <c r="M113" i="4" s="1"/>
  <c r="M41" i="4" s="1"/>
  <c r="M22" i="4" s="1"/>
  <c r="M100" i="2"/>
  <c r="M42" i="4"/>
  <c r="M108" i="21" l="1"/>
  <c r="I60" i="9"/>
  <c r="L118" i="21"/>
  <c r="L119" i="21" s="1"/>
  <c r="I113" i="9"/>
  <c r="L101" i="21"/>
  <c r="L36" i="21"/>
  <c r="J101" i="9"/>
  <c r="I116" i="9"/>
  <c r="I24" i="9"/>
  <c r="L35" i="21"/>
  <c r="I53" i="9"/>
  <c r="L112" i="21"/>
  <c r="I56" i="9"/>
  <c r="I108" i="9"/>
  <c r="M138" i="4"/>
  <c r="M140" i="4" s="1"/>
  <c r="M43" i="4"/>
  <c r="M96" i="4" s="1"/>
  <c r="M116" i="4"/>
  <c r="M117" i="4" s="1"/>
  <c r="M190" i="3" s="1"/>
  <c r="M99" i="2"/>
  <c r="N41" i="20" s="1"/>
  <c r="N43" i="20" s="1"/>
  <c r="M115" i="4"/>
  <c r="M23" i="4"/>
  <c r="M25" i="4" s="1"/>
  <c r="M191" i="3" l="1"/>
  <c r="M197" i="3" s="1"/>
  <c r="L37" i="21"/>
  <c r="I57" i="9"/>
  <c r="L40" i="21"/>
  <c r="J111" i="9"/>
  <c r="I119" i="9"/>
  <c r="I121" i="9" s="1"/>
  <c r="L74" i="21"/>
  <c r="I25" i="9"/>
  <c r="I37" i="9" s="1"/>
  <c r="L29" i="21" s="1"/>
  <c r="M99" i="21"/>
  <c r="J132" i="9"/>
  <c r="J51" i="9"/>
  <c r="L113" i="21"/>
  <c r="J106" i="9"/>
  <c r="I118" i="9"/>
  <c r="I120" i="9" s="1"/>
  <c r="L38" i="21"/>
  <c r="L39" i="21"/>
  <c r="I61" i="9"/>
  <c r="N37" i="4"/>
  <c r="M90" i="2"/>
  <c r="M118" i="4"/>
  <c r="M154" i="2"/>
  <c r="M86" i="4"/>
  <c r="N21" i="4"/>
  <c r="M78" i="4"/>
  <c r="M30" i="3" s="1"/>
  <c r="L41" i="21" l="1"/>
  <c r="L68" i="21" s="1"/>
  <c r="L43" i="21" s="1"/>
  <c r="N56" i="20"/>
  <c r="M40" i="2"/>
  <c r="M41" i="2" s="1"/>
  <c r="M144" i="4" s="1"/>
  <c r="N189" i="3"/>
  <c r="I122" i="9"/>
  <c r="I123" i="9" s="1"/>
  <c r="I28" i="9"/>
  <c r="J27" i="9" s="1"/>
  <c r="J134" i="9"/>
  <c r="M114" i="21" s="1"/>
  <c r="J55" i="9"/>
  <c r="M111" i="21"/>
  <c r="L22" i="21"/>
  <c r="L23" i="21" s="1"/>
  <c r="L75" i="21"/>
  <c r="L90" i="21" s="1"/>
  <c r="J59" i="9"/>
  <c r="J135" i="9"/>
  <c r="M117" i="21"/>
  <c r="M102" i="21"/>
  <c r="M161" i="4"/>
  <c r="N44" i="20"/>
  <c r="M160" i="2"/>
  <c r="N49" i="20"/>
  <c r="M102" i="2"/>
  <c r="M162" i="4"/>
  <c r="M146" i="4"/>
  <c r="N108" i="4"/>
  <c r="M143" i="4" l="1"/>
  <c r="M145" i="4" s="1"/>
  <c r="N57" i="20"/>
  <c r="J136" i="9"/>
  <c r="M64" i="21" s="1"/>
  <c r="J138" i="9"/>
  <c r="J21" i="9" s="1"/>
  <c r="I35" i="9"/>
  <c r="L27" i="21" s="1"/>
  <c r="L30" i="21" s="1"/>
  <c r="M120" i="21"/>
  <c r="M63" i="21"/>
  <c r="J137" i="9"/>
  <c r="M65" i="21" s="1"/>
  <c r="M164" i="4"/>
  <c r="M165" i="2" s="1"/>
  <c r="M166" i="2" s="1"/>
  <c r="M168" i="2" s="1"/>
  <c r="M170" i="2" s="1"/>
  <c r="M103" i="2"/>
  <c r="M107" i="2" s="1"/>
  <c r="M108" i="2" s="1"/>
  <c r="N105" i="2" s="1"/>
  <c r="N45" i="20"/>
  <c r="N46" i="20" s="1"/>
  <c r="L88" i="21" l="1"/>
  <c r="L91" i="21" s="1"/>
  <c r="I38" i="9"/>
  <c r="J17" i="9"/>
  <c r="M59" i="21" s="1"/>
  <c r="M62" i="21" s="1"/>
  <c r="M66" i="21"/>
  <c r="N158" i="4"/>
  <c r="M110" i="2"/>
  <c r="M90" i="4"/>
  <c r="N59" i="20"/>
  <c r="N132" i="4"/>
  <c r="N134" i="4" s="1"/>
  <c r="N13" i="4" l="1"/>
  <c r="N11" i="4" s="1"/>
  <c r="M129" i="2"/>
  <c r="M113" i="2" s="1"/>
  <c r="J20" i="9"/>
  <c r="J23" i="9" s="1"/>
  <c r="J146" i="9" s="1"/>
  <c r="M71" i="21"/>
  <c r="M45" i="21" s="1"/>
  <c r="M73" i="21"/>
  <c r="M70" i="21"/>
  <c r="M44" i="21" s="1"/>
  <c r="M20" i="21"/>
  <c r="M21" i="21"/>
  <c r="M69" i="21"/>
  <c r="M91" i="4"/>
  <c r="M93" i="4" s="1"/>
  <c r="M77" i="4" s="1"/>
  <c r="M29" i="3" s="1"/>
  <c r="N12" i="4" l="1"/>
  <c r="N129" i="4" s="1"/>
  <c r="N18" i="4"/>
  <c r="N145" i="2" s="1"/>
  <c r="O10" i="4"/>
  <c r="N111" i="2"/>
  <c r="M172" i="3"/>
  <c r="N174" i="3" s="1"/>
  <c r="N67" i="2" s="1"/>
  <c r="M130" i="2"/>
  <c r="M142" i="2" s="1"/>
  <c r="M172" i="2" s="1"/>
  <c r="N48" i="20"/>
  <c r="N50" i="20" s="1"/>
  <c r="N53" i="20" s="1"/>
  <c r="J147" i="9"/>
  <c r="J97" i="9" s="1"/>
  <c r="N110" i="4"/>
  <c r="N128" i="4"/>
  <c r="N87" i="4" l="1"/>
  <c r="N107" i="4" s="1"/>
  <c r="N109" i="4" s="1"/>
  <c r="N46" i="4"/>
  <c r="N63" i="4" s="1"/>
  <c r="N65" i="4" s="1"/>
  <c r="O51" i="20" s="1"/>
  <c r="O54" i="20" s="1"/>
  <c r="N176" i="3"/>
  <c r="N29" i="2" s="1"/>
  <c r="M106" i="21"/>
  <c r="J98" i="9"/>
  <c r="J48" i="9"/>
  <c r="J149" i="9"/>
  <c r="J150" i="9" s="1"/>
  <c r="N152" i="2"/>
  <c r="N30" i="2" l="1"/>
  <c r="N32" i="2" s="1"/>
  <c r="N34" i="2" s="1"/>
  <c r="N35" i="2" s="1"/>
  <c r="N38" i="2" s="1"/>
  <c r="N171" i="4" s="1"/>
  <c r="N175" i="4" s="1"/>
  <c r="N68" i="2"/>
  <c r="O40" i="20" s="1"/>
  <c r="J102" i="9"/>
  <c r="J152" i="9"/>
  <c r="J153" i="9" s="1"/>
  <c r="J156" i="9" s="1"/>
  <c r="J157" i="9" s="1"/>
  <c r="J112" i="9" s="1"/>
  <c r="J49" i="9"/>
  <c r="M33" i="21"/>
  <c r="M107" i="21"/>
  <c r="J117" i="9"/>
  <c r="M34" i="21"/>
  <c r="K96" i="9"/>
  <c r="N69" i="2" l="1"/>
  <c r="N70" i="2" s="1"/>
  <c r="N77" i="2" s="1"/>
  <c r="N87" i="2" s="1"/>
  <c r="N127" i="4" s="1"/>
  <c r="N37" i="2"/>
  <c r="N159" i="4" s="1"/>
  <c r="N44" i="2"/>
  <c r="J60" i="9"/>
  <c r="M118" i="21"/>
  <c r="M119" i="21" s="1"/>
  <c r="J113" i="9"/>
  <c r="J107" i="9"/>
  <c r="J24" i="9"/>
  <c r="K133" i="9"/>
  <c r="N105" i="21"/>
  <c r="K47" i="9"/>
  <c r="J52" i="9"/>
  <c r="M100" i="21"/>
  <c r="J103" i="9"/>
  <c r="N167" i="2"/>
  <c r="O170" i="4"/>
  <c r="O36" i="20" l="1"/>
  <c r="O39" i="20" s="1"/>
  <c r="N108" i="21"/>
  <c r="J56" i="9"/>
  <c r="J108" i="9"/>
  <c r="M112" i="21"/>
  <c r="M36" i="21"/>
  <c r="M101" i="21"/>
  <c r="K101" i="9"/>
  <c r="J116" i="9"/>
  <c r="M74" i="21"/>
  <c r="J25" i="9"/>
  <c r="J37" i="9" s="1"/>
  <c r="M29" i="21" s="1"/>
  <c r="J119" i="9"/>
  <c r="J121" i="9" s="1"/>
  <c r="M40" i="21"/>
  <c r="K111" i="9"/>
  <c r="J53" i="9"/>
  <c r="M35" i="21"/>
  <c r="M39" i="21"/>
  <c r="J61" i="9"/>
  <c r="N130" i="4"/>
  <c r="K132" i="9" l="1"/>
  <c r="N99" i="21"/>
  <c r="K51" i="9"/>
  <c r="N117" i="21"/>
  <c r="K59" i="9"/>
  <c r="K135" i="9"/>
  <c r="J28" i="9"/>
  <c r="K27" i="9" s="1"/>
  <c r="M22" i="21"/>
  <c r="M23" i="21" s="1"/>
  <c r="M75" i="21"/>
  <c r="J118" i="9"/>
  <c r="J120" i="9" s="1"/>
  <c r="J122" i="9" s="1"/>
  <c r="K106" i="9"/>
  <c r="M38" i="21"/>
  <c r="M41" i="21" s="1"/>
  <c r="M68" i="21" s="1"/>
  <c r="M43" i="21" s="1"/>
  <c r="M113" i="21"/>
  <c r="M37" i="21"/>
  <c r="J57" i="9"/>
  <c r="N135" i="4"/>
  <c r="N112" i="4" s="1"/>
  <c r="N113" i="4" s="1"/>
  <c r="N41" i="4" s="1"/>
  <c r="N136" i="4"/>
  <c r="N114" i="4" s="1"/>
  <c r="N63" i="21" l="1"/>
  <c r="N120" i="21"/>
  <c r="K137" i="9"/>
  <c r="N65" i="21" s="1"/>
  <c r="K55" i="9"/>
  <c r="N111" i="21"/>
  <c r="K134" i="9"/>
  <c r="N114" i="21" s="1"/>
  <c r="J35" i="9"/>
  <c r="J123" i="9"/>
  <c r="M90" i="21"/>
  <c r="N102" i="21"/>
  <c r="N137" i="4"/>
  <c r="N40" i="4" s="1"/>
  <c r="N100" i="2" s="1"/>
  <c r="N116" i="4"/>
  <c r="N118" i="4" s="1"/>
  <c r="N138" i="4"/>
  <c r="N140" i="4" l="1"/>
  <c r="N22" i="4"/>
  <c r="N42" i="4"/>
  <c r="N99" i="2" s="1"/>
  <c r="O41" i="20" s="1"/>
  <c r="O43" i="20" s="1"/>
  <c r="M27" i="21"/>
  <c r="M30" i="21" s="1"/>
  <c r="M88" i="21"/>
  <c r="M91" i="21" s="1"/>
  <c r="J38" i="9"/>
  <c r="K136" i="9"/>
  <c r="N64" i="21" s="1"/>
  <c r="N66" i="21" s="1"/>
  <c r="K138" i="9"/>
  <c r="N117" i="4"/>
  <c r="N190" i="3" s="1"/>
  <c r="N102" i="2"/>
  <c r="O45" i="20" s="1"/>
  <c r="N146" i="4"/>
  <c r="N162" i="4"/>
  <c r="N23" i="4" l="1"/>
  <c r="N25" i="4" s="1"/>
  <c r="N154" i="2" s="1"/>
  <c r="O49" i="20" s="1"/>
  <c r="N115" i="4"/>
  <c r="N43" i="4"/>
  <c r="N96" i="4" s="1"/>
  <c r="N191" i="3"/>
  <c r="N197" i="3" s="1"/>
  <c r="N21" i="21"/>
  <c r="N69" i="21"/>
  <c r="K21" i="9"/>
  <c r="K17" i="9"/>
  <c r="N90" i="2"/>
  <c r="N103" i="2" s="1"/>
  <c r="O21" i="4" l="1"/>
  <c r="O108" i="4" s="1"/>
  <c r="N86" i="4"/>
  <c r="O37" i="4"/>
  <c r="O56" i="20"/>
  <c r="N40" i="2"/>
  <c r="N41" i="2" s="1"/>
  <c r="O57" i="20" s="1"/>
  <c r="O189" i="3"/>
  <c r="N59" i="21"/>
  <c r="N62" i="21" s="1"/>
  <c r="K20" i="9"/>
  <c r="K23" i="9" s="1"/>
  <c r="N161" i="4"/>
  <c r="N164" i="4" s="1"/>
  <c r="N165" i="2" s="1"/>
  <c r="N166" i="2" s="1"/>
  <c r="N168" i="2" s="1"/>
  <c r="O44" i="20"/>
  <c r="O46" i="20" s="1"/>
  <c r="N107" i="2"/>
  <c r="N108" i="2" s="1"/>
  <c r="N90" i="4" s="1"/>
  <c r="N78" i="4"/>
  <c r="N30" i="3" s="1"/>
  <c r="N160" i="2"/>
  <c r="N144" i="4" l="1"/>
  <c r="N143" i="4"/>
  <c r="O158" i="4"/>
  <c r="O59" i="20"/>
  <c r="K146" i="9"/>
  <c r="N71" i="21"/>
  <c r="N45" i="21" s="1"/>
  <c r="N73" i="21"/>
  <c r="N70" i="21"/>
  <c r="N44" i="21" s="1"/>
  <c r="N20" i="21"/>
  <c r="N170" i="2"/>
  <c r="N110" i="2"/>
  <c r="O105" i="2"/>
  <c r="O13" i="4" l="1"/>
  <c r="O11" i="4" s="1"/>
  <c r="N129" i="2"/>
  <c r="N145" i="4"/>
  <c r="K147" i="9"/>
  <c r="K97" i="9" s="1"/>
  <c r="O132" i="4"/>
  <c r="O134" i="4" s="1"/>
  <c r="O111" i="2" l="1"/>
  <c r="O48" i="20"/>
  <c r="O50" i="20" s="1"/>
  <c r="O53" i="20" s="1"/>
  <c r="N172" i="3"/>
  <c r="O174" i="3" s="1"/>
  <c r="K149" i="9"/>
  <c r="K150" i="9" s="1"/>
  <c r="K152" i="9" s="1"/>
  <c r="K153" i="9" s="1"/>
  <c r="K156" i="9" s="1"/>
  <c r="K157" i="9" s="1"/>
  <c r="K112" i="9" s="1"/>
  <c r="N106" i="21"/>
  <c r="K48" i="9"/>
  <c r="K98" i="9"/>
  <c r="N91" i="4"/>
  <c r="N93" i="4" s="1"/>
  <c r="N77" i="4" s="1"/>
  <c r="N29" i="3" s="1"/>
  <c r="N130" i="2"/>
  <c r="N142" i="2" s="1"/>
  <c r="N172" i="2" s="1"/>
  <c r="O18" i="4"/>
  <c r="O12" i="4"/>
  <c r="O129" i="4" s="1"/>
  <c r="P10" i="4"/>
  <c r="N113" i="2"/>
  <c r="K102" i="9" l="1"/>
  <c r="K103" i="9" s="1"/>
  <c r="K117" i="9"/>
  <c r="N34" i="21"/>
  <c r="L96" i="9"/>
  <c r="N107" i="21"/>
  <c r="N33" i="21"/>
  <c r="K49" i="9"/>
  <c r="K113" i="9"/>
  <c r="K60" i="9"/>
  <c r="N118" i="21"/>
  <c r="N119" i="21" s="1"/>
  <c r="K107" i="9"/>
  <c r="K24" i="9"/>
  <c r="O46" i="4"/>
  <c r="O63" i="4" s="1"/>
  <c r="O65" i="4" s="1"/>
  <c r="P51" i="20" s="1"/>
  <c r="P54" i="20" s="1"/>
  <c r="O87" i="4"/>
  <c r="O107" i="4" s="1"/>
  <c r="O109" i="4" s="1"/>
  <c r="O110" i="4"/>
  <c r="O128" i="4"/>
  <c r="O67" i="2"/>
  <c r="O176" i="3"/>
  <c r="O29" i="2" s="1"/>
  <c r="O145" i="2"/>
  <c r="K52" i="9" l="1"/>
  <c r="N35" i="21" s="1"/>
  <c r="N100" i="21"/>
  <c r="N74" i="21"/>
  <c r="K25" i="9"/>
  <c r="K37" i="9" s="1"/>
  <c r="N29" i="21" s="1"/>
  <c r="N40" i="21"/>
  <c r="L111" i="9"/>
  <c r="K119" i="9"/>
  <c r="K121" i="9" s="1"/>
  <c r="K56" i="9"/>
  <c r="N112" i="21"/>
  <c r="K108" i="9"/>
  <c r="N39" i="21"/>
  <c r="K61" i="9"/>
  <c r="O105" i="21"/>
  <c r="L133" i="9"/>
  <c r="O108" i="21" s="1"/>
  <c r="L47" i="9"/>
  <c r="L101" i="9"/>
  <c r="N101" i="21"/>
  <c r="N36" i="21"/>
  <c r="K116" i="9"/>
  <c r="O30" i="2"/>
  <c r="O32" i="2" s="1"/>
  <c r="O34" i="2" s="1"/>
  <c r="O35" i="2" s="1"/>
  <c r="O68" i="2"/>
  <c r="P40" i="20" s="1"/>
  <c r="O152" i="2"/>
  <c r="K53" i="9" l="1"/>
  <c r="L135" i="9"/>
  <c r="L59" i="9"/>
  <c r="O117" i="21"/>
  <c r="K28" i="9"/>
  <c r="L27" i="9" s="1"/>
  <c r="N113" i="21"/>
  <c r="N38" i="21"/>
  <c r="N41" i="21" s="1"/>
  <c r="N68" i="21" s="1"/>
  <c r="N43" i="21" s="1"/>
  <c r="K118" i="9"/>
  <c r="K120" i="9" s="1"/>
  <c r="K122" i="9" s="1"/>
  <c r="L106" i="9"/>
  <c r="N22" i="21"/>
  <c r="N23" i="21" s="1"/>
  <c r="N75" i="21"/>
  <c r="N90" i="21" s="1"/>
  <c r="L51" i="9"/>
  <c r="L132" i="9"/>
  <c r="O99" i="21"/>
  <c r="K57" i="9"/>
  <c r="N37" i="21"/>
  <c r="O44" i="2"/>
  <c r="O38" i="2"/>
  <c r="O171" i="4" s="1"/>
  <c r="O175" i="4" s="1"/>
  <c r="O37" i="2"/>
  <c r="O69" i="2"/>
  <c r="O102" i="21" l="1"/>
  <c r="L137" i="9"/>
  <c r="O65" i="21" s="1"/>
  <c r="O120" i="21"/>
  <c r="O63" i="21"/>
  <c r="K123" i="9"/>
  <c r="K35" i="9"/>
  <c r="O111" i="21"/>
  <c r="L55" i="9"/>
  <c r="L134" i="9"/>
  <c r="O114" i="21" s="1"/>
  <c r="O70" i="2"/>
  <c r="O77" i="2" s="1"/>
  <c r="O87" i="2" s="1"/>
  <c r="O127" i="4" s="1"/>
  <c r="P36" i="20"/>
  <c r="O159" i="4"/>
  <c r="O167" i="2"/>
  <c r="P170" i="4"/>
  <c r="K38" i="9" l="1"/>
  <c r="N88" i="21"/>
  <c r="N91" i="21" s="1"/>
  <c r="N27" i="21"/>
  <c r="N30" i="21" s="1"/>
  <c r="L138" i="9"/>
  <c r="L136" i="9"/>
  <c r="O64" i="21" s="1"/>
  <c r="O66" i="21" s="1"/>
  <c r="P39" i="20"/>
  <c r="O130" i="4"/>
  <c r="O21" i="21" l="1"/>
  <c r="O69" i="21"/>
  <c r="L21" i="9"/>
  <c r="L17" i="9"/>
  <c r="O136" i="4"/>
  <c r="O114" i="4" s="1"/>
  <c r="O135" i="4"/>
  <c r="O137" i="4" s="1"/>
  <c r="O40" i="4" s="1"/>
  <c r="O59" i="21" l="1"/>
  <c r="O62" i="21" s="1"/>
  <c r="L20" i="9"/>
  <c r="L23" i="9" s="1"/>
  <c r="L146" i="9" s="1"/>
  <c r="O112" i="4"/>
  <c r="O113" i="4" s="1"/>
  <c r="O41" i="4" s="1"/>
  <c r="O138" i="4" s="1"/>
  <c r="O140" i="4" s="1"/>
  <c r="O100" i="2"/>
  <c r="O42" i="4"/>
  <c r="O43" i="4" l="1"/>
  <c r="O96" i="4" s="1"/>
  <c r="L147" i="9"/>
  <c r="L149" i="9" s="1"/>
  <c r="L150" i="9" s="1"/>
  <c r="L102" i="9" s="1"/>
  <c r="O70" i="21"/>
  <c r="O44" i="21" s="1"/>
  <c r="O20" i="21"/>
  <c r="O71" i="21"/>
  <c r="O45" i="21" s="1"/>
  <c r="O73" i="21"/>
  <c r="O22" i="4"/>
  <c r="O116" i="4"/>
  <c r="O118" i="4" s="1"/>
  <c r="O162" i="4" s="1"/>
  <c r="O23" i="4"/>
  <c r="O115" i="4"/>
  <c r="O99" i="2"/>
  <c r="P41" i="20" s="1"/>
  <c r="P43" i="20" s="1"/>
  <c r="P37" i="4" l="1"/>
  <c r="L103" i="9"/>
  <c r="O100" i="21"/>
  <c r="L52" i="9"/>
  <c r="L97" i="9"/>
  <c r="L152" i="9"/>
  <c r="L153" i="9" s="1"/>
  <c r="O102" i="2"/>
  <c r="P45" i="20" s="1"/>
  <c r="O146" i="4"/>
  <c r="O25" i="4"/>
  <c r="O154" i="2" s="1"/>
  <c r="O117" i="4"/>
  <c r="O78" i="4"/>
  <c r="O30" i="3" s="1"/>
  <c r="O106" i="21" l="1"/>
  <c r="L98" i="9"/>
  <c r="L48" i="9"/>
  <c r="O35" i="21"/>
  <c r="L53" i="9"/>
  <c r="L107" i="9"/>
  <c r="L156" i="9"/>
  <c r="L157" i="9" s="1"/>
  <c r="L112" i="9" s="1"/>
  <c r="L113" i="9" s="1"/>
  <c r="O36" i="21"/>
  <c r="M101" i="9"/>
  <c r="L116" i="9"/>
  <c r="O101" i="21"/>
  <c r="O86" i="4"/>
  <c r="P21" i="4"/>
  <c r="P108" i="4" s="1"/>
  <c r="O190" i="3"/>
  <c r="O90" i="2"/>
  <c r="O160" i="2"/>
  <c r="P49" i="20"/>
  <c r="O191" i="3" l="1"/>
  <c r="O197" i="3" s="1"/>
  <c r="L60" i="9"/>
  <c r="L61" i="9" s="1"/>
  <c r="L24" i="9"/>
  <c r="O112" i="21"/>
  <c r="L56" i="9"/>
  <c r="L108" i="9"/>
  <c r="O118" i="21"/>
  <c r="O119" i="21" s="1"/>
  <c r="O33" i="21"/>
  <c r="L49" i="9"/>
  <c r="P99" i="21"/>
  <c r="M51" i="9"/>
  <c r="M132" i="9"/>
  <c r="P102" i="21" s="1"/>
  <c r="M96" i="9"/>
  <c r="O34" i="21"/>
  <c r="L117" i="9"/>
  <c r="O107" i="21"/>
  <c r="L119" i="9"/>
  <c r="M111" i="9"/>
  <c r="O40" i="21"/>
  <c r="P44" i="20"/>
  <c r="P46" i="20" s="1"/>
  <c r="O161" i="4"/>
  <c r="O164" i="4" s="1"/>
  <c r="O103" i="2"/>
  <c r="O107" i="2" s="1"/>
  <c r="O108" i="2" s="1"/>
  <c r="O90" i="4" s="1"/>
  <c r="O39" i="21" l="1"/>
  <c r="P56" i="20"/>
  <c r="P189" i="3"/>
  <c r="O40" i="2"/>
  <c r="O41" i="2" s="1"/>
  <c r="O38" i="21"/>
  <c r="O41" i="21" s="1"/>
  <c r="O68" i="21" s="1"/>
  <c r="O43" i="21" s="1"/>
  <c r="L118" i="9"/>
  <c r="L120" i="9" s="1"/>
  <c r="M106" i="9"/>
  <c r="O113" i="21"/>
  <c r="M133" i="9"/>
  <c r="P108" i="21" s="1"/>
  <c r="P105" i="21"/>
  <c r="M47" i="9"/>
  <c r="O74" i="21"/>
  <c r="L25" i="9"/>
  <c r="O37" i="21"/>
  <c r="L57" i="9"/>
  <c r="L121" i="9"/>
  <c r="M59" i="9"/>
  <c r="M135" i="9"/>
  <c r="P117" i="21"/>
  <c r="O110" i="2"/>
  <c r="P105" i="2"/>
  <c r="P132" i="4" s="1"/>
  <c r="P134" i="4" s="1"/>
  <c r="P59" i="20"/>
  <c r="P158" i="4"/>
  <c r="O165" i="2"/>
  <c r="O166" i="2" s="1"/>
  <c r="O168" i="2" s="1"/>
  <c r="O170" i="2" s="1"/>
  <c r="P13" i="4" l="1"/>
  <c r="P11" i="4" s="1"/>
  <c r="O129" i="2"/>
  <c r="P48" i="20" s="1"/>
  <c r="P50" i="20" s="1"/>
  <c r="P53" i="20" s="1"/>
  <c r="O143" i="4"/>
  <c r="L122" i="9"/>
  <c r="L123" i="9" s="1"/>
  <c r="O75" i="21"/>
  <c r="O90" i="21" s="1"/>
  <c r="O22" i="21"/>
  <c r="O23" i="21" s="1"/>
  <c r="M55" i="9"/>
  <c r="M134" i="9"/>
  <c r="P111" i="21"/>
  <c r="L37" i="9"/>
  <c r="O29" i="21" s="1"/>
  <c r="L28" i="9"/>
  <c r="M27" i="9" s="1"/>
  <c r="M137" i="9"/>
  <c r="P65" i="21" s="1"/>
  <c r="P63" i="21"/>
  <c r="P120" i="21"/>
  <c r="O144" i="4"/>
  <c r="P57" i="20"/>
  <c r="O91" i="4"/>
  <c r="O93" i="4" s="1"/>
  <c r="O77" i="4" s="1"/>
  <c r="O29" i="3" s="1"/>
  <c r="P18" i="4" l="1"/>
  <c r="P46" i="4" s="1"/>
  <c r="P63" i="4" s="1"/>
  <c r="P65" i="4" s="1"/>
  <c r="Q51" i="20" s="1"/>
  <c r="Q54" i="20" s="1"/>
  <c r="P12" i="4"/>
  <c r="P129" i="4" s="1"/>
  <c r="Q10" i="4"/>
  <c r="P111" i="2"/>
  <c r="O145" i="4"/>
  <c r="O172" i="3"/>
  <c r="P174" i="3" s="1"/>
  <c r="P176" i="3" s="1"/>
  <c r="P29" i="2" s="1"/>
  <c r="L35" i="9"/>
  <c r="O27" i="21" s="1"/>
  <c r="O30" i="21" s="1"/>
  <c r="O113" i="2"/>
  <c r="O130" i="2"/>
  <c r="O142" i="2" s="1"/>
  <c r="O172" i="2" s="1"/>
  <c r="P114" i="21"/>
  <c r="M136" i="9"/>
  <c r="P64" i="21" s="1"/>
  <c r="P66" i="21" s="1"/>
  <c r="P69" i="21" s="1"/>
  <c r="M138" i="9"/>
  <c r="M21" i="9" s="1"/>
  <c r="P110" i="4"/>
  <c r="P128" i="4"/>
  <c r="P145" i="2" l="1"/>
  <c r="P152" i="2" s="1"/>
  <c r="P87" i="4"/>
  <c r="P107" i="4" s="1"/>
  <c r="P109" i="4" s="1"/>
  <c r="P67" i="2"/>
  <c r="L38" i="9"/>
  <c r="O88" i="21"/>
  <c r="O91" i="21" s="1"/>
  <c r="P21" i="21"/>
  <c r="P68" i="2"/>
  <c r="P30" i="2"/>
  <c r="P32" i="2" s="1"/>
  <c r="P34" i="2" s="1"/>
  <c r="Q40" i="20" l="1"/>
  <c r="P69" i="2"/>
  <c r="M17" i="9"/>
  <c r="P35" i="2"/>
  <c r="P59" i="21" l="1"/>
  <c r="P62" i="21" s="1"/>
  <c r="P71" i="21" s="1"/>
  <c r="P45" i="21" s="1"/>
  <c r="M20" i="9"/>
  <c r="M23" i="9" s="1"/>
  <c r="P70" i="2"/>
  <c r="P77" i="2" s="1"/>
  <c r="P87" i="2" s="1"/>
  <c r="P127" i="4" s="1"/>
  <c r="Q36" i="20"/>
  <c r="P44" i="2"/>
  <c r="P38" i="2"/>
  <c r="P171" i="4" s="1"/>
  <c r="P175" i="4" s="1"/>
  <c r="P37" i="2"/>
  <c r="P70" i="21" l="1"/>
  <c r="P44" i="21" s="1"/>
  <c r="P73" i="21"/>
  <c r="P20" i="21"/>
  <c r="M146" i="9"/>
  <c r="M147" i="9" s="1"/>
  <c r="M97" i="9" s="1"/>
  <c r="Q39" i="20"/>
  <c r="P130" i="4"/>
  <c r="P159" i="4"/>
  <c r="Q170" i="4"/>
  <c r="P167" i="2"/>
  <c r="M98" i="9" l="1"/>
  <c r="P106" i="21"/>
  <c r="M48" i="9"/>
  <c r="M149" i="9"/>
  <c r="M150" i="9" s="1"/>
  <c r="M102" i="9" s="1"/>
  <c r="P135" i="4"/>
  <c r="P137" i="4" s="1"/>
  <c r="P40" i="4" s="1"/>
  <c r="P136" i="4"/>
  <c r="P114" i="4" s="1"/>
  <c r="M152" i="9" l="1"/>
  <c r="M153" i="9" s="1"/>
  <c r="M156" i="9" s="1"/>
  <c r="M157" i="9" s="1"/>
  <c r="M112" i="9" s="1"/>
  <c r="P100" i="21"/>
  <c r="M52" i="9"/>
  <c r="M103" i="9"/>
  <c r="P33" i="21"/>
  <c r="M49" i="9"/>
  <c r="P107" i="21"/>
  <c r="M117" i="9"/>
  <c r="P34" i="21"/>
  <c r="P112" i="4"/>
  <c r="P113" i="4" s="1"/>
  <c r="P41" i="4" s="1"/>
  <c r="P22" i="4" s="1"/>
  <c r="P100" i="2"/>
  <c r="P42" i="4"/>
  <c r="P99" i="2" l="1"/>
  <c r="Q41" i="20" s="1"/>
  <c r="Q43" i="20" s="1"/>
  <c r="M107" i="9"/>
  <c r="M108" i="9" s="1"/>
  <c r="M116" i="9"/>
  <c r="P101" i="21"/>
  <c r="P36" i="21"/>
  <c r="P35" i="21"/>
  <c r="M53" i="9"/>
  <c r="M24" i="9"/>
  <c r="M60" i="9"/>
  <c r="P118" i="21"/>
  <c r="P119" i="21" s="1"/>
  <c r="M113" i="9"/>
  <c r="P138" i="4"/>
  <c r="P140" i="4" s="1"/>
  <c r="P116" i="4"/>
  <c r="P117" i="4" s="1"/>
  <c r="P190" i="3" s="1"/>
  <c r="P43" i="4"/>
  <c r="P115" i="4"/>
  <c r="P23" i="4"/>
  <c r="P191" i="3" l="1"/>
  <c r="P197" i="3" s="1"/>
  <c r="P112" i="21"/>
  <c r="M56" i="9"/>
  <c r="M57" i="9" s="1"/>
  <c r="P74" i="21"/>
  <c r="M25" i="9"/>
  <c r="M37" i="9" s="1"/>
  <c r="P29" i="21" s="1"/>
  <c r="P39" i="21"/>
  <c r="M61" i="9"/>
  <c r="M119" i="9"/>
  <c r="M121" i="9" s="1"/>
  <c r="P40" i="21"/>
  <c r="P38" i="21"/>
  <c r="M118" i="9"/>
  <c r="M120" i="9" s="1"/>
  <c r="P113" i="21"/>
  <c r="P118" i="4"/>
  <c r="P90" i="2"/>
  <c r="Q44" i="20" s="1"/>
  <c r="Q37" i="4"/>
  <c r="P96" i="4"/>
  <c r="P78" i="4" s="1"/>
  <c r="P30" i="3" s="1"/>
  <c r="P25" i="4"/>
  <c r="Q21" i="4" s="1"/>
  <c r="Q56" i="20" l="1"/>
  <c r="P40" i="2"/>
  <c r="P41" i="2" s="1"/>
  <c r="Q57" i="20" s="1"/>
  <c r="Q189" i="3"/>
  <c r="P37" i="21"/>
  <c r="P41" i="21"/>
  <c r="P68" i="21" s="1"/>
  <c r="P43" i="21" s="1"/>
  <c r="P161" i="4"/>
  <c r="M122" i="9"/>
  <c r="M35" i="9" s="1"/>
  <c r="P27" i="21" s="1"/>
  <c r="P30" i="21" s="1"/>
  <c r="M28" i="9"/>
  <c r="P22" i="21"/>
  <c r="P23" i="21" s="1"/>
  <c r="P75" i="21"/>
  <c r="P146" i="4"/>
  <c r="P162" i="4"/>
  <c r="P102" i="2"/>
  <c r="P86" i="4"/>
  <c r="P154" i="2"/>
  <c r="Q49" i="20" s="1"/>
  <c r="Q108" i="4"/>
  <c r="P144" i="4" l="1"/>
  <c r="P143" i="4"/>
  <c r="M123" i="9"/>
  <c r="P160" i="2"/>
  <c r="P164" i="4"/>
  <c r="P165" i="2" s="1"/>
  <c r="P166" i="2" s="1"/>
  <c r="P168" i="2" s="1"/>
  <c r="M38" i="9"/>
  <c r="G39" i="9" s="1"/>
  <c r="D91" i="21" s="1"/>
  <c r="P88" i="21"/>
  <c r="P90" i="21"/>
  <c r="Q45" i="20"/>
  <c r="Q46" i="20" s="1"/>
  <c r="P103" i="2"/>
  <c r="P107" i="2" s="1"/>
  <c r="P108" i="2" s="1"/>
  <c r="P90" i="4" s="1"/>
  <c r="P170" i="2" l="1"/>
  <c r="P145" i="4"/>
  <c r="Q158" i="4"/>
  <c r="H30" i="21"/>
  <c r="G117" i="8"/>
  <c r="G45" i="8" s="1"/>
  <c r="P91" i="21"/>
  <c r="P110" i="2"/>
  <c r="Q105" i="2"/>
  <c r="Q132" i="4" s="1"/>
  <c r="Q134" i="4" s="1"/>
  <c r="Q59" i="20"/>
  <c r="Q13" i="4" l="1"/>
  <c r="Q111" i="2" s="1"/>
  <c r="P129" i="2"/>
  <c r="Q48" i="20" s="1"/>
  <c r="Q50" i="20" s="1"/>
  <c r="Q53" i="20" s="1"/>
  <c r="P91" i="4"/>
  <c r="P93" i="4" s="1"/>
  <c r="P77" i="4" s="1"/>
  <c r="P29" i="3" s="1"/>
  <c r="Q18" i="4" l="1"/>
  <c r="Q145" i="2" s="1"/>
  <c r="Q12" i="4"/>
  <c r="Q129" i="4" s="1"/>
  <c r="R10" i="4"/>
  <c r="Q11" i="4"/>
  <c r="Q128" i="4" s="1"/>
  <c r="P113" i="2"/>
  <c r="P130" i="2"/>
  <c r="P142" i="2" s="1"/>
  <c r="P172" i="2" s="1"/>
  <c r="P172" i="3"/>
  <c r="Q174" i="3" s="1"/>
  <c r="Q176" i="3" s="1"/>
  <c r="Q29" i="2" s="1"/>
  <c r="Q87" i="4" l="1"/>
  <c r="Q107" i="4" s="1"/>
  <c r="Q109" i="4" s="1"/>
  <c r="Q46" i="4"/>
  <c r="Q63" i="4" s="1"/>
  <c r="Q65" i="4" s="1"/>
  <c r="R51" i="20" s="1"/>
  <c r="R54" i="20" s="1"/>
  <c r="Q110" i="4"/>
  <c r="Q67" i="2"/>
  <c r="Q152" i="2"/>
  <c r="Q68" i="2" l="1"/>
  <c r="R40" i="20" s="1"/>
  <c r="Q30" i="2"/>
  <c r="Q32" i="2" s="1"/>
  <c r="Q34" i="2" s="1"/>
  <c r="Q69" i="2" s="1"/>
  <c r="R36" i="20" s="1"/>
  <c r="Q35" i="2" l="1"/>
  <c r="Q37" i="2" s="1"/>
  <c r="Q70" i="2"/>
  <c r="Q77" i="2" s="1"/>
  <c r="Q87" i="2" s="1"/>
  <c r="Q127" i="4" s="1"/>
  <c r="Q130" i="4" s="1"/>
  <c r="R39" i="20"/>
  <c r="Q44" i="2" l="1"/>
  <c r="Q38" i="2"/>
  <c r="Q171" i="4" s="1"/>
  <c r="Q175" i="4" s="1"/>
  <c r="R170" i="4" s="1"/>
  <c r="Q135" i="4"/>
  <c r="Q137" i="4" s="1"/>
  <c r="Q40" i="4" s="1"/>
  <c r="Q136" i="4"/>
  <c r="Q114" i="4" s="1"/>
  <c r="Q159" i="4"/>
  <c r="Q167" i="2" l="1"/>
  <c r="Q112" i="4"/>
  <c r="Q113" i="4" s="1"/>
  <c r="Q41" i="4" s="1"/>
  <c r="Q138" i="4" s="1"/>
  <c r="Q140" i="4" s="1"/>
  <c r="Q100" i="2"/>
  <c r="Q42" i="4"/>
  <c r="Q43" i="4" l="1"/>
  <c r="Q96" i="4" s="1"/>
  <c r="Q116" i="4"/>
  <c r="Q118" i="4" s="1"/>
  <c r="Q146" i="4" s="1"/>
  <c r="Q22" i="4"/>
  <c r="Q99" i="2"/>
  <c r="R41" i="20" s="1"/>
  <c r="R43" i="20" s="1"/>
  <c r="Q23" i="4"/>
  <c r="Q115" i="4"/>
  <c r="Q162" i="4" l="1"/>
  <c r="Q102" i="2"/>
  <c r="R45" i="20" s="1"/>
  <c r="R37" i="4"/>
  <c r="Q117" i="4"/>
  <c r="Q25" i="4"/>
  <c r="R21" i="4" s="1"/>
  <c r="Q78" i="4"/>
  <c r="Q30" i="3" s="1"/>
  <c r="Q154" i="2" l="1"/>
  <c r="R49" i="20" s="1"/>
  <c r="Q90" i="2"/>
  <c r="Q190" i="3"/>
  <c r="Q191" i="3" s="1"/>
  <c r="Q197" i="3" s="1"/>
  <c r="R56" i="20" s="1"/>
  <c r="Q86" i="4"/>
  <c r="R108" i="4"/>
  <c r="Q160" i="2" l="1"/>
  <c r="Q40" i="2"/>
  <c r="R189" i="3"/>
  <c r="R44" i="20"/>
  <c r="R46" i="20" s="1"/>
  <c r="Q103" i="2"/>
  <c r="Q107" i="2" s="1"/>
  <c r="Q108" i="2" s="1"/>
  <c r="Q90" i="4" s="1"/>
  <c r="Q161" i="4"/>
  <c r="Q164" i="4" s="1"/>
  <c r="R105" i="2" l="1"/>
  <c r="R132" i="4" s="1"/>
  <c r="R134" i="4" s="1"/>
  <c r="Q110" i="2"/>
  <c r="Q41" i="2"/>
  <c r="Q143" i="4"/>
  <c r="R59" i="20"/>
  <c r="Q165" i="2"/>
  <c r="Q166" i="2" s="1"/>
  <c r="Q168" i="2" s="1"/>
  <c r="Q170" i="2" s="1"/>
  <c r="R158" i="4"/>
  <c r="R13" i="4" l="1"/>
  <c r="R111" i="2" s="1"/>
  <c r="Q129" i="2"/>
  <c r="R48" i="20" s="1"/>
  <c r="R50" i="20" s="1"/>
  <c r="R53" i="20" s="1"/>
  <c r="R57" i="20"/>
  <c r="Q144" i="4"/>
  <c r="Q145" i="4" s="1"/>
  <c r="Q91" i="4"/>
  <c r="Q93" i="4" s="1"/>
  <c r="Q77" i="4" s="1"/>
  <c r="Q29" i="3" s="1"/>
  <c r="R18" i="4" l="1"/>
  <c r="R145" i="2" s="1"/>
  <c r="S10" i="4"/>
  <c r="R12" i="4"/>
  <c r="R129" i="4" s="1"/>
  <c r="R11" i="4"/>
  <c r="R128" i="4" s="1"/>
  <c r="Q130" i="2"/>
  <c r="Q142" i="2" s="1"/>
  <c r="Q172" i="2" s="1"/>
  <c r="Q113" i="2"/>
  <c r="Q172" i="3"/>
  <c r="R174" i="3" s="1"/>
  <c r="R176" i="3" s="1"/>
  <c r="R29" i="2" s="1"/>
  <c r="R87" i="4" l="1"/>
  <c r="R107" i="4" s="1"/>
  <c r="R109" i="4" s="1"/>
  <c r="R46" i="4"/>
  <c r="R63" i="4" s="1"/>
  <c r="R65" i="4" s="1"/>
  <c r="S51" i="20" s="1"/>
  <c r="S54" i="20" s="1"/>
  <c r="R110" i="4"/>
  <c r="R67" i="2"/>
  <c r="R152" i="2"/>
  <c r="R68" i="2" l="1"/>
  <c r="S40" i="20" s="1"/>
  <c r="R30" i="2"/>
  <c r="R32" i="2" s="1"/>
  <c r="R34" i="2" s="1"/>
  <c r="R69" i="2" s="1"/>
  <c r="S36" i="20" s="1"/>
  <c r="R35" i="2" l="1"/>
  <c r="R37" i="2" s="1"/>
  <c r="R70" i="2"/>
  <c r="R77" i="2" s="1"/>
  <c r="R87" i="2" s="1"/>
  <c r="R127" i="4" s="1"/>
  <c r="R130" i="4" s="1"/>
  <c r="S39" i="20"/>
  <c r="R38" i="2" l="1"/>
  <c r="R171" i="4" s="1"/>
  <c r="R175" i="4" s="1"/>
  <c r="S170" i="4" s="1"/>
  <c r="R44" i="2"/>
  <c r="R135" i="4"/>
  <c r="R112" i="4" s="1"/>
  <c r="R113" i="4" s="1"/>
  <c r="R41" i="4" s="1"/>
  <c r="R136" i="4"/>
  <c r="R114" i="4" s="1"/>
  <c r="R159" i="4"/>
  <c r="R167" i="2" l="1"/>
  <c r="R137" i="4"/>
  <c r="R40" i="4" s="1"/>
  <c r="R100" i="2" s="1"/>
  <c r="R116" i="4"/>
  <c r="R117" i="4" s="1"/>
  <c r="R138" i="4"/>
  <c r="R140" i="4" l="1"/>
  <c r="R42" i="4"/>
  <c r="R23" i="4" s="1"/>
  <c r="R22" i="4"/>
  <c r="R118" i="4"/>
  <c r="R146" i="4" s="1"/>
  <c r="R90" i="2"/>
  <c r="S44" i="20" s="1"/>
  <c r="R190" i="3"/>
  <c r="R191" i="3" l="1"/>
  <c r="R197" i="3" s="1"/>
  <c r="R102" i="2"/>
  <c r="S45" i="20" s="1"/>
  <c r="R162" i="4"/>
  <c r="R99" i="2"/>
  <c r="S41" i="20" s="1"/>
  <c r="S43" i="20" s="1"/>
  <c r="R115" i="4"/>
  <c r="R43" i="4"/>
  <c r="R96" i="4" s="1"/>
  <c r="R25" i="4"/>
  <c r="R86" i="4" s="1"/>
  <c r="R161" i="4"/>
  <c r="R164" i="4" l="1"/>
  <c r="R165" i="2" s="1"/>
  <c r="R166" i="2" s="1"/>
  <c r="R168" i="2" s="1"/>
  <c r="R40" i="2"/>
  <c r="R41" i="2" s="1"/>
  <c r="S57" i="20" s="1"/>
  <c r="S56" i="20"/>
  <c r="S189" i="3"/>
  <c r="S46" i="20"/>
  <c r="R103" i="2"/>
  <c r="R107" i="2" s="1"/>
  <c r="R108" i="2" s="1"/>
  <c r="R90" i="4" s="1"/>
  <c r="S37" i="4"/>
  <c r="R154" i="2"/>
  <c r="S49" i="20" s="1"/>
  <c r="S21" i="4"/>
  <c r="S108" i="4" s="1"/>
  <c r="R78" i="4"/>
  <c r="R30" i="3" s="1"/>
  <c r="S158" i="4" l="1"/>
  <c r="R143" i="4"/>
  <c r="R144" i="4"/>
  <c r="S59" i="20"/>
  <c r="R160" i="2"/>
  <c r="R170" i="2" s="1"/>
  <c r="S105" i="2"/>
  <c r="R110" i="2"/>
  <c r="S13" i="4" l="1"/>
  <c r="S111" i="2" s="1"/>
  <c r="R129" i="2"/>
  <c r="R145" i="4"/>
  <c r="S132" i="4"/>
  <c r="S134" i="4" s="1"/>
  <c r="R113" i="2" l="1"/>
  <c r="S48" i="20"/>
  <c r="S50" i="20" s="1"/>
  <c r="S53" i="20" s="1"/>
  <c r="R91" i="4"/>
  <c r="R93" i="4" s="1"/>
  <c r="R77" i="4" s="1"/>
  <c r="R29" i="3" s="1"/>
  <c r="R130" i="2"/>
  <c r="R142" i="2" s="1"/>
  <c r="R172" i="2" s="1"/>
  <c r="R172" i="3"/>
  <c r="S174" i="3" s="1"/>
  <c r="S11" i="4"/>
  <c r="S12" i="4"/>
  <c r="S129" i="4" s="1"/>
  <c r="S18" i="4"/>
  <c r="S46" i="4" l="1"/>
  <c r="S63" i="4" s="1"/>
  <c r="S65" i="4" s="1"/>
  <c r="T51" i="20" s="1"/>
  <c r="T54" i="20" s="1"/>
  <c r="S87" i="4"/>
  <c r="S107" i="4" s="1"/>
  <c r="S109" i="4" s="1"/>
  <c r="S110" i="4"/>
  <c r="S128" i="4"/>
  <c r="S145" i="2"/>
  <c r="S67" i="2"/>
  <c r="S176" i="3"/>
  <c r="S29" i="2" s="1"/>
  <c r="S68" i="2" l="1"/>
  <c r="T40" i="20" s="1"/>
  <c r="S30" i="2"/>
  <c r="S32" i="2" s="1"/>
  <c r="S34" i="2" s="1"/>
  <c r="S69" i="2" s="1"/>
  <c r="S152" i="2"/>
  <c r="S70" i="2" l="1"/>
  <c r="S77" i="2" s="1"/>
  <c r="S87" i="2" s="1"/>
  <c r="S127" i="4" s="1"/>
  <c r="T36" i="20"/>
  <c r="S35" i="2"/>
  <c r="S38" i="2" s="1"/>
  <c r="S171" i="4" s="1"/>
  <c r="S175" i="4" s="1"/>
  <c r="S167" i="2" s="1"/>
  <c r="S44" i="2" l="1"/>
  <c r="S37" i="2"/>
  <c r="S159" i="4" s="1"/>
  <c r="T39" i="20"/>
  <c r="S130" i="4"/>
  <c r="S136" i="4" l="1"/>
  <c r="S114" i="4" s="1"/>
  <c r="S135" i="4"/>
  <c r="S137" i="4" s="1"/>
  <c r="S40" i="4" s="1"/>
  <c r="S112" i="4" l="1"/>
  <c r="S113" i="4" s="1"/>
  <c r="S41" i="4" s="1"/>
  <c r="S138" i="4" s="1"/>
  <c r="S140" i="4" s="1"/>
  <c r="S100" i="2"/>
  <c r="S42" i="4"/>
  <c r="S22" i="4" l="1"/>
  <c r="S116" i="4"/>
  <c r="S115" i="4"/>
  <c r="S23" i="4"/>
  <c r="S43" i="4"/>
  <c r="S96" i="4" s="1"/>
  <c r="S99" i="2"/>
  <c r="T41" i="20" s="1"/>
  <c r="T43" i="20" s="1"/>
  <c r="S25" i="4" l="1"/>
  <c r="S154" i="2" s="1"/>
  <c r="T49" i="20" s="1"/>
  <c r="S117" i="4"/>
  <c r="S118" i="4"/>
  <c r="S78" i="4"/>
  <c r="S30" i="3" s="1"/>
  <c r="S86" i="4" l="1"/>
  <c r="S162" i="4"/>
  <c r="S102" i="2"/>
  <c r="T45" i="20" s="1"/>
  <c r="S146" i="4"/>
  <c r="S190" i="3"/>
  <c r="S90" i="2"/>
  <c r="S160" i="2"/>
  <c r="S191" i="3" l="1"/>
  <c r="S197" i="3" s="1"/>
  <c r="T44" i="20"/>
  <c r="T46" i="20" s="1"/>
  <c r="S161" i="4"/>
  <c r="S164" i="4" s="1"/>
  <c r="S165" i="2" s="1"/>
  <c r="S166" i="2" s="1"/>
  <c r="S168" i="2" s="1"/>
  <c r="S170" i="2" s="1"/>
  <c r="S103" i="2"/>
  <c r="S107" i="2" s="1"/>
  <c r="S108" i="2" s="1"/>
  <c r="T56" i="20" l="1"/>
  <c r="S40" i="2"/>
  <c r="S41" i="2" s="1"/>
  <c r="S110" i="2"/>
  <c r="S90" i="4"/>
  <c r="T59" i="20"/>
  <c r="S129" i="2" l="1"/>
  <c r="T48" i="20" s="1"/>
  <c r="T50" i="20" s="1"/>
  <c r="T53" i="20" s="1"/>
  <c r="S143" i="4"/>
  <c r="S144" i="4"/>
  <c r="T57" i="20"/>
  <c r="S91" i="4"/>
  <c r="S93" i="4" s="1"/>
  <c r="S77" i="4" s="1"/>
  <c r="S29" i="3" s="1"/>
  <c r="S113" i="2" l="1"/>
  <c r="S172" i="3"/>
  <c r="S130" i="2"/>
  <c r="S142" i="2" s="1"/>
  <c r="S172" i="2" s="1"/>
  <c r="S145" i="4"/>
</calcChain>
</file>

<file path=xl/sharedStrings.xml><?xml version="1.0" encoding="utf-8"?>
<sst xmlns="http://schemas.openxmlformats.org/spreadsheetml/2006/main" count="1770" uniqueCount="1036">
  <si>
    <t>First Round | NIBC 2024 Global Competition</t>
  </si>
  <si>
    <t>LEGAL DISCLAIMER</t>
  </si>
  <si>
    <r>
      <rPr>
        <b/>
        <sz val="8"/>
        <rFont val="Arial"/>
        <family val="2"/>
      </rPr>
      <t xml:space="preserve">Important Notice: </t>
    </r>
    <r>
      <rPr>
        <sz val="8"/>
        <rFont val="Arial"/>
        <family val="2"/>
      </rPr>
      <t xml:space="preserve">The case model and package including attachments are a copyright of the Board Oversight Committee of the National Investment Banking Competition (NIBC) and intended to be used only by registered competitors in NIBC. The information contained herein is copyrighted, proprietary and has not been reviewed for general external publication or audited and therefore should not be relied on or used for any other purpose than preparing a submission for the the NIBC competition. No one may copy, republish, reproduce or redistribute in any form, including electronic reproduction by "uploading" or "downloading", without prior written consent by the copyright holders. Any such use or violation of copyright will be prosecuted to the full extent of law. </t>
    </r>
  </si>
  <si>
    <r>
      <t xml:space="preserve">For additional </t>
    </r>
    <r>
      <rPr>
        <b/>
        <sz val="8"/>
        <rFont val="Arial"/>
        <family val="2"/>
      </rPr>
      <t>case resources and templates</t>
    </r>
    <r>
      <rPr>
        <sz val="8"/>
        <rFont val="Arial"/>
        <family val="2"/>
      </rPr>
      <t xml:space="preserve"> please refer to the templates section of our training library: </t>
    </r>
  </si>
  <si>
    <t>www.NIBCLive.com</t>
  </si>
  <si>
    <t>SHEET</t>
  </si>
  <si>
    <t>DESCRIPTION</t>
  </si>
  <si>
    <t>Discounted Cash Flow Valuation</t>
  </si>
  <si>
    <t>DCF - Outputs</t>
  </si>
  <si>
    <r>
      <t xml:space="preserve">Summary and model outputs </t>
    </r>
    <r>
      <rPr>
        <sz val="8"/>
        <color theme="5" tint="-0.499984740745262"/>
        <rFont val="Arial"/>
        <family val="2"/>
      </rPr>
      <t>[PowerPoint Output]</t>
    </r>
  </si>
  <si>
    <t>DCF - Assumptions</t>
  </si>
  <si>
    <t>Assumptions and inputs</t>
  </si>
  <si>
    <t>DCF - Financials</t>
  </si>
  <si>
    <t>Historical and projected financial results</t>
  </si>
  <si>
    <t>DCF - Capital Structure</t>
  </si>
  <si>
    <t>Financing assumptions and calculations</t>
  </si>
  <si>
    <t>DCF - Valuation</t>
  </si>
  <si>
    <t>Valuation assumptions and calculations</t>
  </si>
  <si>
    <t>DCF - Assumptions Document</t>
  </si>
  <si>
    <r>
      <t>Summary of key assumptions</t>
    </r>
    <r>
      <rPr>
        <sz val="8"/>
        <color rgb="FF86654A"/>
        <rFont val="Arial"/>
        <family val="2"/>
      </rPr>
      <t xml:space="preserve"> </t>
    </r>
    <r>
      <rPr>
        <sz val="8"/>
        <color theme="5" tint="-0.499984740745262"/>
        <rFont val="Arial"/>
        <family val="2"/>
      </rPr>
      <t>[PowerPoint Output]</t>
    </r>
  </si>
  <si>
    <t>Leveraged Buyout [REFERENCE ONLY]</t>
  </si>
  <si>
    <t>LBO - Outputs</t>
  </si>
  <si>
    <t>Summary of model outputs [REFERENCE ONLY - Not a First Round Deliverable]</t>
  </si>
  <si>
    <t>LBO - Assumptions</t>
  </si>
  <si>
    <t>Assumptions and inputs [REFERENCE ONLY - Not a First Round Deliverable]</t>
  </si>
  <si>
    <t>LBO - Financials</t>
  </si>
  <si>
    <t>Projected financial results [REFERENCE ONLY - Not a First Round Deliverable]</t>
  </si>
  <si>
    <t>LBO - Assumptions Document</t>
  </si>
  <si>
    <t>Summary of key assumptions [REFERENCE ONLY - Not a First Round Deliverable]</t>
  </si>
  <si>
    <t>Trading Comparables Valuation</t>
  </si>
  <si>
    <t>Comps - Selection</t>
  </si>
  <si>
    <r>
      <t xml:space="preserve">Summary of valuation model outputs </t>
    </r>
    <r>
      <rPr>
        <sz val="8"/>
        <color theme="5" tint="-0.499984740745262"/>
        <rFont val="Arial"/>
        <family val="2"/>
      </rPr>
      <t>[PowerPoint Output]</t>
    </r>
  </si>
  <si>
    <t>Comps - Outputs</t>
  </si>
  <si>
    <r>
      <t xml:space="preserve">Summary of comps outputs </t>
    </r>
    <r>
      <rPr>
        <sz val="8"/>
        <color theme="5" tint="-0.499984740745262"/>
        <rFont val="Arial"/>
        <family val="2"/>
      </rPr>
      <t>[PowerPoint Output]</t>
    </r>
  </si>
  <si>
    <t>Comps - Dataset</t>
  </si>
  <si>
    <t>Peergroup dataset and calculations</t>
  </si>
  <si>
    <t>Precedent Transactions Valuation</t>
  </si>
  <si>
    <t>Precedents - Selection</t>
  </si>
  <si>
    <r>
      <t xml:space="preserve">Summary of model outputs </t>
    </r>
    <r>
      <rPr>
        <sz val="8"/>
        <color theme="5" tint="-0.499984740745262"/>
        <rFont val="Arial"/>
        <family val="2"/>
      </rPr>
      <t>[PowerPoint Output]</t>
    </r>
  </si>
  <si>
    <t>Precedents - Dataset</t>
  </si>
  <si>
    <r>
      <t xml:space="preserve">Transaction dataset and calculations </t>
    </r>
    <r>
      <rPr>
        <sz val="8"/>
        <color theme="5" tint="-0.499984740745262"/>
        <rFont val="Arial"/>
        <family val="2"/>
      </rPr>
      <t>[PowerPoint Output - Please Note!]</t>
    </r>
  </si>
  <si>
    <t>MODEL NOTES  &amp; LEGEND</t>
  </si>
  <si>
    <t>Legend for Color Coding [mainly applies to DCF &amp; pages]</t>
  </si>
  <si>
    <t>- Assumptions to be filled in</t>
  </si>
  <si>
    <t>[ Blank ]</t>
  </si>
  <si>
    <t>- Formulas to be filled in</t>
  </si>
  <si>
    <t>- Assumptions are placeholders and should be changed based on discretion</t>
  </si>
  <si>
    <t>Blue Text</t>
  </si>
  <si>
    <t>- Assumptions that should be linked to scenario choosers</t>
  </si>
  <si>
    <t>Orange Text</t>
  </si>
  <si>
    <t>- Inputs or historical figures provided [do not change]</t>
  </si>
  <si>
    <t>- Formulas provided</t>
  </si>
  <si>
    <t>Black Text</t>
  </si>
  <si>
    <t>Important Notes</t>
  </si>
  <si>
    <r>
      <t xml:space="preserve">- </t>
    </r>
    <r>
      <rPr>
        <sz val="8"/>
        <color theme="1"/>
        <rFont val="Arial"/>
        <family val="2"/>
      </rPr>
      <t>The above does not apply to summary output pages, which for the most are already fully linked up</t>
    </r>
  </si>
  <si>
    <t>- Cells that have existing formulas or inputs should not be modified regarldess of shading unless specifically indicated</t>
  </si>
  <si>
    <t>- Currencies are in pound sterlings, unless otherwise specified</t>
  </si>
  <si>
    <t>- Amounts are in millions, unless otherwise specified</t>
  </si>
  <si>
    <t>- Cash flows are assumed to occur at the end of the period</t>
  </si>
  <si>
    <t>DCF Summary - Operating Cashflows</t>
  </si>
  <si>
    <t>Cashflow Forecast</t>
  </si>
  <si>
    <t>* All amounts in millions of pounds sterling except per share and multiples</t>
  </si>
  <si>
    <t>Total Net Sales</t>
  </si>
  <si>
    <t>Net Sales Growth</t>
  </si>
  <si>
    <t>Total Cost of Sales</t>
  </si>
  <si>
    <t>Total Operating Expense</t>
  </si>
  <si>
    <t>EBITDA</t>
  </si>
  <si>
    <t>Adjusted EBITDA</t>
  </si>
  <si>
    <t>EBITDA margin</t>
  </si>
  <si>
    <t>EBITDA growth</t>
  </si>
  <si>
    <t>DCF Summary - Financing Cashflows</t>
  </si>
  <si>
    <t>Other cashflow from operation adjustments</t>
  </si>
  <si>
    <t>Working capital and other adjustments</t>
  </si>
  <si>
    <t>Capital Expenditure</t>
  </si>
  <si>
    <t>Free Cashflows / Cashflows for Debt Service</t>
  </si>
  <si>
    <t>Net Finance Income (Charges)</t>
  </si>
  <si>
    <t>Issuance (repayment) of debt</t>
  </si>
  <si>
    <t xml:space="preserve">Other </t>
  </si>
  <si>
    <t>Cashflow Available for Equity Distributions</t>
  </si>
  <si>
    <t>Equity issuance / repurchase</t>
  </si>
  <si>
    <t>Dividends (incl. distributions of cash balance)</t>
  </si>
  <si>
    <t>Net Cashflows</t>
  </si>
  <si>
    <t>Ending Cash Balance</t>
  </si>
  <si>
    <t>Ending Debt Balance</t>
  </si>
  <si>
    <t>Ending Net Debt Balance</t>
  </si>
  <si>
    <t>Interest Expense</t>
  </si>
  <si>
    <t>Net Debt to EBITDA</t>
  </si>
  <si>
    <t>Adjusted EBITDA / Interest Expense</t>
  </si>
  <si>
    <t>Diluted shares outstanding (millions)</t>
  </si>
  <si>
    <t xml:space="preserve"> </t>
  </si>
  <si>
    <t>Check: Change in cash &amp; equivalents</t>
  </si>
  <si>
    <t>DCF Summary - Valuation Results</t>
  </si>
  <si>
    <t>DCF Valuation Results</t>
  </si>
  <si>
    <t>Add: Depreciation, amortization &amp; impairment</t>
  </si>
  <si>
    <t>Less: Capital Expenditures including funded by share issuance</t>
  </si>
  <si>
    <t>Free cash flows to the firm for valuation (FCFF)</t>
  </si>
  <si>
    <t>Enterprise Value Multiple Method</t>
  </si>
  <si>
    <t>WACC Assumptions</t>
  </si>
  <si>
    <t>Valuation date</t>
  </si>
  <si>
    <t>Benchmark rate</t>
  </si>
  <si>
    <t>Terminal Value</t>
  </si>
  <si>
    <t>Expected market return</t>
  </si>
  <si>
    <t>Present Value of Terminal Value</t>
  </si>
  <si>
    <t>Market risk premium</t>
  </si>
  <si>
    <t>Present Value of Forecast FCF</t>
  </si>
  <si>
    <t>Beta</t>
  </si>
  <si>
    <t>Enterprise Value</t>
  </si>
  <si>
    <t>CAPM Cost of Equity</t>
  </si>
  <si>
    <t>Less: Net Debt</t>
  </si>
  <si>
    <t>Cost of debt</t>
  </si>
  <si>
    <t>Less: Unfunded Pension Liabilities (After-Tax)</t>
  </si>
  <si>
    <t>Tax rate</t>
  </si>
  <si>
    <t>Less: Non-controlling Interest</t>
  </si>
  <si>
    <t>After Tax Cost of Debt</t>
  </si>
  <si>
    <t>Add: Fair Market Value of associates and joint ventures</t>
  </si>
  <si>
    <t>Target gearing</t>
  </si>
  <si>
    <t>Equity Value (Market Cap)</t>
  </si>
  <si>
    <t>WACC</t>
  </si>
  <si>
    <t>Shares Outstanding</t>
  </si>
  <si>
    <t>Fair Value Share Price (GBP)</t>
  </si>
  <si>
    <t>Fair Value Share Price (USD)</t>
  </si>
  <si>
    <t>Model Timing Assumptions</t>
  </si>
  <si>
    <t>Projected Fiscal Years Ending June 31</t>
  </si>
  <si>
    <t>Unit</t>
  </si>
  <si>
    <t>Type</t>
  </si>
  <si>
    <t>Company Name</t>
  </si>
  <si>
    <t>[name]</t>
  </si>
  <si>
    <t>[input]</t>
  </si>
  <si>
    <t>Diageo PLC</t>
  </si>
  <si>
    <t>Present value date</t>
  </si>
  <si>
    <t>[date]</t>
  </si>
  <si>
    <t>Periodicity</t>
  </si>
  <si>
    <t>[#]</t>
  </si>
  <si>
    <t>Months per period</t>
  </si>
  <si>
    <t>[calc]</t>
  </si>
  <si>
    <t>Days per period</t>
  </si>
  <si>
    <t>Number of historical periods in model</t>
  </si>
  <si>
    <t>Number of forecasted periods in model</t>
  </si>
  <si>
    <t>Months per year</t>
  </si>
  <si>
    <t>Thousands</t>
  </si>
  <si>
    <t>Most recent reporting date</t>
  </si>
  <si>
    <t xml:space="preserve">Next reporting date </t>
  </si>
  <si>
    <t>First historic reporting date in model</t>
  </si>
  <si>
    <t>Last projected reporting date in model</t>
  </si>
  <si>
    <t>Most recent period</t>
  </si>
  <si>
    <t>[year]</t>
  </si>
  <si>
    <t>Current period</t>
  </si>
  <si>
    <t>First historic period in model</t>
  </si>
  <si>
    <t>Last projected period in model</t>
  </si>
  <si>
    <t>Key Scenario Chooser</t>
  </si>
  <si>
    <t>Key Debt Outputs</t>
  </si>
  <si>
    <t>[times]</t>
  </si>
  <si>
    <t>Scn</t>
  </si>
  <si>
    <t>Scenario 1 - Gross Margin %</t>
  </si>
  <si>
    <t>Scenario 2 - Gross Margin %</t>
  </si>
  <si>
    <t>Scenario 3 - Gross Margin %</t>
  </si>
  <si>
    <t>Scenario 1 - Marketing Expense Margin %</t>
  </si>
  <si>
    <t>Scenario 2 - Marketing Expense Margin %</t>
  </si>
  <si>
    <t>Scenario 3 - Marketing Expense Margin %</t>
  </si>
  <si>
    <t>Scenario 1 - Other Operating Expense Margin %</t>
  </si>
  <si>
    <t>Scenario 2 - Other Operating Expense Margin %</t>
  </si>
  <si>
    <t>Scenario 3 - Other Operating Expense Margin %</t>
  </si>
  <si>
    <t>Revenue Forecast Model</t>
  </si>
  <si>
    <t>Net Sales</t>
  </si>
  <si>
    <t>North America Net Sales</t>
  </si>
  <si>
    <t>[£mm]</t>
  </si>
  <si>
    <t>[%]</t>
  </si>
  <si>
    <t>Europe Net Sales</t>
  </si>
  <si>
    <t>Africa Net Sales</t>
  </si>
  <si>
    <t>LatAm and Caribbean Net Sales</t>
  </si>
  <si>
    <t>Asia Pacific Net Sales</t>
  </si>
  <si>
    <t>Corporate Net Sales</t>
  </si>
  <si>
    <t>Total Net Sales Growth</t>
  </si>
  <si>
    <t xml:space="preserve">Operating Cost Forecast </t>
  </si>
  <si>
    <t>Cost of Net Sales</t>
  </si>
  <si>
    <t>As a % of Net Sales</t>
  </si>
  <si>
    <t>Gross Margin (%)</t>
  </si>
  <si>
    <t>Cost of Net Sales (%)</t>
  </si>
  <si>
    <t>Total Cost of Net Sales</t>
  </si>
  <si>
    <t>Marketing Expense</t>
  </si>
  <si>
    <t>Marketing Expense (%)</t>
  </si>
  <si>
    <t>Total Marketing Expense</t>
  </si>
  <si>
    <t>Other Operating Expense</t>
  </si>
  <si>
    <t>Other Operating Expense (%)</t>
  </si>
  <si>
    <t>Total Other Operating Expense</t>
  </si>
  <si>
    <t>EBITDA [for reference only]</t>
  </si>
  <si>
    <t>EBITDA as % of Net Sales</t>
  </si>
  <si>
    <t xml:space="preserve"> EBITDA Margin</t>
  </si>
  <si>
    <t>Total EBITDA</t>
  </si>
  <si>
    <t>Working Capital Forecast Model</t>
  </si>
  <si>
    <t>Working Capital and Other</t>
  </si>
  <si>
    <t>% of Net Sales or COGS</t>
  </si>
  <si>
    <t>Inventories</t>
  </si>
  <si>
    <t>Trade and other receivables</t>
  </si>
  <si>
    <t>Trade and other payables</t>
  </si>
  <si>
    <t>Short-term Provisions</t>
  </si>
  <si>
    <t>Net Working Capital</t>
  </si>
  <si>
    <t>Net Working Capital as % of net sales</t>
  </si>
  <si>
    <t>Capital Expenditures &amp; Capital Assets Forecast Model</t>
  </si>
  <si>
    <t>1) Addition of Capital Assets &amp; Liabilities</t>
  </si>
  <si>
    <r>
      <rPr>
        <b/>
        <sz val="8"/>
        <rFont val="Arial"/>
        <family val="2"/>
      </rPr>
      <t xml:space="preserve">PP&amp;E </t>
    </r>
    <r>
      <rPr>
        <sz val="8"/>
        <rFont val="Arial"/>
        <family val="2"/>
      </rPr>
      <t>- Opening Balance</t>
    </r>
  </si>
  <si>
    <t>Additions</t>
  </si>
  <si>
    <t>Depreciation</t>
  </si>
  <si>
    <t>Adjustment (including acquisitions &amp; disposals)</t>
  </si>
  <si>
    <t>Ending Balance</t>
  </si>
  <si>
    <t>Addition as % of net sales</t>
  </si>
  <si>
    <t xml:space="preserve">[calc] </t>
  </si>
  <si>
    <t>Depreciation as % of additions</t>
  </si>
  <si>
    <r>
      <t xml:space="preserve">Right-Of-Use Assets </t>
    </r>
    <r>
      <rPr>
        <sz val="8"/>
        <rFont val="Arial"/>
        <family val="2"/>
      </rPr>
      <t>- Opening Balance</t>
    </r>
  </si>
  <si>
    <r>
      <t xml:space="preserve">Intangible Assets </t>
    </r>
    <r>
      <rPr>
        <sz val="8"/>
        <rFont val="Arial"/>
        <family val="2"/>
      </rPr>
      <t>- Opening Balance</t>
    </r>
  </si>
  <si>
    <t>Amortization &amp; Impairment</t>
  </si>
  <si>
    <t>Additions as % of net sales</t>
  </si>
  <si>
    <t>Amortization &amp; Impairment as % of additions</t>
  </si>
  <si>
    <t>Total Depreciation, Amortization &amp; Impairment</t>
  </si>
  <si>
    <t>Other Assumptions</t>
  </si>
  <si>
    <t>1) Finance Income Assumptions</t>
  </si>
  <si>
    <t>Cash &amp; cash equivalents</t>
  </si>
  <si>
    <t>Interest income % of cash &amp; cash equivalents</t>
  </si>
  <si>
    <t>Interest income</t>
  </si>
  <si>
    <t>Other finance income</t>
  </si>
  <si>
    <t>Total Finance Income</t>
  </si>
  <si>
    <t>2) Other Income Statement Assumptions</t>
  </si>
  <si>
    <t>Inflation [not in use]</t>
  </si>
  <si>
    <t>Inflation Index [not in use]</t>
  </si>
  <si>
    <t>3) Other Finance Charges Assumptions</t>
  </si>
  <si>
    <t>Fair value adjustment on financial instruments</t>
  </si>
  <si>
    <t>Other finance charges</t>
  </si>
  <si>
    <t>Total other finance charges</t>
  </si>
  <si>
    <t>4) Shares Outstanding Assumptions</t>
  </si>
  <si>
    <t>Beginning Shares Outstanding</t>
  </si>
  <si>
    <t>Share Buyback Programme</t>
  </si>
  <si>
    <t>Number of Shares Cancelled</t>
  </si>
  <si>
    <t>Average buyback share price</t>
  </si>
  <si>
    <t>Share Issuance Proceeds</t>
  </si>
  <si>
    <t>Number of Shares Issued</t>
  </si>
  <si>
    <t>Dilutive potential ordinary shares</t>
  </si>
  <si>
    <t>Other adjustment and stock based compensation</t>
  </si>
  <si>
    <t>Historical and Projected Income Statement</t>
  </si>
  <si>
    <t>Gross Sales</t>
  </si>
  <si>
    <t>Excise Taxes</t>
  </si>
  <si>
    <t>YoY Net Sales Growth</t>
  </si>
  <si>
    <t>Cost of Sales</t>
  </si>
  <si>
    <t>GOGS Margin %</t>
  </si>
  <si>
    <t>Gross Margin</t>
  </si>
  <si>
    <t>Gross Margin %</t>
  </si>
  <si>
    <t>Marketing</t>
  </si>
  <si>
    <t>Other Operating Items</t>
  </si>
  <si>
    <t>Total Operating Expenses</t>
  </si>
  <si>
    <t>Operating Expenses Margin %</t>
  </si>
  <si>
    <t>Operating Profit</t>
  </si>
  <si>
    <t>Non-operating items</t>
  </si>
  <si>
    <t>Finance income</t>
  </si>
  <si>
    <t>Finance charges</t>
  </si>
  <si>
    <t>Share of after tax results of associates and joint ventures</t>
  </si>
  <si>
    <t>Earnings before taxes</t>
  </si>
  <si>
    <t>Provision for income taxes</t>
  </si>
  <si>
    <t>Net income (loss)</t>
  </si>
  <si>
    <t>Equity shareholders of the parent company</t>
  </si>
  <si>
    <t>Non-controlling interests</t>
  </si>
  <si>
    <t>Diluted shares outstanding (mm)</t>
  </si>
  <si>
    <t>Diluted adjusted earnings (loss) per share attributable to parent company</t>
  </si>
  <si>
    <t>Other Comprehensive Income (Loss)</t>
  </si>
  <si>
    <t>Total Comprehensive Income (Loss)</t>
  </si>
  <si>
    <t>Depreciation, amortization and impairment</t>
  </si>
  <si>
    <t xml:space="preserve">Total EBITDA </t>
  </si>
  <si>
    <t>Lease Interest</t>
  </si>
  <si>
    <t xml:space="preserve">Adjusted EBITDA </t>
  </si>
  <si>
    <t>Adjusted EBITDA Margin %</t>
  </si>
  <si>
    <t>Historical and Projected Cash Flow Statement</t>
  </si>
  <si>
    <t>Funds From Operating Activities</t>
  </si>
  <si>
    <t>Dividends received</t>
  </si>
  <si>
    <t>Post employment payments less amounts included in operating profit</t>
  </si>
  <si>
    <t>Other items</t>
  </si>
  <si>
    <t>Interest received</t>
  </si>
  <si>
    <t>Interest paid</t>
  </si>
  <si>
    <t>Taxation paid</t>
  </si>
  <si>
    <t>Funds from operations</t>
  </si>
  <si>
    <t>Trade and other payables and provisions</t>
  </si>
  <si>
    <t>Change in working capital</t>
  </si>
  <si>
    <t>Cash Flow from Operating Activities</t>
  </si>
  <si>
    <t>Funds From Investing Activities</t>
  </si>
  <si>
    <t>Disposal of property, plant and equipment &amp; intangibles</t>
  </si>
  <si>
    <t>Purchase of property, plant and equipment &amp; intangibles</t>
  </si>
  <si>
    <t>Movements in loans and other investments</t>
  </si>
  <si>
    <t>Sale of businesses and brands</t>
  </si>
  <si>
    <t>Acquisition of businesses</t>
  </si>
  <si>
    <t>Cash Flow from Investing Activities</t>
  </si>
  <si>
    <t>Cash flows available for debt repayment</t>
  </si>
  <si>
    <t>Funds From Financing Activities</t>
  </si>
  <si>
    <t>Share buyback programme</t>
  </si>
  <si>
    <t>Proceeds from issue of share capital</t>
  </si>
  <si>
    <t>Net sale of own shares for share schemes</t>
  </si>
  <si>
    <t>Purchase of treasury shares in respect of subsidiaries</t>
  </si>
  <si>
    <t>Dividends paid to non-controlling interests</t>
  </si>
  <si>
    <t>Proceeds from bonds</t>
  </si>
  <si>
    <t>Change in other short-term borrowings</t>
  </si>
  <si>
    <t>Repayment of bonds</t>
  </si>
  <si>
    <t>Purchase of shares of non-controlling interests</t>
  </si>
  <si>
    <t>Credit facility for target balance</t>
  </si>
  <si>
    <t>Net movements in other borrowings</t>
  </si>
  <si>
    <t>Change in lease liabilities</t>
  </si>
  <si>
    <t>Equity dividends paid</t>
  </si>
  <si>
    <t>Cash Flow from Financing Activities</t>
  </si>
  <si>
    <t>Beginning net cash balance</t>
  </si>
  <si>
    <t>Exchange differences</t>
  </si>
  <si>
    <t>Change in net cash &amp; equivalents</t>
  </si>
  <si>
    <t>Ending net cash balance</t>
  </si>
  <si>
    <t>Cash &amp; equivalents</t>
  </si>
  <si>
    <t>Bank overdrafts</t>
  </si>
  <si>
    <t>Check:</t>
  </si>
  <si>
    <t>Check Cash</t>
  </si>
  <si>
    <t>Side Calculations for Financing Sheet</t>
  </si>
  <si>
    <t>Capital Expenditures</t>
  </si>
  <si>
    <t>Change in Working Capital</t>
  </si>
  <si>
    <t>Other adjustments to income</t>
  </si>
  <si>
    <t>Historical and Projected Balance Sheet Statement</t>
  </si>
  <si>
    <t>Assets</t>
  </si>
  <si>
    <t>Current Assets</t>
  </si>
  <si>
    <t>Assets held for sale</t>
  </si>
  <si>
    <t>Other financial assets</t>
  </si>
  <si>
    <t>Cash and cash equivalents</t>
  </si>
  <si>
    <t>Total Current Assets</t>
  </si>
  <si>
    <t>Non-current Assets</t>
  </si>
  <si>
    <t>Intangible assets</t>
  </si>
  <si>
    <t>Property, plant &amp; equipment</t>
  </si>
  <si>
    <t>Biological assets</t>
  </si>
  <si>
    <t>Investment In associates and joint ventures</t>
  </si>
  <si>
    <t>Other investments</t>
  </si>
  <si>
    <t>Other receivables</t>
  </si>
  <si>
    <t xml:space="preserve">Deferred tax assets </t>
  </si>
  <si>
    <t>Post employment benefit assets</t>
  </si>
  <si>
    <t>Total Assets</t>
  </si>
  <si>
    <t>Liabilities &amp; Shareholders Equity</t>
  </si>
  <si>
    <t>Short-term borrowings</t>
  </si>
  <si>
    <t>Other short-term financial liabilities</t>
  </si>
  <si>
    <t>Share buyback liability</t>
  </si>
  <si>
    <t>Liabilities held for sale</t>
  </si>
  <si>
    <t>Corporate tax payables</t>
  </si>
  <si>
    <t>Total Current Liabilities</t>
  </si>
  <si>
    <t>Long-term borrowings</t>
  </si>
  <si>
    <t>Other long-term financial liabilities</t>
  </si>
  <si>
    <t>Other payables</t>
  </si>
  <si>
    <t>Long-term Provisions</t>
  </si>
  <si>
    <t>Deferred tax liabilities</t>
  </si>
  <si>
    <t>Post employment benefit liabilities</t>
  </si>
  <si>
    <t>Total Liabilities</t>
    <phoneticPr fontId="0" type="noConversion"/>
  </si>
  <si>
    <t>Share capital</t>
  </si>
  <si>
    <t>Share premium</t>
  </si>
  <si>
    <t>Other reserves</t>
  </si>
  <si>
    <t>Retained earnings</t>
  </si>
  <si>
    <t>Equity attributable to equity shareholders of the parent company</t>
  </si>
  <si>
    <t>Total Shareholders' Equity</t>
    <phoneticPr fontId="0" type="noConversion"/>
  </si>
  <si>
    <t>Total Liabilities &amp; Shareholders Equity</t>
    <phoneticPr fontId="0" type="noConversion"/>
  </si>
  <si>
    <t>Check: A = L + E</t>
  </si>
  <si>
    <t>Debt Drawdown and Repayment Summary</t>
  </si>
  <si>
    <t>Total Short-term Debt</t>
  </si>
  <si>
    <t>Bank Overdraft</t>
  </si>
  <si>
    <t>Bank Overdraft (Beginning)</t>
  </si>
  <si>
    <t xml:space="preserve">Addition </t>
  </si>
  <si>
    <t>Repayment</t>
  </si>
  <si>
    <t>Bank Overdraft (Ending)</t>
  </si>
  <si>
    <t>Bank overdraft as % of beginning cash &amp; cash equivalents</t>
  </si>
  <si>
    <t>Other Short-term Debt</t>
  </si>
  <si>
    <t>Total Long-term Debt Outstanding Summary</t>
  </si>
  <si>
    <t>Beginning Debt Outstanding</t>
  </si>
  <si>
    <t>New Additions</t>
  </si>
  <si>
    <t>Repayments</t>
  </si>
  <si>
    <t>Fair Value Adjustments</t>
  </si>
  <si>
    <t>Ending Debt Outstanding</t>
  </si>
  <si>
    <t>A. Bonds</t>
  </si>
  <si>
    <t>Bonds Outstanding (Beginning)</t>
  </si>
  <si>
    <t xml:space="preserve">New Bonds Issued </t>
  </si>
  <si>
    <t>[calc, input]</t>
  </si>
  <si>
    <t>Scheduled Repayments</t>
  </si>
  <si>
    <r>
      <t>Bonds Outstanding (Ending)</t>
    </r>
    <r>
      <rPr>
        <vertAlign val="superscript"/>
        <sz val="8"/>
        <rFont val="Arial"/>
        <family val="2"/>
      </rPr>
      <t>1</t>
    </r>
  </si>
  <si>
    <r>
      <rPr>
        <vertAlign val="superscript"/>
        <sz val="8"/>
        <rFont val="Arial"/>
        <family val="2"/>
      </rPr>
      <t>1</t>
    </r>
    <r>
      <rPr>
        <sz val="8"/>
        <rFont val="Arial"/>
        <family val="2"/>
      </rPr>
      <t>Assumes short-term bonds will be all repaid</t>
    </r>
  </si>
  <si>
    <t>B. Long-term Bank Loans</t>
  </si>
  <si>
    <t>Bank Loans (Beginning)</t>
  </si>
  <si>
    <t>Debt Issuance for Min Cash Balance</t>
  </si>
  <si>
    <t>Addition for Leverage Target</t>
  </si>
  <si>
    <t>Repayment for Leverage Target</t>
  </si>
  <si>
    <r>
      <t>Bank Loans (Ending)</t>
    </r>
    <r>
      <rPr>
        <vertAlign val="superscript"/>
        <sz val="8"/>
        <rFont val="Arial"/>
        <family val="2"/>
      </rPr>
      <t>2</t>
    </r>
  </si>
  <si>
    <t>Effective Interest Rate</t>
  </si>
  <si>
    <t>Total Interest Expense on Borrowings</t>
  </si>
  <si>
    <t>Other Long-term Financial Liabilities</t>
  </si>
  <si>
    <t>Lease Liabilities</t>
  </si>
  <si>
    <t>Lease Liabilities Amount Outstanding (Beginning)</t>
  </si>
  <si>
    <t>Addition (net of discount)</t>
  </si>
  <si>
    <t>Repayment (net of discount)</t>
  </si>
  <si>
    <t>Lease Liabilities Amount Outstanding (Ending)</t>
  </si>
  <si>
    <r>
      <t>Interest Expense</t>
    </r>
    <r>
      <rPr>
        <vertAlign val="superscript"/>
        <sz val="8"/>
        <rFont val="Arial"/>
        <family val="2"/>
      </rPr>
      <t>3</t>
    </r>
  </si>
  <si>
    <t>Lease liabilities as % of PP&amp;E</t>
  </si>
  <si>
    <t>Other Long-term Fiancial Liabilities</t>
  </si>
  <si>
    <t>Total Other Long-term Financial Liabilities</t>
  </si>
  <si>
    <t>Interest Expense on bonds, overdrafts, and bank loans</t>
  </si>
  <si>
    <t>Interest Expense on lease borrowings</t>
  </si>
  <si>
    <r>
      <t>Total Interest Expense</t>
    </r>
    <r>
      <rPr>
        <b/>
        <vertAlign val="superscript"/>
        <sz val="8"/>
        <rFont val="Arial"/>
        <family val="2"/>
      </rPr>
      <t>3</t>
    </r>
  </si>
  <si>
    <r>
      <rPr>
        <vertAlign val="superscript"/>
        <sz val="8"/>
        <rFont val="Arial"/>
        <family val="2"/>
      </rPr>
      <t xml:space="preserve">2 </t>
    </r>
    <r>
      <rPr>
        <sz val="8"/>
        <rFont val="Arial"/>
        <family val="2"/>
      </rPr>
      <t>The credit facility is modeled as revolver to achieve target debt balance</t>
    </r>
  </si>
  <si>
    <r>
      <rPr>
        <vertAlign val="superscript"/>
        <sz val="8"/>
        <rFont val="Arial"/>
        <family val="2"/>
      </rPr>
      <t xml:space="preserve">3 </t>
    </r>
    <r>
      <rPr>
        <sz val="8"/>
        <rFont val="Arial"/>
        <family val="2"/>
      </rPr>
      <t xml:space="preserve">To avoid need for macros to break iteration, interest expense is approximated based on opening account balances; interest expense should be estimated based on a blended interest rate </t>
    </r>
  </si>
  <si>
    <t>Target Debt Sizing</t>
  </si>
  <si>
    <t xml:space="preserve">Sizing of Debt Drawdown </t>
  </si>
  <si>
    <r>
      <t>Net Debt / Adjusted EBITDA (Input)</t>
    </r>
    <r>
      <rPr>
        <vertAlign val="superscript"/>
        <sz val="8"/>
        <rFont val="Arial"/>
        <family val="2"/>
      </rPr>
      <t>1,2,3,4</t>
    </r>
  </si>
  <si>
    <t>Less: Target Net Cash Balance</t>
  </si>
  <si>
    <t>[input, calc]</t>
  </si>
  <si>
    <t>Dividends % of Extra Cash</t>
  </si>
  <si>
    <t>Net Debt / Adjusted EBITDA (Output)</t>
  </si>
  <si>
    <t>Adjusted EBITDA / Interest Expense (Output)</t>
  </si>
  <si>
    <r>
      <rPr>
        <vertAlign val="superscript"/>
        <sz val="8"/>
        <rFont val="Arial"/>
        <family val="2"/>
      </rPr>
      <t>1</t>
    </r>
    <r>
      <rPr>
        <sz val="8"/>
        <rFont val="Arial"/>
        <family val="2"/>
      </rPr>
      <t xml:space="preserve"> Any shortfall in operating cashflows that would cause the cash balance to dip below zerio will automatically be funded by additional draws on the credit facility</t>
    </r>
  </si>
  <si>
    <r>
      <rPr>
        <vertAlign val="superscript"/>
        <sz val="8"/>
        <rFont val="Arial"/>
        <family val="2"/>
      </rPr>
      <t>2</t>
    </r>
    <r>
      <rPr>
        <sz val="8"/>
        <rFont val="Arial"/>
        <family val="2"/>
      </rPr>
      <t xml:space="preserve"> Subject to funding any operating deficits to prevent the cash balance from turning negative, this section calculates how much debt would need to be drawn or repaid in order to achieve the targeteted debt metric</t>
    </r>
  </si>
  <si>
    <r>
      <rPr>
        <vertAlign val="superscript"/>
        <sz val="8"/>
        <rFont val="Arial"/>
        <family val="2"/>
      </rPr>
      <t>3</t>
    </r>
    <r>
      <rPr>
        <sz val="8"/>
        <rFont val="Arial"/>
        <family val="2"/>
      </rPr>
      <t xml:space="preserve"> The input for sizing the target debt amount is Net Debt / EBITDA, which is common, although other metrics should be evaluated in conjunction with setting a Nebt Debt / EBITDA target</t>
    </r>
  </si>
  <si>
    <r>
      <rPr>
        <vertAlign val="superscript"/>
        <sz val="8"/>
        <rFont val="Arial"/>
        <family val="2"/>
      </rPr>
      <t xml:space="preserve">4 </t>
    </r>
    <r>
      <rPr>
        <sz val="8"/>
        <rFont val="Arial"/>
        <family val="2"/>
      </rPr>
      <t>Residual cash remaining in the system is determined by the dividend payout ratio in the below section</t>
    </r>
  </si>
  <si>
    <t>Debt Outputs</t>
  </si>
  <si>
    <t>Total Long-term Debt</t>
  </si>
  <si>
    <t>Other Short-term Debt (excluding overdrafts)</t>
  </si>
  <si>
    <t>Derivative Financial Instruments</t>
  </si>
  <si>
    <r>
      <t>Less: Net Cash &amp; Cash Equivalents</t>
    </r>
    <r>
      <rPr>
        <vertAlign val="superscript"/>
        <sz val="8"/>
        <rFont val="Arial"/>
        <family val="2"/>
      </rPr>
      <t>1</t>
    </r>
  </si>
  <si>
    <t>Net Debt</t>
  </si>
  <si>
    <t>Post Employment Benefit Liabilities (Pre-Tax)</t>
  </si>
  <si>
    <t>Adjusted Net Debt</t>
  </si>
  <si>
    <t>Interest Expense (on average balance for debt sizing)</t>
  </si>
  <si>
    <r>
      <rPr>
        <vertAlign val="superscript"/>
        <sz val="8"/>
        <rFont val="Arial"/>
        <family val="2"/>
      </rPr>
      <t>1</t>
    </r>
    <r>
      <rPr>
        <sz val="8"/>
        <rFont val="Arial"/>
        <family val="2"/>
      </rPr>
      <t>Reflects changes in bank overdraft for projected periods</t>
    </r>
  </si>
  <si>
    <t>Target Debt Cap</t>
  </si>
  <si>
    <t xml:space="preserve">Use debt cap?      </t>
  </si>
  <si>
    <t>Target Adjusted Net Debt Ending Balance</t>
  </si>
  <si>
    <t>Interim Calculation</t>
  </si>
  <si>
    <t>Target total net debt</t>
  </si>
  <si>
    <t>Target net cash balance</t>
  </si>
  <si>
    <t>Target total debt</t>
  </si>
  <si>
    <t>Target long-term debt balance</t>
  </si>
  <si>
    <t>Opening long-term debt balance</t>
  </si>
  <si>
    <t>Target long-term debt addition</t>
  </si>
  <si>
    <t>Long-term debt addition before bank loan leverage target</t>
  </si>
  <si>
    <t>Long-term debt repayment before bank loan leverage target</t>
  </si>
  <si>
    <t>Bank loan addition for minimum cash balance</t>
  </si>
  <si>
    <t>Addition of bank loan for leverage target</t>
  </si>
  <si>
    <t>Cashflow for Debt Drawdown for Min Cash Balance</t>
  </si>
  <si>
    <t>Repayment for leverage target</t>
  </si>
  <si>
    <t>Total extra cash before dividend &amp; share repurchase</t>
  </si>
  <si>
    <t>Share buyback</t>
  </si>
  <si>
    <t>Dividend</t>
  </si>
  <si>
    <t>Share Buyback % of Extra Cash Available</t>
  </si>
  <si>
    <t>Dividends % of Extra Cash Available</t>
  </si>
  <si>
    <t>Cashflows Available for Equity</t>
  </si>
  <si>
    <t>Cashflows Available for Period</t>
  </si>
  <si>
    <t>Cashflow available for debt service</t>
  </si>
  <si>
    <t>Scheduled Debt Addition</t>
  </si>
  <si>
    <t>Scheduled Debt Repayment</t>
  </si>
  <si>
    <t>Cash at beginning of period</t>
  </si>
  <si>
    <t>Less: Target Cash Balance (negative)</t>
  </si>
  <si>
    <t>Excess cash balance for cash</t>
  </si>
  <si>
    <t>Required Funding to Maintain Min Cash Balance</t>
  </si>
  <si>
    <t>Excess Funds above Min Cash Balance</t>
  </si>
  <si>
    <t>Bank loan Issuance for Min Cash Balance</t>
  </si>
  <si>
    <t>Bank loan Issuance for Leverage Target [not in use]</t>
  </si>
  <si>
    <t>Addition (Repayment) on Lease Liabilities</t>
  </si>
  <si>
    <t>Cashflow after Debt Drawdown and Repayment [not in use]</t>
  </si>
  <si>
    <t>Dividend Cover Ratio (for reference only)</t>
  </si>
  <si>
    <t>Dividends per Share</t>
  </si>
  <si>
    <t>Dividend Cover Ratio</t>
  </si>
  <si>
    <t>Dividends Paid</t>
  </si>
  <si>
    <t>Common Equity, Retained Earnings &amp; Other Reserve</t>
  </si>
  <si>
    <t>Share capital (beginning balance)</t>
  </si>
  <si>
    <t>Equity issuance</t>
  </si>
  <si>
    <t>Adjustments and stock compensation</t>
  </si>
  <si>
    <t>Share capital (ending balance)</t>
  </si>
  <si>
    <t>Retained earnings beginning of year</t>
  </si>
  <si>
    <t xml:space="preserve">Net income </t>
  </si>
  <si>
    <t>Other comprehensive income (other retained earnings)</t>
  </si>
  <si>
    <t>Dividends</t>
  </si>
  <si>
    <t>Other adjustments and stock compensation</t>
  </si>
  <si>
    <t>Retained earnings end of year</t>
  </si>
  <si>
    <t>Other reserve beginning of year</t>
  </si>
  <si>
    <t>Other comprehensive income (hedging &amp; exchange)</t>
  </si>
  <si>
    <t>Other adjustments</t>
  </si>
  <si>
    <t>Other reserve end of year</t>
  </si>
  <si>
    <t>Non-controlling Interests beginning of year</t>
  </si>
  <si>
    <t>Net Income</t>
  </si>
  <si>
    <t>Other comprehensive income (non-controlling interest)</t>
  </si>
  <si>
    <t>Net purchase of shares of non-controlling interests (excluding retained earnings)</t>
  </si>
  <si>
    <t>Non-controlling Interest end of year</t>
  </si>
  <si>
    <t>Assumptions</t>
  </si>
  <si>
    <t>WACC Calculation</t>
  </si>
  <si>
    <t>FCFF Fair Value Multiple Method [select 1 or 0 and input multiple]</t>
  </si>
  <si>
    <t>EBITDA Multiple</t>
  </si>
  <si>
    <t>[1=EV/EBITDA; 0=EV/Revenue]</t>
  </si>
  <si>
    <t>Last forecast EBITDA</t>
  </si>
  <si>
    <t>Revenue Multiple</t>
  </si>
  <si>
    <t>Last forecast Revenue</t>
  </si>
  <si>
    <t>CAPM Cost Of Equity</t>
  </si>
  <si>
    <t>Terminal value</t>
  </si>
  <si>
    <t>PV of terminal value (apply discount factor below)</t>
  </si>
  <si>
    <t>Terminal value as % of Enterprise Value</t>
  </si>
  <si>
    <t>After Tax Cost Of Debt</t>
  </si>
  <si>
    <t>PV of forecast FCF</t>
  </si>
  <si>
    <t>Forecast period as % of Enterprise Value</t>
  </si>
  <si>
    <t>Debt (hardcode as of valuation date)</t>
  </si>
  <si>
    <t>Less: Cash (hardcode as of valuation date)</t>
  </si>
  <si>
    <t>Valuation Date</t>
  </si>
  <si>
    <t>Next Year End Date</t>
  </si>
  <si>
    <r>
      <rPr>
        <vertAlign val="superscript"/>
        <sz val="8"/>
        <rFont val="Arial"/>
        <family val="2"/>
      </rPr>
      <t>1</t>
    </r>
    <r>
      <rPr>
        <sz val="8"/>
        <rFont val="Arial"/>
        <family val="2"/>
      </rPr>
      <t xml:space="preserve">Fair market value of associates and joint ventures is manually set to 0 because adjusted EBIT </t>
    </r>
  </si>
  <si>
    <r>
      <t>Add: Fair Market Value of associates and joint ventures</t>
    </r>
    <r>
      <rPr>
        <vertAlign val="superscript"/>
        <sz val="8"/>
        <rFont val="Arial"/>
        <family val="2"/>
      </rPr>
      <t>1</t>
    </r>
  </si>
  <si>
    <t xml:space="preserve">has already included the share of after tax results of associates and joint ventures </t>
  </si>
  <si>
    <t>Fair Value Share Price</t>
  </si>
  <si>
    <t>Free Cashflow Valuation</t>
  </si>
  <si>
    <t>Free Cash Flows</t>
  </si>
  <si>
    <t>Adjusted EBIT</t>
  </si>
  <si>
    <t>Less: Tax (EBIT * Tax Rate)</t>
  </si>
  <si>
    <t>Less: Capital Expenditures</t>
  </si>
  <si>
    <t>Change in working capital and other (cashflow statement)</t>
  </si>
  <si>
    <t>Free cash flows to the firm (FCFF)</t>
  </si>
  <si>
    <t>Portion of year included in valuation</t>
  </si>
  <si>
    <t>Years to discount</t>
  </si>
  <si>
    <t>Cost of capital</t>
  </si>
  <si>
    <t>Discount factor</t>
  </si>
  <si>
    <t>PV Free Cash Flows to the Firm (FCFF)</t>
  </si>
  <si>
    <t>Diageo Associate - Moët Hennessy</t>
  </si>
  <si>
    <t>Moët Hennessy - Summarized Financial Information (100% basis)</t>
  </si>
  <si>
    <t>(£ in millions of pound sterlings except per share amounts)</t>
  </si>
  <si>
    <t>Diageo Equity Interest</t>
  </si>
  <si>
    <t>Balance Sheet</t>
  </si>
  <si>
    <t>Non-current assets</t>
  </si>
  <si>
    <t>Current assets</t>
  </si>
  <si>
    <t>Total assets</t>
  </si>
  <si>
    <t>Non-current liabilities</t>
  </si>
  <si>
    <t>Current liabilities</t>
  </si>
  <si>
    <t>Total Liabilities</t>
  </si>
  <si>
    <t>Net assets</t>
  </si>
  <si>
    <t>Net assets attributable to Diageo</t>
  </si>
  <si>
    <t>Fair Market Value</t>
  </si>
  <si>
    <t>Income Statement</t>
  </si>
  <si>
    <t>Sales</t>
  </si>
  <si>
    <t>Net income</t>
  </si>
  <si>
    <t>Total comprehensive income</t>
  </si>
  <si>
    <t>Other Associates &amp; Joint Ventures - Summarized Financial Information</t>
  </si>
  <si>
    <t>Investment in Associates and Joint Ventures (beginning balance)</t>
  </si>
  <si>
    <t>Investment in Associates and Joint Ventures (ending balance)</t>
  </si>
  <si>
    <t>\</t>
  </si>
  <si>
    <t>Operating Assumptions</t>
  </si>
  <si>
    <t>Key Metrics</t>
  </si>
  <si>
    <t>CAGR/Avg</t>
  </si>
  <si>
    <t>Explanation</t>
  </si>
  <si>
    <r>
      <t xml:space="preserve">Total Net Sales
</t>
    </r>
    <r>
      <rPr>
        <i/>
        <sz val="8"/>
        <color rgb="FF262626"/>
        <rFont val="Helvetica"/>
        <family val="2"/>
      </rPr>
      <t>(CAGR)</t>
    </r>
  </si>
  <si>
    <r>
      <t xml:space="preserve">Adjusted EBITDA Margin
</t>
    </r>
    <r>
      <rPr>
        <i/>
        <sz val="8"/>
        <color rgb="FF262626"/>
        <rFont val="Helvetica"/>
        <family val="2"/>
      </rPr>
      <t>(Average)</t>
    </r>
  </si>
  <si>
    <r>
      <t xml:space="preserve">Total EBITDA
</t>
    </r>
    <r>
      <rPr>
        <i/>
        <sz val="8"/>
        <color rgb="FF262626"/>
        <rFont val="Helvetica"/>
        <family val="2"/>
      </rPr>
      <t>(CAGR)</t>
    </r>
  </si>
  <si>
    <r>
      <t xml:space="preserve">Total EBITDA Margin
</t>
    </r>
    <r>
      <rPr>
        <i/>
        <sz val="8"/>
        <color rgb="FF262626"/>
        <rFont val="Helvetica"/>
        <family val="2"/>
      </rPr>
      <t>(Average)</t>
    </r>
  </si>
  <si>
    <r>
      <t xml:space="preserve">Capex (% of revenue)
</t>
    </r>
    <r>
      <rPr>
        <i/>
        <sz val="8"/>
        <color rgb="FF262626"/>
        <rFont val="Helvetica"/>
        <family val="2"/>
      </rPr>
      <t>(Average)</t>
    </r>
  </si>
  <si>
    <t>Valuation Assumptions</t>
  </si>
  <si>
    <t xml:space="preserve">Key Metric </t>
  </si>
  <si>
    <t xml:space="preserve">Risk-free rate </t>
  </si>
  <si>
    <t xml:space="preserve">Cost of debt (pre-tax) </t>
  </si>
  <si>
    <t>Exit EBITDA Multiple</t>
  </si>
  <si>
    <t>Assumed LBO Transaction Summary</t>
  </si>
  <si>
    <t>Use of Funds</t>
  </si>
  <si>
    <t>Source of Funds</t>
  </si>
  <si>
    <t>Senior Debt</t>
  </si>
  <si>
    <t>Junior Debt</t>
  </si>
  <si>
    <t>Equity Value</t>
  </si>
  <si>
    <t>Revolver</t>
  </si>
  <si>
    <t>Assumed Debt</t>
  </si>
  <si>
    <t>Transaction Costs</t>
  </si>
  <si>
    <t xml:space="preserve">   Total Debt</t>
  </si>
  <si>
    <t>Sponsor Equity</t>
  </si>
  <si>
    <t>Excess Balance Sheet Cash (Shortfall)</t>
  </si>
  <si>
    <t>Total Funds Uses</t>
  </si>
  <si>
    <t>Total Funds Sources</t>
  </si>
  <si>
    <t>Post-LBO Transaction</t>
  </si>
  <si>
    <t>Equity Cashflows</t>
  </si>
  <si>
    <t>Annual Revenue % Growth</t>
  </si>
  <si>
    <t>Annual Margin Improvement</t>
  </si>
  <si>
    <t>Average EBITDA Margin</t>
  </si>
  <si>
    <t>Operating Cashflow for Equity</t>
  </si>
  <si>
    <t>LBO Sponsor Equity</t>
  </si>
  <si>
    <t>Current</t>
  </si>
  <si>
    <t>Offered</t>
  </si>
  <si>
    <t>Premium</t>
  </si>
  <si>
    <t>Net Equity Cashflows</t>
  </si>
  <si>
    <t>IRR</t>
  </si>
  <si>
    <t>Outstanding Debt Balance</t>
  </si>
  <si>
    <t>Junior Debt Repayment</t>
  </si>
  <si>
    <t>Senior Debt Repayment</t>
  </si>
  <si>
    <t>Revolver Debt Repayment</t>
  </si>
  <si>
    <t>Assumed Debt Repayment</t>
  </si>
  <si>
    <t>Total Debt Ending Balance</t>
  </si>
  <si>
    <t>Debt/EBITDA</t>
  </si>
  <si>
    <t>Detailed LBO Cashflow Summary</t>
  </si>
  <si>
    <t>Standalone Revenues</t>
  </si>
  <si>
    <t>Revenue Synergies</t>
  </si>
  <si>
    <t>Proforma Revenue Forecast</t>
  </si>
  <si>
    <t>Revenue Growth</t>
  </si>
  <si>
    <t>Standalone EBITDA</t>
  </si>
  <si>
    <t>Revenue &amp; Margin Synergies EBITDA Contribution</t>
  </si>
  <si>
    <t>Proforma EBITDA Forecast</t>
  </si>
  <si>
    <t>EBITDA Margin</t>
  </si>
  <si>
    <t>Taxes</t>
  </si>
  <si>
    <t>Acquisitions &amp; Capex</t>
  </si>
  <si>
    <t>Cashflow for Debt Service (post Taxes, Capex, &amp; WC)</t>
  </si>
  <si>
    <t>Interest Expense on Existing Debt</t>
  </si>
  <si>
    <t>Senior LBO Debt Interest Expense</t>
  </si>
  <si>
    <t>Junior LBO Debt Interest Expense</t>
  </si>
  <si>
    <t>Mandatory Debt Service (Interest Expense)</t>
  </si>
  <si>
    <t>EBITDA / Total Interest Expense</t>
  </si>
  <si>
    <t xml:space="preserve">Cashflows for Debt Service / Total Interest Expense </t>
  </si>
  <si>
    <t>Cashflows for Debt Service / Senior Interest Expense</t>
  </si>
  <si>
    <t>FCF for LBO Debt Repayment</t>
  </si>
  <si>
    <t>Repayment of LBO Debt</t>
  </si>
  <si>
    <t>Residual Cashflow after LBO Debt Service</t>
  </si>
  <si>
    <t>LBO Purchase</t>
  </si>
  <si>
    <t>Excess Cash on Balance Sheet</t>
  </si>
  <si>
    <t>Equity Issuance for LBO</t>
  </si>
  <si>
    <t>Senior LBO Debt Issuance</t>
  </si>
  <si>
    <t>Junior LBO Debt Issuance</t>
  </si>
  <si>
    <t>LBO Purchase Price</t>
  </si>
  <si>
    <t>Equity IRR Calculation</t>
  </si>
  <si>
    <t xml:space="preserve">LBO Sponsor Equity </t>
  </si>
  <si>
    <t>Sale Proceeds</t>
  </si>
  <si>
    <t>Transaction Costs (Exit)</t>
  </si>
  <si>
    <t>Repayment of Debt</t>
  </si>
  <si>
    <t>Excess Cash</t>
  </si>
  <si>
    <t>Residual Cashflows</t>
  </si>
  <si>
    <t>Cash Flows to Equity                                IRR:</t>
  </si>
  <si>
    <t xml:space="preserve">Debt Schedules post LBO </t>
  </si>
  <si>
    <t>Senior Debt Schedule</t>
  </si>
  <si>
    <t xml:space="preserve">Opening </t>
  </si>
  <si>
    <t>Senior Debt Ending Balance</t>
  </si>
  <si>
    <t>Interest on Senior Debt</t>
  </si>
  <si>
    <t>Junior Debt Schedule</t>
  </si>
  <si>
    <t>Junior Debt Ending Balance</t>
  </si>
  <si>
    <t>Interest on Junior Debt</t>
  </si>
  <si>
    <t>Revolver Debt Ending Balance</t>
  </si>
  <si>
    <t>Interest on Revolver Debt</t>
  </si>
  <si>
    <t>Existing / Assumed Debt Schedule</t>
  </si>
  <si>
    <t>Existing Debt Ending Balance</t>
  </si>
  <si>
    <t>Interest on Existing Debt</t>
  </si>
  <si>
    <t>Scenarios</t>
  </si>
  <si>
    <t>Chosen Scenario</t>
  </si>
  <si>
    <r>
      <t xml:space="preserve">Active Scenario </t>
    </r>
    <r>
      <rPr>
        <sz val="8"/>
        <rFont val="Arial"/>
        <family val="2"/>
      </rPr>
      <t>[input scenario to run]</t>
    </r>
  </si>
  <si>
    <t>Base</t>
  </si>
  <si>
    <t>Optimstic</t>
  </si>
  <si>
    <t>Transaction Debt</t>
  </si>
  <si>
    <t>2023E Debt/EBITDA</t>
  </si>
  <si>
    <t>Revolver [leave as zero]</t>
  </si>
  <si>
    <t>Assumed Debt [leave as zero]</t>
  </si>
  <si>
    <t>Interest Rates</t>
  </si>
  <si>
    <t>Operating Performance</t>
  </si>
  <si>
    <t>Optimistic</t>
  </si>
  <si>
    <t>Revenue Forecast [adjust further on LBO-Financials page]</t>
  </si>
  <si>
    <t>EBITDA Margin [adjust further on LBO-Financials page]</t>
  </si>
  <si>
    <t>Other Transaction Assumptions</t>
  </si>
  <si>
    <t>Equity Advisory Fee %</t>
  </si>
  <si>
    <t>Debt Financing Fee %</t>
  </si>
  <si>
    <t>Minimum Cash Balance</t>
  </si>
  <si>
    <t>Equity Premium Paid</t>
  </si>
  <si>
    <t>EV / EBITDA Exit Multiple</t>
  </si>
  <si>
    <t>Transaction Summary</t>
  </si>
  <si>
    <t>Transaction Metrics (LBO EV / Standalone Forecast)</t>
  </si>
  <si>
    <t>EV/EBITDA</t>
  </si>
  <si>
    <t>EV/Sales</t>
  </si>
  <si>
    <t>P/E</t>
  </si>
  <si>
    <t>Senior/Junior Debt</t>
  </si>
  <si>
    <t/>
  </si>
  <si>
    <t>Sponsor Equity IRR</t>
  </si>
  <si>
    <t>Sources &amp; Uses of Funds</t>
  </si>
  <si>
    <t>Funds - Sources</t>
  </si>
  <si>
    <t>Seniority</t>
  </si>
  <si>
    <t>Amount</t>
  </si>
  <si>
    <t>Allocation</t>
  </si>
  <si>
    <t>Total Debt</t>
  </si>
  <si>
    <t>Total Equity</t>
  </si>
  <si>
    <t>Balance Sheet Cash Used (net of min cash)</t>
  </si>
  <si>
    <t xml:space="preserve">Total Sources of Funds </t>
  </si>
  <si>
    <t>Funds - Uses</t>
  </si>
  <si>
    <t>Equity Premium</t>
  </si>
  <si>
    <t>Debt Retired / Assumed</t>
  </si>
  <si>
    <t>Total Uses of Funds</t>
  </si>
  <si>
    <t>Less: Pre-Transaction Cash</t>
  </si>
  <si>
    <t>Transaction EV</t>
  </si>
  <si>
    <t>Financing Assumptions</t>
  </si>
  <si>
    <t>Debt - Payback and Interest Rates</t>
  </si>
  <si>
    <t>Pay Back Priority</t>
  </si>
  <si>
    <t>Rate</t>
  </si>
  <si>
    <t>Cash Treatment</t>
  </si>
  <si>
    <t>Cash Minimum (1=On, 0=Off)</t>
  </si>
  <si>
    <t>Use Excess Cash (1=On, 0=Off)</t>
  </si>
  <si>
    <t>Pre-Transaction Cash</t>
  </si>
  <si>
    <t>Min Cash Balance Required</t>
  </si>
  <si>
    <t>Excess Cash For Transaction</t>
  </si>
  <si>
    <t>Funding Requirements</t>
  </si>
  <si>
    <t>Equity Take-Out</t>
  </si>
  <si>
    <t>Diluted Shares Outstanding</t>
  </si>
  <si>
    <t>Current Price [do not change]</t>
  </si>
  <si>
    <t>Equity Market Value</t>
  </si>
  <si>
    <t>Equity Premium (%)</t>
  </si>
  <si>
    <t>Offered Price</t>
  </si>
  <si>
    <t>Equity Purchase Price</t>
  </si>
  <si>
    <t>Implied Share Price</t>
  </si>
  <si>
    <t xml:space="preserve">Debt Take-Out </t>
  </si>
  <si>
    <t xml:space="preserve">Existing Cash Balance </t>
  </si>
  <si>
    <t>% of EV</t>
  </si>
  <si>
    <t>% of Equity</t>
  </si>
  <si>
    <t xml:space="preserve">% of Debt </t>
  </si>
  <si>
    <t>Equity Advisory Fee (% of EV)</t>
  </si>
  <si>
    <t>Debt Financing Fee (% of EV)</t>
  </si>
  <si>
    <t>Total Transaction Costs</t>
  </si>
  <si>
    <t>Transaction Value Pre-Transaction Costs</t>
  </si>
  <si>
    <t>Transaction Value Post-Transaction Costs</t>
  </si>
  <si>
    <t>Equity Raised</t>
  </si>
  <si>
    <t>Debt Raised</t>
  </si>
  <si>
    <t>Valuation</t>
  </si>
  <si>
    <t>Entry Year (End) [do not change]</t>
  </si>
  <si>
    <t>Exit Year (End) [do not change]</t>
  </si>
  <si>
    <t>Holding Period (Years)</t>
  </si>
  <si>
    <t>Cash flow Summary</t>
  </si>
  <si>
    <t>LBO Cashflow Summary</t>
  </si>
  <si>
    <t>Taxes (Net of Tax Shield)</t>
  </si>
  <si>
    <t>Acquisitions</t>
  </si>
  <si>
    <t>Cash Available For Debt Service</t>
  </si>
  <si>
    <t>Cash Available For Debt Principal Repayment</t>
  </si>
  <si>
    <t>Net Debt Payment Flows</t>
  </si>
  <si>
    <t>Residual Equity Cash Flows</t>
  </si>
  <si>
    <t>Beginning Cash Balance</t>
  </si>
  <si>
    <t>Ending Cash After Debt Repayment</t>
  </si>
  <si>
    <t>Exit &amp; IRR Summary</t>
  </si>
  <si>
    <t>(-) Initial Equity Injection</t>
  </si>
  <si>
    <t>(+) Excess Cash</t>
  </si>
  <si>
    <t>Exit Enterprise Value</t>
  </si>
  <si>
    <t>(-) Remaining Debt at Exit</t>
  </si>
  <si>
    <t>(-) Exit Transaction Costs</t>
  </si>
  <si>
    <t>(+) Residual Cash Flows</t>
  </si>
  <si>
    <t>Equity Cash Flows</t>
  </si>
  <si>
    <t>Sponsor IRR</t>
  </si>
  <si>
    <t>Exit Year</t>
  </si>
  <si>
    <t>Exit Year EBITDA</t>
  </si>
  <si>
    <t>Debt Repayment Summary</t>
  </si>
  <si>
    <t>Junior Debt Opening</t>
  </si>
  <si>
    <t>Junior Debt Ending</t>
  </si>
  <si>
    <t>Senior Debt Opening</t>
  </si>
  <si>
    <t>Senior Debt Ending</t>
  </si>
  <si>
    <t>Revolver Opening</t>
  </si>
  <si>
    <t>Revolver Debt Ending</t>
  </si>
  <si>
    <t>Assumed Debt Opening</t>
  </si>
  <si>
    <t>Assumed Debt Ending</t>
  </si>
  <si>
    <t>Operational Synergies</t>
  </si>
  <si>
    <t>Base Revenue Synergies</t>
  </si>
  <si>
    <t>Optimistic Revenue Synergies</t>
  </si>
  <si>
    <t>Chosen</t>
  </si>
  <si>
    <t>Incremental Revenue Synergies</t>
  </si>
  <si>
    <t>Avg</t>
  </si>
  <si>
    <t>EBITDA Margin Synergies</t>
  </si>
  <si>
    <t>Base EBITDA Margin Synergies</t>
  </si>
  <si>
    <t>Optimistic EBITDA Margin Synergies</t>
  </si>
  <si>
    <t>Margin Synergies</t>
  </si>
  <si>
    <t>Standalone EBITDA Margin</t>
  </si>
  <si>
    <t>Incremental EBITDA Margin Synergies</t>
  </si>
  <si>
    <t>Proforma EBITDA Margin</t>
  </si>
  <si>
    <t>Revenue Synergies EBITDA Contribution</t>
  </si>
  <si>
    <t>Margin Improvement EBITDA Contribution</t>
  </si>
  <si>
    <t>Total Revenue &amp; EBITDA Synergies</t>
  </si>
  <si>
    <t>Debt Balances post-LBO</t>
  </si>
  <si>
    <t>Opening Balance</t>
  </si>
  <si>
    <t>(-) Repayments</t>
  </si>
  <si>
    <t>Consolidated Debt Balances</t>
  </si>
  <si>
    <t>Subordinated Debt</t>
  </si>
  <si>
    <t>Check</t>
  </si>
  <si>
    <t>Senior Interest Expense</t>
  </si>
  <si>
    <t>Subordinated Interest Expense</t>
  </si>
  <si>
    <t>Total Interest Expense</t>
  </si>
  <si>
    <t>Note: Interest expenses calculated on opening balances.</t>
  </si>
  <si>
    <t>Debt Cashflow Waterfall</t>
  </si>
  <si>
    <t>Priority</t>
  </si>
  <si>
    <t>Cashflow for Junior Debt</t>
  </si>
  <si>
    <t>Cash Available</t>
  </si>
  <si>
    <t>Cashflow for Senior Debt</t>
  </si>
  <si>
    <t>Payment</t>
  </si>
  <si>
    <t>Cashflow for Revolver</t>
  </si>
  <si>
    <t>Payment Flows:</t>
  </si>
  <si>
    <t>Target Balance:</t>
  </si>
  <si>
    <t>Cashflow for Assumed Debt</t>
  </si>
  <si>
    <t>VLOOKUP Index for Payment Priority [not in use]</t>
  </si>
  <si>
    <t>Source</t>
  </si>
  <si>
    <t>Rank</t>
  </si>
  <si>
    <t>ID</t>
  </si>
  <si>
    <t>Lookup:</t>
  </si>
  <si>
    <t>LBO Assumtions</t>
  </si>
  <si>
    <t xml:space="preserve">Key Levers </t>
  </si>
  <si>
    <t>Values</t>
  </si>
  <si>
    <t xml:space="preserve">Justification </t>
  </si>
  <si>
    <t>Interest Rates 
(Senior / Junior)</t>
  </si>
  <si>
    <t xml:space="preserve">Premium </t>
  </si>
  <si>
    <t xml:space="preserve">Exit Multiple </t>
  </si>
  <si>
    <t>Revenue Increase</t>
  </si>
  <si>
    <t>EBITDA 
Margin Improvement</t>
  </si>
  <si>
    <t>w</t>
  </si>
  <si>
    <t>EV/Revenue</t>
  </si>
  <si>
    <t>Yes</t>
  </si>
  <si>
    <t>Notes</t>
  </si>
  <si>
    <t>Incl.?*</t>
  </si>
  <si>
    <t>(All figures in millions of pound sterlings, except per share or where otherwise noted)</t>
  </si>
  <si>
    <t>* Note: Use "Incl.?" column to indicate whether a precedent should be included in the valuation [0 - No; 1 - Yes]</t>
  </si>
  <si>
    <t>Average</t>
  </si>
  <si>
    <t>`</t>
  </si>
  <si>
    <t>Cumulative Selection</t>
  </si>
  <si>
    <t>Selected Industry Multiple</t>
  </si>
  <si>
    <t>Total Enterprise Value</t>
  </si>
  <si>
    <t>- Debt</t>
  </si>
  <si>
    <t>- Preferred &amp; Other</t>
  </si>
  <si>
    <t>+ Cash</t>
  </si>
  <si>
    <t>Shares Outstanding (m)</t>
  </si>
  <si>
    <t>Lookup Value [Do Not Change]</t>
  </si>
  <si>
    <t>Cash &amp;</t>
  </si>
  <si>
    <t>Cap.</t>
  </si>
  <si>
    <t>Value</t>
  </si>
  <si>
    <t>S-t Inv.</t>
  </si>
  <si>
    <t>(all figures presented in USD millions, except per share figures or where noted)</t>
  </si>
  <si>
    <t>Cumulative Average</t>
  </si>
  <si>
    <t>Current Year</t>
  </si>
  <si>
    <t>As Reported -&gt;</t>
  </si>
  <si>
    <t>As USD -&gt;</t>
  </si>
  <si>
    <t>Currency</t>
  </si>
  <si>
    <t>Share</t>
  </si>
  <si>
    <t>Market</t>
  </si>
  <si>
    <t>Enterprise</t>
  </si>
  <si>
    <t>Total</t>
  </si>
  <si>
    <t xml:space="preserve">Cash &amp; ST </t>
  </si>
  <si>
    <t>Revenue</t>
  </si>
  <si>
    <t>Earnings</t>
  </si>
  <si>
    <t>Total Debt /</t>
  </si>
  <si>
    <t>Net Debt /</t>
  </si>
  <si>
    <t xml:space="preserve">EBITDA </t>
  </si>
  <si>
    <t>BETA</t>
  </si>
  <si>
    <t>Revenue (Reported Currency)</t>
  </si>
  <si>
    <t>EBITDA (Reported Currency)</t>
  </si>
  <si>
    <t>Earnings (Reported Currency)</t>
  </si>
  <si>
    <t>Revenue (USD)</t>
  </si>
  <si>
    <t>EBITDA (USD)</t>
  </si>
  <si>
    <t>Earnings (USD)</t>
  </si>
  <si>
    <t>Exchange</t>
  </si>
  <si>
    <t>Ticker</t>
  </si>
  <si>
    <t>Price</t>
  </si>
  <si>
    <t>Debt</t>
  </si>
  <si>
    <t>Investm.</t>
  </si>
  <si>
    <t>NTM</t>
  </si>
  <si>
    <t>Total Cap.</t>
  </si>
  <si>
    <t>EV</t>
  </si>
  <si>
    <t>2023A</t>
  </si>
  <si>
    <t>LTM</t>
  </si>
  <si>
    <t>2024E</t>
  </si>
  <si>
    <t>Margin (%)</t>
  </si>
  <si>
    <t>5 Year</t>
  </si>
  <si>
    <t>Wines &amp; Spirits</t>
  </si>
  <si>
    <t>Kweichow Moutai Co., Ltd.</t>
  </si>
  <si>
    <t>SHSE:600519</t>
  </si>
  <si>
    <t>Wuliangye Yibin Co.,Ltd.</t>
  </si>
  <si>
    <t>SZSE:000858</t>
  </si>
  <si>
    <t>Pernod Ricard SA</t>
  </si>
  <si>
    <t>ENXTPA:RI</t>
  </si>
  <si>
    <t>Jiangsu Yanghe Brewery Joint-Stock Co., Ltd.</t>
  </si>
  <si>
    <t>SZSE:002304</t>
  </si>
  <si>
    <t>Brown-Forman Corporation</t>
  </si>
  <si>
    <t>NYSE:BF.B</t>
  </si>
  <si>
    <t>Davide Campari-Milano N.V.</t>
  </si>
  <si>
    <t>BIT:CPR</t>
  </si>
  <si>
    <t>Rémy Cointreau SA</t>
  </si>
  <si>
    <t>ENXTPA:RCO</t>
  </si>
  <si>
    <t>Becle, S.A.B. de C.V.</t>
  </si>
  <si>
    <t>BMV:CUERVO</t>
  </si>
  <si>
    <t>Emperador Inc.</t>
  </si>
  <si>
    <t>PSE:EMI</t>
  </si>
  <si>
    <t>Treasury Wine Estates Limited</t>
  </si>
  <si>
    <t>ASX:TWE</t>
  </si>
  <si>
    <t>Beer</t>
  </si>
  <si>
    <t>China Resources Beer</t>
  </si>
  <si>
    <t>SEHK: 0291</t>
  </si>
  <si>
    <t>Molson Coors Beverage Company</t>
  </si>
  <si>
    <t>NYSE:TAP</t>
  </si>
  <si>
    <t>Carlsberg A/S</t>
  </si>
  <si>
    <t>CPSE:CARL B</t>
  </si>
  <si>
    <t>The Boston Beer Company, Inc.</t>
  </si>
  <si>
    <t>NYSE:SAM</t>
  </si>
  <si>
    <t>Heineken N.V.</t>
  </si>
  <si>
    <t>ENXTAM:HEIA</t>
  </si>
  <si>
    <t>Tsingtao Brewery Company Limited</t>
  </si>
  <si>
    <t>SEHK:0168</t>
  </si>
  <si>
    <t>Anheuser-Busch InBev SA/NV</t>
  </si>
  <si>
    <t>ENXTBR:ABI</t>
  </si>
  <si>
    <t>Budweiser Brewing Company APAC Limited</t>
  </si>
  <si>
    <t>SEHK:1876</t>
  </si>
  <si>
    <t>Ambev S.A.</t>
  </si>
  <si>
    <t>BOVESPA:ABEV3</t>
  </si>
  <si>
    <t>Kirin Holdings Company, Limited</t>
  </si>
  <si>
    <t>TSE:2503</t>
  </si>
  <si>
    <t>Sapporo Holdings Limited</t>
  </si>
  <si>
    <t>TSE:2501</t>
  </si>
  <si>
    <t>Asahi Group Holdings, Ltd.</t>
  </si>
  <si>
    <t>TSE:2502</t>
  </si>
  <si>
    <t>Mixed Offering</t>
  </si>
  <si>
    <t>Constellation Brands, Inc.</t>
  </si>
  <si>
    <t>NYSE:STZ</t>
  </si>
  <si>
    <t>Thai Beverage Public Company Limited</t>
  </si>
  <si>
    <t>SGX:Y92</t>
  </si>
  <si>
    <t>Royal Unibrew A/S</t>
  </si>
  <si>
    <t>CPSE:RBREW</t>
  </si>
  <si>
    <t>HiteJinro Co., Ltd.</t>
  </si>
  <si>
    <t>KOSE:A000080</t>
  </si>
  <si>
    <t>Other</t>
  </si>
  <si>
    <t>Fevertree Drinks PLC</t>
  </si>
  <si>
    <t>AIM:FEVR</t>
  </si>
  <si>
    <t>Target</t>
  </si>
  <si>
    <t>LSE:DGE</t>
  </si>
  <si>
    <t>Date:</t>
  </si>
  <si>
    <t>USDUSD Currency</t>
  </si>
  <si>
    <t>USD</t>
  </si>
  <si>
    <t>USDCAD Currency</t>
  </si>
  <si>
    <t>CAD</t>
  </si>
  <si>
    <t>USDCNY Currency</t>
  </si>
  <si>
    <t>CNY</t>
  </si>
  <si>
    <t>USDHKD Currency</t>
  </si>
  <si>
    <t>HKD</t>
  </si>
  <si>
    <t>USDGBP Currency</t>
  </si>
  <si>
    <t>GBP</t>
  </si>
  <si>
    <t>USDEUR Currency</t>
  </si>
  <si>
    <t>EUR</t>
  </si>
  <si>
    <t>USDJPY Currency</t>
  </si>
  <si>
    <t>JPY</t>
  </si>
  <si>
    <t>USDPHP Currency</t>
  </si>
  <si>
    <t>PHP</t>
  </si>
  <si>
    <t>USDAUD Currency</t>
  </si>
  <si>
    <t>AUD</t>
  </si>
  <si>
    <t>USDINR Currency</t>
  </si>
  <si>
    <t>INR</t>
  </si>
  <si>
    <t>USDBRL Currency</t>
  </si>
  <si>
    <t>BRL</t>
  </si>
  <si>
    <t>USDSGD Currency</t>
  </si>
  <si>
    <t>SGD</t>
  </si>
  <si>
    <t>USDKRW Currency</t>
  </si>
  <si>
    <t>KRW</t>
  </si>
  <si>
    <t>USDMXN Currency</t>
  </si>
  <si>
    <t>MXN</t>
  </si>
  <si>
    <t>(1) Based on basic diluted shares outstanding</t>
  </si>
  <si>
    <t>(2) Enterprise Value is defined as market capitalization, plus total debt and minority interests less cash and short-term investments; ignores equity investments</t>
  </si>
  <si>
    <t>(3) Forecast figures are based on analyst consensus forecasts</t>
  </si>
  <si>
    <t>Vlookup Counter [Do Not Change]</t>
  </si>
  <si>
    <t>Combined Entity</t>
  </si>
  <si>
    <t>Relevance to Target Valuation</t>
  </si>
  <si>
    <t>Description of Company</t>
  </si>
  <si>
    <t>Valuation Rationale</t>
  </si>
  <si>
    <t>Implied Enterprise Value</t>
  </si>
  <si>
    <t>Shares Outstanding (millions)</t>
  </si>
  <si>
    <t>(All figures in USD millions, except per share or where otherwise noted)</t>
  </si>
  <si>
    <t>Buyer</t>
  </si>
  <si>
    <t>Transaction</t>
  </si>
  <si>
    <r>
      <t xml:space="preserve">EV/LTM </t>
    </r>
    <r>
      <rPr>
        <vertAlign val="superscript"/>
        <sz val="11"/>
        <color theme="0"/>
        <rFont val="Calibri"/>
        <family val="2"/>
        <scheme val="minor"/>
      </rPr>
      <t>(2)</t>
    </r>
  </si>
  <si>
    <t>Company</t>
  </si>
  <si>
    <r>
      <t xml:space="preserve">EV </t>
    </r>
    <r>
      <rPr>
        <vertAlign val="superscript"/>
        <sz val="11"/>
        <color theme="0"/>
        <rFont val="Calibri"/>
        <family val="2"/>
        <scheme val="minor"/>
      </rPr>
      <t>(1)</t>
    </r>
  </si>
  <si>
    <t>Date</t>
  </si>
  <si>
    <t>Year</t>
  </si>
  <si>
    <t>Rationale</t>
  </si>
  <si>
    <t>Impl, EV</t>
  </si>
  <si>
    <t>Stock Spirits Group</t>
  </si>
  <si>
    <t>CVC Capital Partners</t>
  </si>
  <si>
    <t xml:space="preserve"> NA </t>
  </si>
  <si>
    <t>Nov-29-2021</t>
  </si>
  <si>
    <t>International Wine And Spirits</t>
  </si>
  <si>
    <t>Sycamore Partners</t>
  </si>
  <si>
    <t>Oct-01-2021</t>
  </si>
  <si>
    <t>Patron Spirits</t>
  </si>
  <si>
    <t>Bacardi</t>
  </si>
  <si>
    <t>Apr-30-2018</t>
  </si>
  <si>
    <t>Casamigos</t>
  </si>
  <si>
    <t>Diageo</t>
  </si>
  <si>
    <t>Aug-15-2017</t>
  </si>
  <si>
    <t>Miller Brand Portfolio</t>
  </si>
  <si>
    <t>Molson Coors</t>
  </si>
  <si>
    <t>Oct-11-2016</t>
  </si>
  <si>
    <t>SAB Miller</t>
  </si>
  <si>
    <t>Anheuser-Bush InBev</t>
  </si>
  <si>
    <t>Oct-10-2016</t>
  </si>
  <si>
    <t>Beam</t>
  </si>
  <si>
    <t>Suntory Holdings</t>
  </si>
  <si>
    <t>Apr-30-2014</t>
  </si>
  <si>
    <t>United Spirits</t>
  </si>
  <si>
    <t xml:space="preserve">Diageo </t>
  </si>
  <si>
    <t>Jul-02-2014</t>
  </si>
  <si>
    <t>Grupo Modelo</t>
  </si>
  <si>
    <t>Anheuser-Busch InBev</t>
  </si>
  <si>
    <t>May-31-2013</t>
  </si>
  <si>
    <t xml:space="preserve">Mey Içki Sanayi ve Ticaret A.S. </t>
  </si>
  <si>
    <t>Aug-23-2011</t>
  </si>
  <si>
    <t>Fosters Group</t>
  </si>
  <si>
    <t>Dec-16-2011</t>
  </si>
  <si>
    <t>Anheuser Busch</t>
  </si>
  <si>
    <t>InBev</t>
  </si>
  <si>
    <t>Nov-18-2008</t>
  </si>
  <si>
    <t xml:space="preserve"> Average</t>
  </si>
  <si>
    <t>(1) EV as of transaction date</t>
  </si>
  <si>
    <t>(2) EV/LTM multiple should be calculated based on Transaction EV</t>
  </si>
  <si>
    <t>We wish you much success in the NIBC 2024 Global Investment Banking Competition!</t>
  </si>
  <si>
    <t>Moutai is the top Baijiu company headquartered in China but has an excessively high EBITDA margin of 72%, not comparable with Diageo.</t>
  </si>
  <si>
    <t>Pernod is an international spirts and wine company and is ranked the second largetest spirits company.</t>
  </si>
  <si>
    <t>Diageo is the only multi-national spirits producer with baijiu in its portfolio and Wuliangye is the second largest distiller in the premium Chinese baijiu market.</t>
  </si>
  <si>
    <t>Yanghe has a similar rationale as Wuliangye and close EBITDA margin to Diageo.</t>
  </si>
  <si>
    <t>Brown-Forman is a U.S.-based manufacturer of premium distilled spirits so it's comparable with Diageo.</t>
  </si>
  <si>
    <t>Campari is a major player in the global spirits industry so it's comparable with Diageo.</t>
  </si>
  <si>
    <t>Rémy is a international group owns various spirits brands so it's comparable with Diageo.</t>
  </si>
  <si>
    <t>Becle is a spirits company and  the world's largest tequila producer, so it's comparable with Diageo.</t>
  </si>
  <si>
    <t>Emperador Inc. (EMP) is a international spirits company with a portfolio of whisky and brandy brands so it's comparable with Diageo.</t>
  </si>
  <si>
    <t>Treasury Wine is a premium wine company so it's not comparable with spirits company like Diageo.</t>
  </si>
  <si>
    <t>China Resources Beer is a beer company and not a premium brand so it's not comparable.</t>
  </si>
  <si>
    <t>Boston Beer is a provider of craft brewed beers and cider products so it's not comparable.</t>
  </si>
  <si>
    <t>Heineken brews and sells beer and cider so it's not comparable.</t>
  </si>
  <si>
    <t>Tsingtao Brewery is a beer company and not a premium brand so it's not comparable.</t>
  </si>
  <si>
    <t>Anheuser-Busch is a multinational drink and brewing company so it's not comparable.</t>
  </si>
  <si>
    <t>Budweiser is a brewing and distribution company of beer so it's not comparable.</t>
  </si>
  <si>
    <t>Ambev S.A. is a brewing and distribution company of beer so it's not comparable.</t>
  </si>
  <si>
    <t>Kirin is a brewing and distribution company of beer so it's not comparable.</t>
  </si>
  <si>
    <t>Sapporo engaged in the alcohol, food and beverage business, hotel business and real estate business so it's not comparable.</t>
  </si>
  <si>
    <t>Asahi is a beer and soft drink company so it's not comparable.</t>
  </si>
  <si>
    <t>Constellation Brands is a leading international producer and marketer of beer, wine, and spirits so it's comparable.</t>
  </si>
  <si>
    <t>The company is headquartered in SEA region so it's not comparable.</t>
  </si>
  <si>
    <t>HiteJinro has a low valuation and is a outlier.</t>
  </si>
  <si>
    <t>Royal Unibrew provides beer,malt, and soft drinks, so it's not comparable.</t>
  </si>
  <si>
    <t>Fevertree Drinks produces premium drink mixers so it's not comparable.</t>
  </si>
  <si>
    <t>US 10 Year Treasury Rate (I:10YTCMR) as of Jan 7</t>
  </si>
  <si>
    <t>https://www.msci.com/documents/10199/178e6643-6ae6-47b9-82be-e1fc565ededb</t>
  </si>
  <si>
    <t>delever and relever</t>
  </si>
  <si>
    <t>debt/equity</t>
  </si>
  <si>
    <t>The company is a spirits company includes 70 brands so it's relevant.</t>
  </si>
  <si>
    <t>The company mainly produces wine so it’s not relevant.</t>
  </si>
  <si>
    <t>The company is the world’s top-selling super-premium tequila brand so it's relevant.</t>
  </si>
  <si>
    <t>The company produces premium spirits so it's relevant.</t>
  </si>
  <si>
    <t>The company is a beer company so it's not relevant.</t>
  </si>
  <si>
    <t>EV/EBITDA multiple too high as outlier.</t>
  </si>
  <si>
    <t>The company is a brewer so it’s not relevant.</t>
  </si>
  <si>
    <t>from bbg</t>
  </si>
  <si>
    <t>Estimated based on - 扯bbg</t>
  </si>
  <si>
    <t>The company is Turkey's biggest spirits company so it's relevant.</t>
  </si>
  <si>
    <t>The company is the fastest growing super- premium tequila brand in the US so it's relevant. But the EV/Revenue is outlier.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</si>
</sst>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5">
    <numFmt numFmtId="43" formatCode="_(* #,##0.00_);_(* \(#,##0.00\);_(* &quot;-&quot;??_);_(@_)"/>
    <numFmt numFmtId="164" formatCode="&quot;$&quot;#,##0;\-&quot;$&quot;#,##0"/>
    <numFmt numFmtId="165" formatCode="&quot;$&quot;#,##0;[Red]\-&quot;$&quot;#,##0"/>
    <numFmt numFmtId="166" formatCode="&quot;$&quot;#,##0.00;[Red]\-&quot;$&quot;#,##0.00"/>
    <numFmt numFmtId="167" formatCode="_-&quot;$&quot;* #,##0.00_-;\-&quot;$&quot;* #,##0.00_-;_-&quot;$&quot;* &quot;-&quot;??_-;_-@_-"/>
    <numFmt numFmtId="168" formatCode="_-* #,##0.00_-;\-* #,##0.00_-;_-* &quot;-&quot;??_-;_-@_-"/>
    <numFmt numFmtId="169" formatCode="_(&quot;$&quot;* #,##0.00_);_(&quot;$&quot;* \(#,##0.00\);_(&quot;$&quot;* &quot;-&quot;??_);_(@_)"/>
    <numFmt numFmtId="170" formatCode="0.0%"/>
    <numFmt numFmtId="171" formatCode="0.00\x;\(0.00\x\);\-\ \x"/>
    <numFmt numFmtId="172" formatCode="&quot;$&quot;#,##0.00"/>
    <numFmt numFmtId="173" formatCode="#,##0;\(#,##0\);\-"/>
    <numFmt numFmtId="174" formatCode="_-* #,##0_-;\-* #,##0_-;_-* &quot;-&quot;??_-;_-@_-"/>
    <numFmt numFmtId="175" formatCode="#,##0;[Red]\(#,##0\);\-"/>
    <numFmt numFmtId="176" formatCode="#,##0;[Red]\(#,##0\)"/>
    <numFmt numFmtId="177" formatCode="0.0\x"/>
    <numFmt numFmtId="178" formatCode="#,##0.0;\(#,##0.0\);\-"/>
    <numFmt numFmtId="179" formatCode="#,##0.0\ \x;\(#,##0.0\ \x\);\-"/>
    <numFmt numFmtId="180" formatCode="0.0%;\(0.0%\);\-\%"/>
    <numFmt numFmtId="181" formatCode="&quot;Check&quot;;&quot;Check&quot;;&quot;OK&quot;"/>
    <numFmt numFmtId="182" formatCode="[$-409]d\-mmm\-yy;@"/>
    <numFmt numFmtId="183" formatCode="#,##0.0"/>
    <numFmt numFmtId="184" formatCode="0.00%;\(0.00%\);\-\%"/>
    <numFmt numFmtId="185" formatCode="0%_);\(0%\);0%_);@_)"/>
    <numFmt numFmtId="186" formatCode="_(* #,##0_);_(* \(#,##0\);_(* &quot;-&quot;??_);_(@_)"/>
    <numFmt numFmtId="187" formatCode="#,##0.0%_);\(#,##0.0%\);#,##0.0%_);@_%_)"/>
    <numFmt numFmtId="188" formatCode="#,##0.0\ \x;[Red]\(#,##0.0\ \x\);\-"/>
    <numFmt numFmtId="189" formatCode="&quot;Y&quot;;&quot;N&quot;;&quot;N&quot;"/>
    <numFmt numFmtId="190" formatCode="#,##0.00\ \x;[Red]\(#,##0.00\ \x\);\-"/>
    <numFmt numFmtId="191" formatCode="#,##0.00;[Red]\(#,##0.00\);\-"/>
    <numFmt numFmtId="192" formatCode="_(0.0%_);\(0.0%\);_(&quot;–&quot;_)_%;_(@_)_%"/>
    <numFmt numFmtId="193" formatCode="#,##0.00;\(#,##0.00\);\-"/>
    <numFmt numFmtId="194" formatCode="0.0%;\(0.0%\);\-"/>
    <numFmt numFmtId="195" formatCode="0.0%;[Red]\(0.0%\);\-"/>
    <numFmt numFmtId="196" formatCode="0.0%;\(0.0\)%"/>
    <numFmt numFmtId="197" formatCode="#&quot;E&quot;"/>
    <numFmt numFmtId="198" formatCode=";;"/>
    <numFmt numFmtId="199" formatCode="General&quot;E&quot;"/>
    <numFmt numFmtId="200" formatCode="#0.0\x"/>
    <numFmt numFmtId="201" formatCode="#0.00\x"/>
    <numFmt numFmtId="202" formatCode="0%;\(0%\);\-\%"/>
    <numFmt numFmtId="203" formatCode="&quot;Senior&quot;;0;&quot;Sub&quot;"/>
    <numFmt numFmtId="204" formatCode="0.0\x;\(0.0\x\);\-\ \x"/>
    <numFmt numFmtId="205" formatCode="&quot;Senior&quot;;&quot;WTF Dude!!?!&quot;;&quot;Sub&quot;"/>
    <numFmt numFmtId="206" formatCode="#0.0\x;&quot;Error&quot;;_(* &quot;-&quot;??_)"/>
    <numFmt numFmtId="207" formatCode="#0.0\x;\(#0.0\x\)"/>
    <numFmt numFmtId="208" formatCode="[$-1009]mmmm\ d\,\ yyyy;@"/>
    <numFmt numFmtId="209" formatCode="#,##0.0\x_);\(#,##0.0\x\)"/>
    <numFmt numFmtId="210" formatCode="&quot;Yes&quot;;&quot;No&quot;;&quot;No&quot;"/>
    <numFmt numFmtId="211" formatCode="_-* #,##0.0_-;\-* #,##0.0_-;_-* &quot;-&quot;??_-;_-@_-"/>
    <numFmt numFmtId="212" formatCode="#,##0_);\(#,##0\);_(* &quot;-&quot;??_)"/>
    <numFmt numFmtId="213" formatCode="0.0\x;&quot;N/A&quot;"/>
    <numFmt numFmtId="214" formatCode="0.000000"/>
    <numFmt numFmtId="215" formatCode="0.0_);\(0.0\)"/>
    <numFmt numFmtId="216" formatCode="#,##0;\(#,##0\)"/>
    <numFmt numFmtId="217" formatCode="0.0\x;\(0.0\x\)"/>
    <numFmt numFmtId="218" formatCode="#,##0.0_);\(#,##0.0\)"/>
    <numFmt numFmtId="219" formatCode="#,##0.00000;[Red]#,##0.00000"/>
    <numFmt numFmtId="220" formatCode="#,##0.0\ \x;[Red]\(#,##0.00\ \x\);\-"/>
    <numFmt numFmtId="221" formatCode="_(* #,##0.0_);_(* \(#,##0\);_(* &quot;-&quot;??_);_(@_)"/>
    <numFmt numFmtId="222" formatCode="#,##0.00\ \x;\(#,##0.0\ \x\);\-"/>
    <numFmt numFmtId="223" formatCode="[$$-1009]#,##0.00"/>
    <numFmt numFmtId="224" formatCode="_-[$£-809]* #,##0.00_-;\-[$£-809]* #,##0.00_-;_-[$£-809]* &quot;-&quot;??_-;_-@_-"/>
    <numFmt numFmtId="225" formatCode="#,##0.00;\(#,##0.00\)"/>
    <numFmt numFmtId="226" formatCode="#,##0.00;\(#,##0\);\-"/>
    <numFmt numFmtId="232" formatCode="_([$$-409]* #,##0.00_);_([$$-409]* \(#,##0.00\);_([$$-409]* &quot;-&quot;??_);_(@_)"/>
  </numFmts>
  <fonts count="107">
    <font>
      <sz val="11"/>
      <color theme="1"/>
      <name val="Calibri"/>
      <family val="2"/>
      <scheme val="minor"/>
    </font>
    <font>
      <sz val="11"/>
      <color theme="1"/>
      <name val="Calibri"/>
      <family val="2"/>
      <scheme val="minor"/>
    </font>
    <font>
      <sz val="10"/>
      <name val="Arial"/>
      <family val="2"/>
    </font>
    <font>
      <i/>
      <sz val="8"/>
      <name val="Arial"/>
      <family val="2"/>
    </font>
    <font>
      <b/>
      <sz val="8"/>
      <name val="Arial"/>
      <family val="2"/>
    </font>
    <font>
      <sz val="8"/>
      <name val="Arial"/>
      <family val="2"/>
    </font>
    <font>
      <sz val="10"/>
      <color indexed="12"/>
      <name val="Arial"/>
      <family val="2"/>
    </font>
    <font>
      <sz val="8"/>
      <name val="Times New Roman"/>
      <family val="1"/>
    </font>
    <font>
      <b/>
      <sz val="8"/>
      <color theme="1"/>
      <name val="Arial"/>
      <family val="2"/>
    </font>
    <font>
      <b/>
      <sz val="8"/>
      <color indexed="9"/>
      <name val="Arial"/>
      <family val="2"/>
    </font>
    <font>
      <sz val="10"/>
      <name val="Frutiger 45 Light"/>
      <family val="2"/>
    </font>
    <font>
      <sz val="9"/>
      <name val="Arial"/>
      <family val="2"/>
    </font>
    <font>
      <b/>
      <sz val="9"/>
      <color theme="0"/>
      <name val="Arial"/>
      <family val="2"/>
    </font>
    <font>
      <i/>
      <sz val="8"/>
      <color indexed="8"/>
      <name val="Arial"/>
      <family val="2"/>
    </font>
    <font>
      <b/>
      <i/>
      <sz val="8"/>
      <name val="Arial"/>
      <family val="2"/>
    </font>
    <font>
      <b/>
      <sz val="7"/>
      <name val="Arial"/>
      <family val="2"/>
    </font>
    <font>
      <b/>
      <sz val="8"/>
      <color rgb="FF0A0101"/>
      <name val="Arial"/>
      <family val="2"/>
    </font>
    <font>
      <sz val="8"/>
      <color rgb="FF0000FF"/>
      <name val="Arial"/>
      <family val="2"/>
    </font>
    <font>
      <sz val="10"/>
      <color rgb="FFFF0000"/>
      <name val="Arial"/>
      <family val="2"/>
    </font>
    <font>
      <sz val="8"/>
      <color theme="0"/>
      <name val="Arial"/>
      <family val="2"/>
    </font>
    <font>
      <b/>
      <sz val="12"/>
      <color indexed="8"/>
      <name val="Arial"/>
      <family val="2"/>
    </font>
    <font>
      <sz val="10"/>
      <color theme="0"/>
      <name val="Arial"/>
      <family val="2"/>
    </font>
    <font>
      <b/>
      <sz val="10"/>
      <color theme="0"/>
      <name val="Arial"/>
      <family val="2"/>
    </font>
    <font>
      <b/>
      <sz val="8"/>
      <color indexed="8"/>
      <name val="Arial"/>
      <family val="2"/>
    </font>
    <font>
      <b/>
      <sz val="8"/>
      <color indexed="10"/>
      <name val="Arial"/>
      <family val="2"/>
    </font>
    <font>
      <b/>
      <sz val="10"/>
      <name val="Arial"/>
      <family val="2"/>
    </font>
    <font>
      <sz val="8"/>
      <color indexed="8"/>
      <name val="Arial"/>
      <family val="2"/>
    </font>
    <font>
      <sz val="8"/>
      <color indexed="12"/>
      <name val="Arial"/>
      <family val="2"/>
    </font>
    <font>
      <u/>
      <sz val="8"/>
      <name val="Arial"/>
      <family val="2"/>
    </font>
    <font>
      <sz val="8"/>
      <color indexed="9"/>
      <name val="Arial"/>
      <family val="2"/>
    </font>
    <font>
      <b/>
      <sz val="10"/>
      <color indexed="9"/>
      <name val="Arial"/>
      <family val="2"/>
    </font>
    <font>
      <b/>
      <sz val="12"/>
      <name val="Arial"/>
      <family val="2"/>
    </font>
    <font>
      <sz val="8"/>
      <color theme="1"/>
      <name val="Arial"/>
      <family val="2"/>
    </font>
    <font>
      <i/>
      <sz val="10"/>
      <name val="Arial"/>
      <family val="2"/>
    </font>
    <font>
      <sz val="8"/>
      <color theme="1"/>
      <name val="Calibri"/>
      <family val="2"/>
      <scheme val="minor"/>
    </font>
    <font>
      <sz val="8"/>
      <color rgb="FF0000CC"/>
      <name val="Arial"/>
      <family val="2"/>
    </font>
    <font>
      <vertAlign val="superscript"/>
      <sz val="8"/>
      <name val="Arial"/>
      <family val="2"/>
    </font>
    <font>
      <sz val="8"/>
      <color rgb="FFFF0000"/>
      <name val="Arial"/>
      <family val="2"/>
    </font>
    <font>
      <b/>
      <sz val="8"/>
      <color theme="0"/>
      <name val="Arial"/>
      <family val="2"/>
    </font>
    <font>
      <sz val="8"/>
      <name val="Helvetica"/>
      <family val="2"/>
    </font>
    <font>
      <sz val="8"/>
      <color rgb="FF000000"/>
      <name val="Helvetica"/>
      <family val="2"/>
    </font>
    <font>
      <sz val="8"/>
      <color rgb="FF262626"/>
      <name val="Helvetica"/>
      <family val="2"/>
    </font>
    <font>
      <b/>
      <sz val="8"/>
      <color rgb="FF262626"/>
      <name val="Helvetica"/>
      <family val="2"/>
    </font>
    <font>
      <i/>
      <sz val="8"/>
      <color rgb="FF262626"/>
      <name val="Helvetica"/>
      <family val="2"/>
    </font>
    <font>
      <sz val="10"/>
      <color rgb="FF0000FF"/>
      <name val="Arial"/>
      <family val="2"/>
    </font>
    <font>
      <i/>
      <u/>
      <sz val="8"/>
      <name val="Arial"/>
      <family val="2"/>
    </font>
    <font>
      <sz val="7.5"/>
      <name val="Arial"/>
      <family val="2"/>
    </font>
    <font>
      <b/>
      <sz val="7.5"/>
      <color indexed="8"/>
      <name val="Arial"/>
      <family val="2"/>
    </font>
    <font>
      <b/>
      <u/>
      <sz val="8"/>
      <name val="Arial"/>
      <family val="2"/>
    </font>
    <font>
      <i/>
      <sz val="8"/>
      <color rgb="FF0000FF"/>
      <name val="Arial"/>
      <family val="2"/>
    </font>
    <font>
      <b/>
      <sz val="8"/>
      <color rgb="FF0000CC"/>
      <name val="Arial"/>
      <family val="2"/>
    </font>
    <font>
      <b/>
      <sz val="8"/>
      <color rgb="FFFF0000"/>
      <name val="Arial"/>
      <family val="2"/>
    </font>
    <font>
      <sz val="11"/>
      <color theme="1"/>
      <name val="Calibri"/>
      <family val="2"/>
    </font>
    <font>
      <sz val="9.5"/>
      <name val="Helvetica"/>
      <family val="2"/>
    </font>
    <font>
      <sz val="9.5"/>
      <color rgb="FF3366FF"/>
      <name val="Helvetica"/>
      <family val="2"/>
    </font>
    <font>
      <sz val="9.5"/>
      <color rgb="FF000000"/>
      <name val="Helvetica"/>
      <family val="2"/>
    </font>
    <font>
      <sz val="9.5"/>
      <color rgb="FF262626"/>
      <name val="Helvetica"/>
      <family val="2"/>
    </font>
    <font>
      <b/>
      <sz val="9.5"/>
      <color rgb="FF262626"/>
      <name val="Helvetica"/>
      <family val="2"/>
    </font>
    <font>
      <b/>
      <sz val="9.5"/>
      <color theme="0"/>
      <name val="Helvetica"/>
      <family val="2"/>
    </font>
    <font>
      <i/>
      <sz val="9.5"/>
      <color theme="1"/>
      <name val="Helvetica"/>
      <family val="2"/>
    </font>
    <font>
      <b/>
      <sz val="8"/>
      <name val="Helvetica"/>
      <family val="2"/>
    </font>
    <font>
      <sz val="10"/>
      <color theme="1"/>
      <name val="Arial"/>
      <family val="2"/>
    </font>
    <font>
      <b/>
      <u val="singleAccounting"/>
      <sz val="8"/>
      <color rgb="FFFFFFFF"/>
      <name val="Arial"/>
      <family val="2"/>
    </font>
    <font>
      <b/>
      <u val="singleAccounting"/>
      <sz val="8"/>
      <color theme="0"/>
      <name val="Arial"/>
      <family val="2"/>
    </font>
    <font>
      <vertAlign val="superscript"/>
      <sz val="11"/>
      <color theme="0"/>
      <name val="Calibri"/>
      <family val="2"/>
      <scheme val="minor"/>
    </font>
    <font>
      <b/>
      <sz val="8"/>
      <color rgb="FFFFFFFF"/>
      <name val="Arial"/>
      <family val="2"/>
    </font>
    <font>
      <sz val="8"/>
      <color theme="5" tint="-0.249977111117893"/>
      <name val="Arial"/>
      <family val="2"/>
    </font>
    <font>
      <u/>
      <sz val="11"/>
      <color theme="10"/>
      <name val="Calibri"/>
      <family val="2"/>
    </font>
    <font>
      <u/>
      <sz val="8"/>
      <color theme="10"/>
      <name val="Arial"/>
      <family val="2"/>
    </font>
    <font>
      <b/>
      <sz val="8"/>
      <color rgb="FF000000"/>
      <name val="Arial"/>
      <family val="2"/>
    </font>
    <font>
      <sz val="8"/>
      <color theme="0"/>
      <name val="Calibri"/>
      <family val="2"/>
      <scheme val="minor"/>
    </font>
    <font>
      <sz val="8"/>
      <color rgb="FFC00000"/>
      <name val="Arial"/>
      <family val="2"/>
    </font>
    <font>
      <b/>
      <sz val="8"/>
      <color rgb="FF0000FF"/>
      <name val="Arial"/>
      <family val="2"/>
    </font>
    <font>
      <u/>
      <sz val="11"/>
      <color theme="10"/>
      <name val="Calibri"/>
      <family val="2"/>
      <scheme val="minor"/>
    </font>
    <font>
      <b/>
      <sz val="11"/>
      <color theme="0"/>
      <name val="Arial"/>
      <family val="2"/>
    </font>
    <font>
      <sz val="8"/>
      <color indexed="10"/>
      <name val="Arial"/>
      <family val="2"/>
    </font>
    <font>
      <b/>
      <sz val="11"/>
      <color theme="0"/>
      <name val="Timeless"/>
    </font>
    <font>
      <b/>
      <sz val="9"/>
      <color theme="0"/>
      <name val="Timeless"/>
    </font>
    <font>
      <sz val="8"/>
      <color rgb="FF86654A"/>
      <name val="Arial"/>
      <family val="2"/>
    </font>
    <font>
      <b/>
      <sz val="8"/>
      <color indexed="12"/>
      <name val="Arial"/>
      <family val="2"/>
    </font>
    <font>
      <b/>
      <sz val="8"/>
      <color theme="1"/>
      <name val="Calibri"/>
      <family val="2"/>
      <scheme val="minor"/>
    </font>
    <font>
      <sz val="8"/>
      <color theme="5" tint="-0.499984740745262"/>
      <name val="Arial"/>
      <family val="2"/>
    </font>
    <font>
      <i/>
      <sz val="8"/>
      <color theme="5" tint="-0.499984740745262"/>
      <name val="Arial"/>
      <family val="2"/>
    </font>
    <font>
      <i/>
      <sz val="8"/>
      <color theme="1"/>
      <name val="Arial"/>
      <family val="2"/>
    </font>
    <font>
      <sz val="10"/>
      <color theme="0"/>
      <name val="Helvetica"/>
      <family val="2"/>
    </font>
    <font>
      <sz val="10"/>
      <name val="Helvetica"/>
      <family val="2"/>
    </font>
    <font>
      <b/>
      <sz val="10"/>
      <name val="Helvetica"/>
      <family val="2"/>
    </font>
    <font>
      <sz val="9"/>
      <color rgb="FFC00000"/>
      <name val="Helvetica"/>
      <family val="2"/>
    </font>
    <font>
      <sz val="8"/>
      <color rgb="FFC00000"/>
      <name val="Helvetica"/>
      <family val="2"/>
    </font>
    <font>
      <i/>
      <sz val="10"/>
      <name val="Helvetica"/>
      <family val="2"/>
    </font>
    <font>
      <sz val="8"/>
      <color rgb="FF0000FF"/>
      <name val="Helvetica"/>
      <family val="2"/>
    </font>
    <font>
      <b/>
      <i/>
      <sz val="8"/>
      <color theme="0" tint="-4.9989318521683403E-2"/>
      <name val="Arial"/>
      <family val="2"/>
    </font>
    <font>
      <sz val="8"/>
      <color theme="0" tint="-4.9989318521683403E-2"/>
      <name val="Arial"/>
      <family val="2"/>
    </font>
    <font>
      <b/>
      <sz val="10"/>
      <color indexed="8"/>
      <name val="Arial"/>
      <family val="2"/>
    </font>
    <font>
      <sz val="10"/>
      <color indexed="8"/>
      <name val="Arial"/>
      <family val="2"/>
    </font>
    <font>
      <sz val="11"/>
      <color rgb="FFFF0000"/>
      <name val="Calibri"/>
      <family val="2"/>
      <scheme val="minor"/>
    </font>
    <font>
      <i/>
      <sz val="8"/>
      <color rgb="FFFF0000"/>
      <name val="Arial"/>
      <family val="2"/>
    </font>
    <font>
      <sz val="8"/>
      <color rgb="FF0A0101"/>
      <name val="Arial"/>
      <family val="2"/>
    </font>
    <font>
      <sz val="10"/>
      <color theme="5" tint="-0.499984740745262"/>
      <name val="Arial"/>
      <family val="2"/>
    </font>
    <font>
      <sz val="9"/>
      <color theme="5" tint="-0.499984740745262"/>
      <name val="Arial"/>
      <family val="2"/>
    </font>
    <font>
      <b/>
      <sz val="8"/>
      <color theme="5" tint="-0.499984740745262"/>
      <name val="Arial"/>
      <family val="2"/>
    </font>
    <font>
      <sz val="8"/>
      <color rgb="FF000000"/>
      <name val="Arial"/>
      <family val="2"/>
    </font>
    <font>
      <b/>
      <vertAlign val="superscript"/>
      <sz val="8"/>
      <name val="Arial"/>
      <family val="2"/>
    </font>
    <font>
      <sz val="10"/>
      <color rgb="FFFF0000"/>
      <name val="Helvetica"/>
      <family val="2"/>
    </font>
    <font>
      <sz val="8"/>
      <name val="Helvetica"/>
      <family val="2"/>
    </font>
    <font>
      <sz val="10"/>
      <name val="Helvetica"/>
      <family val="2"/>
    </font>
    <font>
      <b/>
      <sz val="8"/>
      <color rgb="FF262626"/>
      <name val="Helvetica"/>
      <family val="2"/>
    </font>
  </fonts>
  <fills count="34">
    <fill>
      <patternFill patternType="none"/>
    </fill>
    <fill>
      <patternFill patternType="gray125"/>
    </fill>
    <fill>
      <patternFill patternType="solid">
        <fgColor theme="4" tint="0.7999816888943144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indexed="9"/>
        <bgColor indexed="64"/>
      </patternFill>
    </fill>
    <fill>
      <patternFill patternType="solid">
        <fgColor theme="2" tint="-0.499984740745262"/>
        <bgColor indexed="64"/>
      </patternFill>
    </fill>
    <fill>
      <patternFill patternType="solid">
        <fgColor theme="1" tint="0.249977111117893"/>
        <bgColor indexed="64"/>
      </patternFill>
    </fill>
    <fill>
      <patternFill patternType="solid">
        <fgColor theme="0" tint="-4.9989318521683403E-2"/>
        <bgColor indexed="64"/>
      </patternFill>
    </fill>
    <fill>
      <patternFill patternType="solid">
        <fgColor theme="0"/>
        <bgColor indexed="64"/>
      </patternFill>
    </fill>
    <fill>
      <patternFill patternType="solid">
        <fgColor theme="2" tint="-9.9978637043366805E-2"/>
        <bgColor indexed="64"/>
      </patternFill>
    </fill>
    <fill>
      <patternFill patternType="lightUp">
        <fgColor theme="3"/>
        <bgColor theme="0"/>
      </patternFill>
    </fill>
    <fill>
      <patternFill patternType="lightUp">
        <fgColor theme="3"/>
      </patternFill>
    </fill>
    <fill>
      <patternFill patternType="solid">
        <fgColor rgb="FF00B050"/>
        <bgColor indexed="64"/>
      </patternFill>
    </fill>
    <fill>
      <patternFill patternType="solid">
        <fgColor rgb="FFD7C3B7"/>
        <bgColor indexed="64"/>
      </patternFill>
    </fill>
    <fill>
      <patternFill patternType="solid">
        <fgColor theme="3" tint="0.39997558519241921"/>
        <bgColor indexed="64"/>
      </patternFill>
    </fill>
    <fill>
      <patternFill patternType="solid">
        <fgColor theme="1" tint="0.499984740745262"/>
        <bgColor indexed="64"/>
      </patternFill>
    </fill>
    <fill>
      <patternFill patternType="solid">
        <fgColor rgb="FFF2F2F2"/>
        <bgColor indexed="64"/>
      </patternFill>
    </fill>
    <fill>
      <patternFill patternType="solid">
        <fgColor rgb="FFDDEBF7"/>
        <bgColor indexed="64"/>
      </patternFill>
    </fill>
    <fill>
      <patternFill patternType="solid">
        <fgColor theme="3" tint="-0.499984740745262"/>
        <bgColor indexed="64"/>
      </patternFill>
    </fill>
    <fill>
      <patternFill patternType="lightUp"/>
    </fill>
    <fill>
      <patternFill patternType="lightUp">
        <bgColor theme="0" tint="-4.9989318521683403E-2"/>
      </patternFill>
    </fill>
    <fill>
      <patternFill patternType="solid">
        <fgColor theme="6" tint="0.79998168889431442"/>
        <bgColor indexed="64"/>
      </patternFill>
    </fill>
    <fill>
      <patternFill patternType="solid">
        <fgColor theme="5" tint="-0.499984740745262"/>
        <bgColor indexed="64"/>
      </patternFill>
    </fill>
    <fill>
      <patternFill patternType="solid">
        <fgColor rgb="FFFFFFFF"/>
        <bgColor indexed="64"/>
      </patternFill>
    </fill>
    <fill>
      <patternFill patternType="solid">
        <fgColor rgb="FFC00000"/>
        <bgColor indexed="64"/>
      </patternFill>
    </fill>
    <fill>
      <patternFill patternType="solid">
        <fgColor rgb="FFD9D9D9"/>
        <bgColor indexed="64"/>
      </patternFill>
    </fill>
    <fill>
      <patternFill patternType="solid">
        <fgColor theme="0"/>
        <bgColor theme="3"/>
      </patternFill>
    </fill>
    <fill>
      <patternFill patternType="solid">
        <fgColor indexed="65"/>
        <bgColor indexed="64"/>
      </patternFill>
    </fill>
    <fill>
      <patternFill patternType="solid">
        <fgColor indexed="65"/>
        <bgColor theme="3"/>
      </patternFill>
    </fill>
    <fill>
      <patternFill patternType="lightUp">
        <bgColor theme="4" tint="0.79995117038483843"/>
      </patternFill>
    </fill>
    <fill>
      <patternFill patternType="lightUp">
        <bgColor rgb="FFF2F2F2"/>
      </patternFill>
    </fill>
    <fill>
      <patternFill patternType="solid">
        <fgColor rgb="FFD9E1F2"/>
        <bgColor indexed="64"/>
      </patternFill>
    </fill>
    <fill>
      <patternFill patternType="solid">
        <fgColor rgb="FFFFFF00"/>
        <bgColor indexed="64"/>
      </patternFill>
    </fill>
  </fills>
  <borders count="117">
    <border>
      <left/>
      <right/>
      <top/>
      <bottom/>
      <diagonal/>
    </border>
    <border>
      <left/>
      <right/>
      <top style="thin">
        <color auto="1"/>
      </top>
      <bottom/>
      <diagonal/>
    </border>
    <border>
      <left/>
      <right style="thin">
        <color indexed="64"/>
      </right>
      <top style="thin">
        <color indexed="64"/>
      </top>
      <bottom style="thin">
        <color indexed="64"/>
      </bottom>
      <diagonal/>
    </border>
    <border>
      <left/>
      <right/>
      <top style="thin">
        <color auto="1"/>
      </top>
      <bottom style="thin">
        <color auto="1"/>
      </bottom>
      <diagonal/>
    </border>
    <border>
      <left style="thin">
        <color auto="1"/>
      </left>
      <right/>
      <top style="thin">
        <color indexed="64"/>
      </top>
      <bottom style="thin">
        <color auto="1"/>
      </bottom>
      <diagonal/>
    </border>
    <border>
      <left/>
      <right/>
      <top/>
      <bottom style="thin">
        <color indexed="28"/>
      </bottom>
      <diagonal/>
    </border>
    <border>
      <left/>
      <right/>
      <top style="hair">
        <color indexed="64"/>
      </top>
      <bottom/>
      <diagonal/>
    </border>
    <border>
      <left/>
      <right/>
      <top/>
      <bottom style="medium">
        <color auto="1"/>
      </bottom>
      <diagonal/>
    </border>
    <border>
      <left/>
      <right style="hair">
        <color auto="1"/>
      </right>
      <top/>
      <bottom style="hair">
        <color auto="1"/>
      </bottom>
      <diagonal/>
    </border>
    <border>
      <left/>
      <right/>
      <top/>
      <bottom style="hair">
        <color auto="1"/>
      </bottom>
      <diagonal/>
    </border>
    <border>
      <left style="hair">
        <color indexed="64"/>
      </left>
      <right/>
      <top/>
      <bottom style="hair">
        <color auto="1"/>
      </bottom>
      <diagonal/>
    </border>
    <border>
      <left/>
      <right style="hair">
        <color auto="1"/>
      </right>
      <top/>
      <bottom/>
      <diagonal/>
    </border>
    <border>
      <left style="hair">
        <color indexed="64"/>
      </left>
      <right/>
      <top/>
      <bottom/>
      <diagonal/>
    </border>
    <border>
      <left/>
      <right style="hair">
        <color indexed="64"/>
      </right>
      <top style="hair">
        <color indexed="64"/>
      </top>
      <bottom/>
      <diagonal/>
    </border>
    <border>
      <left style="hair">
        <color indexed="64"/>
      </left>
      <right/>
      <top style="hair">
        <color indexed="64"/>
      </top>
      <bottom/>
      <diagonal/>
    </border>
    <border>
      <left/>
      <right style="thin">
        <color auto="1"/>
      </right>
      <top/>
      <bottom style="thin">
        <color indexed="64"/>
      </bottom>
      <diagonal/>
    </border>
    <border>
      <left/>
      <right/>
      <top/>
      <bottom style="thin">
        <color indexed="64"/>
      </bottom>
      <diagonal/>
    </border>
    <border>
      <left style="thin">
        <color auto="1"/>
      </left>
      <right/>
      <top/>
      <bottom style="thin">
        <color indexed="64"/>
      </bottom>
      <diagonal/>
    </border>
    <border>
      <left/>
      <right style="thin">
        <color auto="1"/>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hair">
        <color auto="1"/>
      </top>
      <bottom style="hair">
        <color auto="1"/>
      </bottom>
      <diagonal/>
    </border>
    <border>
      <left style="thin">
        <color auto="1"/>
      </left>
      <right style="thin">
        <color auto="1"/>
      </right>
      <top/>
      <bottom style="thin">
        <color indexed="64"/>
      </bottom>
      <diagonal/>
    </border>
    <border>
      <left/>
      <right/>
      <top/>
      <bottom style="thin">
        <color theme="1" tint="0.24994659260841701"/>
      </bottom>
      <diagonal/>
    </border>
    <border>
      <left/>
      <right/>
      <top style="thin">
        <color theme="0" tint="-0.14993743705557422"/>
      </top>
      <bottom style="thin">
        <color theme="0" tint="-0.14990691854609822"/>
      </bottom>
      <diagonal/>
    </border>
    <border>
      <left/>
      <right/>
      <top style="thin">
        <color theme="0"/>
      </top>
      <bottom style="thin">
        <color theme="0" tint="-0.14993743705557422"/>
      </bottom>
      <diagonal/>
    </border>
    <border>
      <left/>
      <right/>
      <top/>
      <bottom style="thin">
        <color rgb="FFFFFFFF"/>
      </bottom>
      <diagonal/>
    </border>
    <border>
      <left style="thin">
        <color auto="1"/>
      </left>
      <right style="thin">
        <color auto="1"/>
      </right>
      <top/>
      <bottom/>
      <diagonal/>
    </border>
    <border>
      <left/>
      <right/>
      <top style="medium">
        <color auto="1"/>
      </top>
      <bottom style="thin">
        <color auto="1"/>
      </bottom>
      <diagonal/>
    </border>
    <border>
      <left/>
      <right/>
      <top style="medium">
        <color auto="1"/>
      </top>
      <bottom/>
      <diagonal/>
    </border>
    <border>
      <left/>
      <right/>
      <top style="thin">
        <color theme="2"/>
      </top>
      <bottom style="thin">
        <color theme="2"/>
      </bottom>
      <diagonal/>
    </border>
    <border>
      <left/>
      <right/>
      <top style="thin">
        <color theme="0"/>
      </top>
      <bottom style="thin">
        <color theme="2"/>
      </bottom>
      <diagonal/>
    </border>
    <border>
      <left style="thin">
        <color theme="5" tint="0.39997558519241921"/>
      </left>
      <right/>
      <top/>
      <bottom/>
      <diagonal/>
    </border>
    <border>
      <left/>
      <right style="thin">
        <color theme="5" tint="0.39997558519241921"/>
      </right>
      <top/>
      <bottom/>
      <diagonal/>
    </border>
    <border>
      <left style="thin">
        <color theme="5" tint="0.39997558519241921"/>
      </left>
      <right/>
      <top style="thin">
        <color theme="0"/>
      </top>
      <bottom style="thin">
        <color theme="2"/>
      </bottom>
      <diagonal/>
    </border>
    <border>
      <left/>
      <right style="thin">
        <color theme="5" tint="0.39997558519241921"/>
      </right>
      <top style="thin">
        <color theme="0"/>
      </top>
      <bottom style="thin">
        <color theme="2"/>
      </bottom>
      <diagonal/>
    </border>
    <border>
      <left style="thin">
        <color theme="5" tint="0.39997558519241921"/>
      </left>
      <right/>
      <top style="thin">
        <color theme="2"/>
      </top>
      <bottom style="thin">
        <color theme="2"/>
      </bottom>
      <diagonal/>
    </border>
    <border>
      <left/>
      <right style="thin">
        <color theme="5" tint="0.39997558519241921"/>
      </right>
      <top style="thin">
        <color theme="2"/>
      </top>
      <bottom style="thin">
        <color theme="2"/>
      </bottom>
      <diagonal/>
    </border>
    <border>
      <left style="thin">
        <color theme="5" tint="0.39997558519241921"/>
      </left>
      <right/>
      <top style="thin">
        <color theme="0"/>
      </top>
      <bottom style="thin">
        <color theme="5" tint="0.39997558519241921"/>
      </bottom>
      <diagonal/>
    </border>
    <border>
      <left/>
      <right/>
      <top style="thin">
        <color theme="0"/>
      </top>
      <bottom style="thin">
        <color theme="5" tint="0.39997558519241921"/>
      </bottom>
      <diagonal/>
    </border>
    <border>
      <left/>
      <right style="thin">
        <color theme="5" tint="0.39997558519241921"/>
      </right>
      <top style="thin">
        <color theme="0"/>
      </top>
      <bottom style="thin">
        <color theme="5" tint="0.39997558519241921"/>
      </bottom>
      <diagonal/>
    </border>
    <border>
      <left/>
      <right style="thin">
        <color auto="1"/>
      </right>
      <top/>
      <bottom/>
      <diagonal/>
    </border>
    <border>
      <left style="thin">
        <color auto="1"/>
      </left>
      <right/>
      <top/>
      <bottom/>
      <diagonal/>
    </border>
    <border>
      <left/>
      <right style="thin">
        <color theme="5" tint="0.59996337778862885"/>
      </right>
      <top/>
      <bottom style="thin">
        <color theme="5" tint="0.59996337778862885"/>
      </bottom>
      <diagonal/>
    </border>
    <border>
      <left/>
      <right/>
      <top/>
      <bottom style="thin">
        <color theme="5" tint="0.59996337778862885"/>
      </bottom>
      <diagonal/>
    </border>
    <border>
      <left/>
      <right style="thin">
        <color theme="5" tint="0.59996337778862885"/>
      </right>
      <top/>
      <bottom/>
      <diagonal/>
    </border>
    <border>
      <left style="thin">
        <color auto="1"/>
      </left>
      <right style="thin">
        <color auto="1"/>
      </right>
      <top/>
      <bottom style="hair">
        <color auto="1"/>
      </bottom>
      <diagonal/>
    </border>
    <border>
      <left style="thin">
        <color indexed="64"/>
      </left>
      <right style="thin">
        <color indexed="64"/>
      </right>
      <top style="hair">
        <color indexed="64"/>
      </top>
      <bottom style="hair">
        <color indexed="64"/>
      </bottom>
      <diagonal/>
    </border>
    <border>
      <left style="thin">
        <color auto="1"/>
      </left>
      <right style="thin">
        <color auto="1"/>
      </right>
      <top style="thin">
        <color auto="1"/>
      </top>
      <bottom style="hair">
        <color auto="1"/>
      </bottom>
      <diagonal/>
    </border>
    <border>
      <left style="thin">
        <color theme="5" tint="0.59996337778862885"/>
      </left>
      <right/>
      <top/>
      <bottom style="thin">
        <color theme="5" tint="0.59996337778862885"/>
      </bottom>
      <diagonal/>
    </border>
    <border>
      <left style="thin">
        <color theme="5" tint="0.59996337778862885"/>
      </left>
      <right/>
      <top/>
      <bottom/>
      <diagonal/>
    </border>
    <border>
      <left style="hair">
        <color auto="1"/>
      </left>
      <right style="hair">
        <color auto="1"/>
      </right>
      <top/>
      <bottom/>
      <diagonal/>
    </border>
    <border>
      <left/>
      <right style="thin">
        <color theme="5" tint="0.59996337778862885"/>
      </right>
      <top style="hair">
        <color auto="1"/>
      </top>
      <bottom/>
      <diagonal/>
    </border>
    <border>
      <left style="thin">
        <color theme="5" tint="0.59996337778862885"/>
      </left>
      <right/>
      <top style="hair">
        <color auto="1"/>
      </top>
      <bottom/>
      <diagonal/>
    </border>
    <border>
      <left/>
      <right style="thin">
        <color theme="5" tint="0.59996337778862885"/>
      </right>
      <top/>
      <bottom style="hair">
        <color auto="1"/>
      </bottom>
      <diagonal/>
    </border>
    <border>
      <left style="thin">
        <color theme="5" tint="0.59996337778862885"/>
      </left>
      <right/>
      <top/>
      <bottom style="hair">
        <color auto="1"/>
      </bottom>
      <diagonal/>
    </border>
    <border>
      <left/>
      <right style="thin">
        <color theme="5" tint="0.59996337778862885"/>
      </right>
      <top style="thin">
        <color theme="5" tint="0.59996337778862885"/>
      </top>
      <bottom/>
      <diagonal/>
    </border>
    <border>
      <left/>
      <right/>
      <top style="thin">
        <color theme="5" tint="0.59996337778862885"/>
      </top>
      <bottom/>
      <diagonal/>
    </border>
    <border>
      <left style="thin">
        <color theme="5" tint="0.59996337778862885"/>
      </left>
      <right/>
      <top style="thin">
        <color theme="5" tint="0.59996337778862885"/>
      </top>
      <bottom/>
      <diagonal/>
    </border>
    <border>
      <left/>
      <right style="hair">
        <color auto="1"/>
      </right>
      <top/>
      <bottom style="thin">
        <color theme="5" tint="0.59996337778862885"/>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diagonal/>
    </border>
    <border>
      <left/>
      <right style="medium">
        <color auto="1"/>
      </right>
      <top/>
      <bottom/>
      <diagonal/>
    </border>
    <border>
      <left style="medium">
        <color auto="1"/>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theme="2" tint="-0.24994659260841701"/>
      </left>
      <right/>
      <top style="hair">
        <color theme="2" tint="-0.24994659260841701"/>
      </top>
      <bottom/>
      <diagonal/>
    </border>
    <border>
      <left/>
      <right/>
      <top style="hair">
        <color theme="2" tint="-0.24994659260841701"/>
      </top>
      <bottom/>
      <diagonal/>
    </border>
    <border>
      <left/>
      <right style="hair">
        <color theme="2" tint="-0.24994659260841701"/>
      </right>
      <top style="hair">
        <color theme="2" tint="-0.24994659260841701"/>
      </top>
      <bottom/>
      <diagonal/>
    </border>
    <border>
      <left style="hair">
        <color theme="2" tint="-0.24994659260841701"/>
      </left>
      <right/>
      <top/>
      <bottom style="hair">
        <color theme="2" tint="-0.24994659260841701"/>
      </bottom>
      <diagonal/>
    </border>
    <border>
      <left/>
      <right/>
      <top/>
      <bottom style="hair">
        <color theme="2" tint="-0.24994659260841701"/>
      </bottom>
      <diagonal/>
    </border>
    <border>
      <left/>
      <right/>
      <top style="thin">
        <color theme="0" tint="-0.14990691854609822"/>
      </top>
      <bottom style="thin">
        <color theme="0" tint="-0.14990691854609822"/>
      </bottom>
      <diagonal/>
    </border>
    <border>
      <left/>
      <right/>
      <top style="thin">
        <color theme="0" tint="-0.14990691854609822"/>
      </top>
      <bottom/>
      <diagonal/>
    </border>
    <border>
      <left/>
      <right/>
      <top style="thin">
        <color theme="0" tint="-0.14993743705557422"/>
      </top>
      <bottom/>
      <diagonal/>
    </border>
    <border>
      <left style="thin">
        <color theme="5" tint="0.59996337778862885"/>
      </left>
      <right style="thin">
        <color theme="5" tint="0.59996337778862885"/>
      </right>
      <top style="thin">
        <color theme="5" tint="0.59996337778862885"/>
      </top>
      <bottom/>
      <diagonal/>
    </border>
    <border>
      <left style="thin">
        <color theme="5" tint="0.59996337778862885"/>
      </left>
      <right style="thin">
        <color theme="5" tint="0.59996337778862885"/>
      </right>
      <top/>
      <bottom style="thin">
        <color theme="5" tint="0.59996337778862885"/>
      </bottom>
      <diagonal/>
    </border>
    <border>
      <left style="medium">
        <color indexed="64"/>
      </left>
      <right style="medium">
        <color indexed="64"/>
      </right>
      <top style="medium">
        <color indexed="64"/>
      </top>
      <bottom style="medium">
        <color indexed="64"/>
      </bottom>
      <diagonal/>
    </border>
    <border>
      <left style="medium">
        <color theme="5" tint="-0.499984740745262"/>
      </left>
      <right/>
      <top style="medium">
        <color theme="5" tint="-0.499984740745262"/>
      </top>
      <bottom style="medium">
        <color theme="5" tint="-0.499984740745262"/>
      </bottom>
      <diagonal/>
    </border>
    <border>
      <left/>
      <right/>
      <top style="medium">
        <color theme="5" tint="-0.499984740745262"/>
      </top>
      <bottom style="medium">
        <color theme="5" tint="-0.499984740745262"/>
      </bottom>
      <diagonal/>
    </border>
    <border>
      <left/>
      <right style="medium">
        <color theme="5" tint="-0.499984740745262"/>
      </right>
      <top style="medium">
        <color theme="5" tint="-0.499984740745262"/>
      </top>
      <bottom style="medium">
        <color theme="5" tint="-0.499984740745262"/>
      </bottom>
      <diagonal/>
    </border>
    <border>
      <left/>
      <right/>
      <top/>
      <bottom style="thin">
        <color auto="1"/>
      </bottom>
      <diagonal/>
    </border>
    <border>
      <left/>
      <right style="thin">
        <color theme="7" tint="0.39997558519241921"/>
      </right>
      <top/>
      <bottom/>
      <diagonal/>
    </border>
    <border>
      <left style="thin">
        <color theme="7" tint="0.39997558519241921"/>
      </left>
      <right/>
      <top style="thin">
        <color theme="7" tint="0.39997558519241921"/>
      </top>
      <bottom/>
      <diagonal/>
    </border>
    <border>
      <left/>
      <right/>
      <top style="thin">
        <color theme="7" tint="0.39997558519241921"/>
      </top>
      <bottom/>
      <diagonal/>
    </border>
    <border>
      <left/>
      <right style="thin">
        <color theme="7" tint="0.39997558519241921"/>
      </right>
      <top style="thin">
        <color theme="7" tint="0.39997558519241921"/>
      </top>
      <bottom/>
      <diagonal/>
    </border>
    <border>
      <left style="thin">
        <color theme="7" tint="0.39997558519241921"/>
      </left>
      <right/>
      <top/>
      <bottom/>
      <diagonal/>
    </border>
    <border>
      <left style="thin">
        <color theme="7" tint="0.39997558519241921"/>
      </left>
      <right style="hair">
        <color indexed="64"/>
      </right>
      <top style="hair">
        <color indexed="64"/>
      </top>
      <bottom/>
      <diagonal/>
    </border>
    <border>
      <left style="hair">
        <color indexed="64"/>
      </left>
      <right style="thin">
        <color theme="7" tint="0.39997558519241921"/>
      </right>
      <top style="hair">
        <color indexed="64"/>
      </top>
      <bottom/>
      <diagonal/>
    </border>
    <border>
      <left style="thin">
        <color theme="7" tint="0.39997558519241921"/>
      </left>
      <right style="hair">
        <color auto="1"/>
      </right>
      <top/>
      <bottom/>
      <diagonal/>
    </border>
    <border>
      <left style="hair">
        <color indexed="64"/>
      </left>
      <right style="thin">
        <color theme="7" tint="0.39997558519241921"/>
      </right>
      <top/>
      <bottom/>
      <diagonal/>
    </border>
    <border>
      <left style="thin">
        <color theme="7" tint="0.39997558519241921"/>
      </left>
      <right style="hair">
        <color auto="1"/>
      </right>
      <top/>
      <bottom style="hair">
        <color auto="1"/>
      </bottom>
      <diagonal/>
    </border>
    <border>
      <left style="hair">
        <color indexed="64"/>
      </left>
      <right style="thin">
        <color theme="7" tint="0.39997558519241921"/>
      </right>
      <top/>
      <bottom style="hair">
        <color indexed="64"/>
      </bottom>
      <diagonal/>
    </border>
    <border>
      <left style="thin">
        <color theme="7" tint="0.39997558519241921"/>
      </left>
      <right style="thin">
        <color auto="1"/>
      </right>
      <top style="thin">
        <color auto="1"/>
      </top>
      <bottom/>
      <diagonal/>
    </border>
    <border>
      <left style="thin">
        <color theme="7" tint="0.39997558519241921"/>
      </left>
      <right style="thin">
        <color auto="1"/>
      </right>
      <top/>
      <bottom/>
      <diagonal/>
    </border>
    <border>
      <left style="thin">
        <color theme="7" tint="0.39997558519241921"/>
      </left>
      <right style="thin">
        <color indexed="64"/>
      </right>
      <top style="hair">
        <color indexed="64"/>
      </top>
      <bottom style="thin">
        <color indexed="64"/>
      </bottom>
      <diagonal/>
    </border>
    <border>
      <left style="thin">
        <color theme="7" tint="0.39997558519241921"/>
      </left>
      <right style="thin">
        <color auto="1"/>
      </right>
      <top style="thin">
        <color auto="1"/>
      </top>
      <bottom style="hair">
        <color auto="1"/>
      </bottom>
      <diagonal/>
    </border>
    <border>
      <left style="thin">
        <color theme="7" tint="0.39997558519241921"/>
      </left>
      <right style="thin">
        <color indexed="64"/>
      </right>
      <top style="hair">
        <color auto="1"/>
      </top>
      <bottom/>
      <diagonal/>
    </border>
    <border>
      <left style="thin">
        <color theme="7" tint="0.39997558519241921"/>
      </left>
      <right style="thin">
        <color auto="1"/>
      </right>
      <top/>
      <bottom style="thin">
        <color indexed="64"/>
      </bottom>
      <diagonal/>
    </border>
    <border>
      <left style="thin">
        <color theme="7" tint="0.39997558519241921"/>
      </left>
      <right/>
      <top/>
      <bottom style="thin">
        <color theme="7" tint="0.39997558519241921"/>
      </bottom>
      <diagonal/>
    </border>
    <border>
      <left/>
      <right/>
      <top/>
      <bottom style="thin">
        <color theme="7" tint="0.39997558519241921"/>
      </bottom>
      <diagonal/>
    </border>
    <border>
      <left/>
      <right style="thin">
        <color theme="7" tint="0.39997558519241921"/>
      </right>
      <top/>
      <bottom style="thin">
        <color theme="7" tint="0.39997558519241921"/>
      </bottom>
      <diagonal/>
    </border>
    <border>
      <left style="thin">
        <color theme="7" tint="0.39997558519241921"/>
      </left>
      <right/>
      <top style="hair">
        <color auto="1"/>
      </top>
      <bottom/>
      <diagonal/>
    </border>
    <border>
      <left/>
      <right style="thin">
        <color theme="7" tint="0.39997558519241921"/>
      </right>
      <top style="hair">
        <color indexed="64"/>
      </top>
      <bottom/>
      <diagonal/>
    </border>
    <border>
      <left style="thin">
        <color theme="7" tint="0.39997558519241921"/>
      </left>
      <right/>
      <top/>
      <bottom style="hair">
        <color auto="1"/>
      </bottom>
      <diagonal/>
    </border>
    <border>
      <left/>
      <right style="thin">
        <color theme="7" tint="0.39997558519241921"/>
      </right>
      <top/>
      <bottom style="hair">
        <color auto="1"/>
      </bottom>
      <diagonal/>
    </border>
    <border>
      <left style="thin">
        <color theme="7" tint="0.39997558519241921"/>
      </left>
      <right/>
      <top style="thin">
        <color auto="1"/>
      </top>
      <bottom style="thin">
        <color auto="1"/>
      </bottom>
      <diagonal/>
    </border>
    <border>
      <left/>
      <right style="thin">
        <color theme="7" tint="0.39997558519241921"/>
      </right>
      <top style="thin">
        <color auto="1"/>
      </top>
      <bottom style="thin">
        <color auto="1"/>
      </bottom>
      <diagonal/>
    </border>
    <border>
      <left style="thin">
        <color theme="7" tint="0.39997558519241921"/>
      </left>
      <right/>
      <top style="thin">
        <color auto="1"/>
      </top>
      <bottom style="thin">
        <color theme="7" tint="0.39997558519241921"/>
      </bottom>
      <diagonal/>
    </border>
    <border>
      <left/>
      <right/>
      <top style="thin">
        <color auto="1"/>
      </top>
      <bottom style="thin">
        <color theme="7" tint="0.39997558519241921"/>
      </bottom>
      <diagonal/>
    </border>
    <border>
      <left/>
      <right style="thin">
        <color theme="7" tint="0.39997558519241921"/>
      </right>
      <top style="thin">
        <color auto="1"/>
      </top>
      <bottom style="thin">
        <color theme="7" tint="0.39997558519241921"/>
      </bottom>
      <diagonal/>
    </border>
    <border>
      <left style="thin">
        <color theme="7" tint="0.39997558519241921"/>
      </left>
      <right/>
      <top/>
      <bottom style="thin">
        <color theme="5" tint="0.59996337778862885"/>
      </bottom>
      <diagonal/>
    </border>
    <border>
      <left/>
      <right style="thin">
        <color theme="7" tint="0.39997558519241921"/>
      </right>
      <top/>
      <bottom style="thin">
        <color theme="5" tint="0.59996337778862885"/>
      </bottom>
      <diagonal/>
    </border>
  </borders>
  <cellStyleXfs count="34">
    <xf numFmtId="0" fontId="0" fillId="0" borderId="0"/>
    <xf numFmtId="168" fontId="1" fillId="0" borderId="0" applyFont="0" applyFill="0" applyBorder="0" applyAlignment="0" applyProtection="0"/>
    <xf numFmtId="169" fontId="1" fillId="0" borderId="0" applyFont="0" applyFill="0" applyBorder="0" applyAlignment="0" applyProtection="0"/>
    <xf numFmtId="9" fontId="1" fillId="0" borderId="0" applyFont="0" applyFill="0" applyBorder="0" applyAlignment="0" applyProtection="0"/>
    <xf numFmtId="0" fontId="2" fillId="0" borderId="0"/>
    <xf numFmtId="0" fontId="2" fillId="0" borderId="0">
      <alignment vertical="top"/>
    </xf>
    <xf numFmtId="174" fontId="6" fillId="0" borderId="0" applyNumberFormat="0" applyFont="0" applyBorder="0" applyAlignment="0" applyProtection="0"/>
    <xf numFmtId="0" fontId="2" fillId="0" borderId="0"/>
    <xf numFmtId="176" fontId="7" fillId="0" borderId="0"/>
    <xf numFmtId="0" fontId="2" fillId="0" borderId="0"/>
    <xf numFmtId="9" fontId="2" fillId="0" borderId="0" applyFont="0" applyFill="0" applyBorder="0" applyAlignment="0" applyProtection="0"/>
    <xf numFmtId="0" fontId="10" fillId="0" borderId="0"/>
    <xf numFmtId="0" fontId="15" fillId="0" borderId="5" applyNumberFormat="0" applyFont="0" applyFill="0" applyAlignment="0" applyProtection="0">
      <alignment horizontal="centerContinuous"/>
    </xf>
    <xf numFmtId="169" fontId="2" fillId="0" borderId="0" applyFont="0" applyFill="0" applyBorder="0" applyAlignment="0" applyProtection="0"/>
    <xf numFmtId="0" fontId="15" fillId="0" borderId="5" applyNumberFormat="0" applyFont="0" applyFill="0" applyAlignment="0" applyProtection="0">
      <alignment horizontal="centerContinuous"/>
    </xf>
    <xf numFmtId="0" fontId="15" fillId="0" borderId="0" applyFill="0" applyBorder="0" applyProtection="0"/>
    <xf numFmtId="43" fontId="2" fillId="0" borderId="0" applyFont="0" applyFill="0" applyBorder="0" applyAlignment="0" applyProtection="0"/>
    <xf numFmtId="208" fontId="61" fillId="0" borderId="0"/>
    <xf numFmtId="9" fontId="2" fillId="0" borderId="0" applyFont="0" applyFill="0" applyBorder="0" applyAlignment="0" applyProtection="0"/>
    <xf numFmtId="168" fontId="2" fillId="0" borderId="0" applyFont="0" applyFill="0" applyBorder="0" applyAlignment="0" applyProtection="0"/>
    <xf numFmtId="208" fontId="2" fillId="0" borderId="0"/>
    <xf numFmtId="0" fontId="2" fillId="0" borderId="0"/>
    <xf numFmtId="167" fontId="2" fillId="0" borderId="0" applyFont="0" applyFill="0" applyBorder="0" applyAlignment="0" applyProtection="0"/>
    <xf numFmtId="0" fontId="1" fillId="0" borderId="0"/>
    <xf numFmtId="43" fontId="2" fillId="0" borderId="0" applyFont="0" applyFill="0" applyBorder="0" applyAlignment="0" applyProtection="0"/>
    <xf numFmtId="169" fontId="2" fillId="0" borderId="0" applyFont="0" applyFill="0" applyBorder="0" applyAlignment="0" applyProtection="0"/>
    <xf numFmtId="0" fontId="67" fillId="0" borderId="0" applyNumberFormat="0" applyFill="0" applyBorder="0" applyAlignment="0" applyProtection="0">
      <alignment vertical="top"/>
      <protection locked="0"/>
    </xf>
    <xf numFmtId="43" fontId="1" fillId="0" borderId="0" applyFont="0" applyFill="0" applyBorder="0" applyAlignment="0" applyProtection="0"/>
    <xf numFmtId="0" fontId="73" fillId="0" borderId="0" applyNumberFormat="0" applyFill="0" applyBorder="0" applyAlignment="0" applyProtection="0"/>
    <xf numFmtId="214" fontId="2" fillId="0" borderId="0">
      <alignment horizontal="left" wrapText="1"/>
    </xf>
    <xf numFmtId="0" fontId="2" fillId="0" borderId="0" applyFill="0" applyBorder="0" applyAlignment="0" applyProtection="0"/>
    <xf numFmtId="0" fontId="1" fillId="0" borderId="0"/>
    <xf numFmtId="183" fontId="93" fillId="24" borderId="28">
      <alignment horizontal="right"/>
    </xf>
    <xf numFmtId="183" fontId="94" fillId="24" borderId="28">
      <alignment horizontal="right"/>
    </xf>
  </cellStyleXfs>
  <cellXfs count="1359">
    <xf numFmtId="0" fontId="0" fillId="0" borderId="0" xfId="0"/>
    <xf numFmtId="0" fontId="3" fillId="0" borderId="0" xfId="4" applyFont="1"/>
    <xf numFmtId="0" fontId="2" fillId="0" borderId="0" xfId="4"/>
    <xf numFmtId="0" fontId="5" fillId="0" borderId="0" xfId="4" applyFont="1"/>
    <xf numFmtId="0" fontId="5" fillId="2" borderId="0" xfId="4" applyFont="1" applyFill="1"/>
    <xf numFmtId="0" fontId="5" fillId="3" borderId="0" xfId="4" applyFont="1" applyFill="1"/>
    <xf numFmtId="173" fontId="5" fillId="0" borderId="0" xfId="4" applyNumberFormat="1" applyFont="1"/>
    <xf numFmtId="0" fontId="5" fillId="0" borderId="0" xfId="5" applyFont="1">
      <alignment vertical="top"/>
    </xf>
    <xf numFmtId="176" fontId="5" fillId="5" borderId="0" xfId="8" quotePrefix="1" applyFont="1" applyFill="1" applyAlignment="1">
      <alignment horizontal="left" indent="1"/>
    </xf>
    <xf numFmtId="0" fontId="5" fillId="5" borderId="0" xfId="9" applyFont="1" applyFill="1"/>
    <xf numFmtId="170" fontId="5" fillId="0" borderId="0" xfId="4" applyNumberFormat="1" applyFont="1" applyAlignment="1">
      <alignment horizontal="right"/>
    </xf>
    <xf numFmtId="176" fontId="5" fillId="5" borderId="0" xfId="8" applyFont="1" applyFill="1" applyAlignment="1">
      <alignment horizontal="left"/>
    </xf>
    <xf numFmtId="15" fontId="5" fillId="0" borderId="0" xfId="4" applyNumberFormat="1" applyFont="1"/>
    <xf numFmtId="10" fontId="5" fillId="0" borderId="0" xfId="4" applyNumberFormat="1" applyFont="1" applyAlignment="1">
      <alignment horizontal="right"/>
    </xf>
    <xf numFmtId="178" fontId="5" fillId="0" borderId="0" xfId="11" applyNumberFormat="1" applyFont="1"/>
    <xf numFmtId="0" fontId="5" fillId="0" borderId="3" xfId="4" applyFont="1" applyBorder="1"/>
    <xf numFmtId="0" fontId="5" fillId="0" borderId="4" xfId="4" applyFont="1" applyBorder="1"/>
    <xf numFmtId="173" fontId="4" fillId="9" borderId="0" xfId="4" applyNumberFormat="1" applyFont="1" applyFill="1"/>
    <xf numFmtId="173" fontId="5" fillId="9" borderId="0" xfId="4" applyNumberFormat="1" applyFont="1" applyFill="1"/>
    <xf numFmtId="0" fontId="5" fillId="0" borderId="0" xfId="11" applyFont="1"/>
    <xf numFmtId="0" fontId="16" fillId="0" borderId="0" xfId="0" applyFont="1"/>
    <xf numFmtId="0" fontId="4" fillId="0" borderId="0" xfId="4" applyFont="1" applyAlignment="1">
      <alignment horizontal="centerContinuous"/>
    </xf>
    <xf numFmtId="173" fontId="4" fillId="0" borderId="0" xfId="4" applyNumberFormat="1" applyFont="1"/>
    <xf numFmtId="0" fontId="4" fillId="0" borderId="0" xfId="4" applyFont="1"/>
    <xf numFmtId="0" fontId="17" fillId="2" borderId="0" xfId="4" applyFont="1" applyFill="1"/>
    <xf numFmtId="0" fontId="18" fillId="0" borderId="0" xfId="4" applyFont="1"/>
    <xf numFmtId="0" fontId="2" fillId="7" borderId="0" xfId="4" applyFill="1"/>
    <xf numFmtId="181" fontId="19" fillId="7" borderId="0" xfId="4" applyNumberFormat="1" applyFont="1" applyFill="1" applyAlignment="1">
      <alignment horizontal="center"/>
    </xf>
    <xf numFmtId="0" fontId="5" fillId="7" borderId="0" xfId="4" applyFont="1" applyFill="1"/>
    <xf numFmtId="0" fontId="20" fillId="7" borderId="0" xfId="4" applyFont="1" applyFill="1"/>
    <xf numFmtId="0" fontId="2" fillId="0" borderId="1" xfId="4" applyBorder="1"/>
    <xf numFmtId="181" fontId="19" fillId="9" borderId="1" xfId="4" applyNumberFormat="1" applyFont="1" applyFill="1" applyBorder="1" applyAlignment="1">
      <alignment horizontal="center"/>
    </xf>
    <xf numFmtId="0" fontId="5" fillId="0" borderId="1" xfId="4" applyFont="1" applyBorder="1"/>
    <xf numFmtId="0" fontId="20" fillId="0" borderId="1" xfId="4" applyFont="1" applyBorder="1"/>
    <xf numFmtId="181" fontId="21" fillId="7" borderId="0" xfId="4" applyNumberFormat="1" applyFont="1" applyFill="1" applyAlignment="1">
      <alignment horizontal="center"/>
    </xf>
    <xf numFmtId="0" fontId="21" fillId="7" borderId="0" xfId="4" applyFont="1" applyFill="1"/>
    <xf numFmtId="0" fontId="22" fillId="7" borderId="0" xfId="4" applyFont="1" applyFill="1"/>
    <xf numFmtId="0" fontId="23" fillId="0" borderId="0" xfId="4" applyFont="1"/>
    <xf numFmtId="182" fontId="4" fillId="0" borderId="0" xfId="4" applyNumberFormat="1" applyFont="1" applyAlignment="1">
      <alignment horizontal="centerContinuous"/>
    </xf>
    <xf numFmtId="182" fontId="4" fillId="0" borderId="0" xfId="4" applyNumberFormat="1" applyFont="1"/>
    <xf numFmtId="15" fontId="24" fillId="0" borderId="0" xfId="4" applyNumberFormat="1" applyFont="1"/>
    <xf numFmtId="0" fontId="25" fillId="0" borderId="0" xfId="4" applyFont="1"/>
    <xf numFmtId="0" fontId="5" fillId="10" borderId="0" xfId="4" applyFont="1" applyFill="1"/>
    <xf numFmtId="173" fontId="5" fillId="0" borderId="3" xfId="11" applyNumberFormat="1" applyFont="1" applyBorder="1"/>
    <xf numFmtId="0" fontId="5" fillId="0" borderId="3" xfId="11" applyFont="1" applyBorder="1"/>
    <xf numFmtId="173" fontId="17" fillId="0" borderId="0" xfId="12" applyNumberFormat="1" applyFont="1" applyFill="1" applyBorder="1" applyAlignment="1">
      <alignment horizontal="right"/>
    </xf>
    <xf numFmtId="173" fontId="5" fillId="0" borderId="0" xfId="11" applyNumberFormat="1" applyFont="1"/>
    <xf numFmtId="173" fontId="5" fillId="0" borderId="1" xfId="11" applyNumberFormat="1" applyFont="1" applyBorder="1"/>
    <xf numFmtId="0" fontId="5" fillId="0" borderId="1" xfId="11" applyFont="1" applyBorder="1"/>
    <xf numFmtId="173" fontId="17" fillId="0" borderId="0" xfId="14" applyNumberFormat="1" applyFont="1" applyFill="1" applyBorder="1" applyAlignment="1">
      <alignment horizontal="right"/>
    </xf>
    <xf numFmtId="173" fontId="2" fillId="0" borderId="0" xfId="4" applyNumberFormat="1"/>
    <xf numFmtId="0" fontId="26" fillId="0" borderId="0" xfId="11" applyFont="1"/>
    <xf numFmtId="0" fontId="4" fillId="0" borderId="0" xfId="15" applyFont="1" applyFill="1"/>
    <xf numFmtId="173" fontId="27" fillId="0" borderId="0" xfId="12" applyNumberFormat="1" applyFont="1" applyFill="1" applyBorder="1" applyAlignment="1">
      <alignment horizontal="right"/>
    </xf>
    <xf numFmtId="0" fontId="5" fillId="0" borderId="0" xfId="4" quotePrefix="1" applyFont="1"/>
    <xf numFmtId="0" fontId="28" fillId="0" borderId="0" xfId="15" applyFont="1" applyFill="1"/>
    <xf numFmtId="0" fontId="23" fillId="0" borderId="7" xfId="4" applyFont="1" applyBorder="1"/>
    <xf numFmtId="0" fontId="5" fillId="0" borderId="7" xfId="4" applyFont="1" applyBorder="1"/>
    <xf numFmtId="0" fontId="5" fillId="0" borderId="0" xfId="4" applyFont="1" applyAlignment="1">
      <alignment horizontal="right"/>
    </xf>
    <xf numFmtId="173" fontId="3" fillId="0" borderId="2" xfId="11" applyNumberFormat="1" applyFont="1" applyBorder="1" applyAlignment="1">
      <alignment horizontal="right"/>
    </xf>
    <xf numFmtId="173" fontId="3" fillId="0" borderId="3" xfId="11" applyNumberFormat="1" applyFont="1" applyBorder="1" applyAlignment="1">
      <alignment horizontal="right"/>
    </xf>
    <xf numFmtId="178" fontId="5" fillId="0" borderId="0" xfId="4" applyNumberFormat="1" applyFont="1"/>
    <xf numFmtId="0" fontId="3" fillId="0" borderId="0" xfId="11" applyFont="1"/>
    <xf numFmtId="0" fontId="23" fillId="0" borderId="1" xfId="11" applyFont="1" applyBorder="1" applyAlignment="1">
      <alignment horizontal="left" indent="1"/>
    </xf>
    <xf numFmtId="173" fontId="17" fillId="0" borderId="0" xfId="11" applyNumberFormat="1" applyFont="1"/>
    <xf numFmtId="0" fontId="26" fillId="0" borderId="0" xfId="11" applyFont="1" applyAlignment="1">
      <alignment horizontal="left"/>
    </xf>
    <xf numFmtId="0" fontId="4" fillId="0" borderId="0" xfId="11" applyFont="1"/>
    <xf numFmtId="0" fontId="26" fillId="0" borderId="0" xfId="11" applyFont="1" applyAlignment="1">
      <alignment horizontal="left" indent="1"/>
    </xf>
    <xf numFmtId="10" fontId="5" fillId="0" borderId="0" xfId="11" applyNumberFormat="1" applyFont="1"/>
    <xf numFmtId="0" fontId="5" fillId="0" borderId="0" xfId="11" applyFont="1" applyAlignment="1">
      <alignment horizontal="left" indent="1"/>
    </xf>
    <xf numFmtId="0" fontId="5" fillId="9" borderId="0" xfId="11" applyFont="1" applyFill="1"/>
    <xf numFmtId="183" fontId="5" fillId="0" borderId="0" xfId="11" applyNumberFormat="1" applyFont="1"/>
    <xf numFmtId="0" fontId="5" fillId="0" borderId="9" xfId="4" applyFont="1" applyBorder="1"/>
    <xf numFmtId="0" fontId="5" fillId="9" borderId="0" xfId="4" applyFont="1" applyFill="1"/>
    <xf numFmtId="0" fontId="5" fillId="0" borderId="6" xfId="4" applyFont="1" applyBorder="1"/>
    <xf numFmtId="170" fontId="5" fillId="0" borderId="0" xfId="3" applyNumberFormat="1" applyFont="1" applyFill="1" applyBorder="1"/>
    <xf numFmtId="173" fontId="5" fillId="8" borderId="1" xfId="4" applyNumberFormat="1" applyFont="1" applyFill="1" applyBorder="1"/>
    <xf numFmtId="173" fontId="5" fillId="0" borderId="1" xfId="4" applyNumberFormat="1" applyFont="1" applyBorder="1"/>
    <xf numFmtId="0" fontId="4" fillId="0" borderId="1" xfId="4" applyFont="1" applyBorder="1"/>
    <xf numFmtId="0" fontId="3" fillId="0" borderId="0" xfId="4" applyFont="1" applyAlignment="1">
      <alignment horizontal="left" indent="1"/>
    </xf>
    <xf numFmtId="0" fontId="5" fillId="0" borderId="0" xfId="4" applyFont="1" applyAlignment="1">
      <alignment horizontal="left" indent="1"/>
    </xf>
    <xf numFmtId="0" fontId="5" fillId="0" borderId="0" xfId="4" applyFont="1" applyAlignment="1">
      <alignment horizontal="left"/>
    </xf>
    <xf numFmtId="173" fontId="17" fillId="0" borderId="0" xfId="4" applyNumberFormat="1" applyFont="1"/>
    <xf numFmtId="9" fontId="27" fillId="0" borderId="0" xfId="3" applyFont="1" applyFill="1" applyAlignment="1">
      <alignment horizontal="right"/>
    </xf>
    <xf numFmtId="173" fontId="27" fillId="0" borderId="0" xfId="13" applyNumberFormat="1" applyFont="1" applyFill="1" applyAlignment="1">
      <alignment horizontal="right"/>
    </xf>
    <xf numFmtId="0" fontId="4" fillId="0" borderId="7" xfId="4" applyFont="1" applyBorder="1"/>
    <xf numFmtId="185" fontId="5" fillId="0" borderId="0" xfId="4" applyNumberFormat="1" applyFont="1"/>
    <xf numFmtId="0" fontId="19" fillId="4" borderId="0" xfId="4" applyFont="1" applyFill="1"/>
    <xf numFmtId="0" fontId="33" fillId="0" borderId="0" xfId="4" applyFont="1"/>
    <xf numFmtId="0" fontId="3" fillId="0" borderId="0" xfId="4" quotePrefix="1" applyFont="1"/>
    <xf numFmtId="185" fontId="27" fillId="0" borderId="0" xfId="4" applyNumberFormat="1" applyFont="1"/>
    <xf numFmtId="9" fontId="5" fillId="0" borderId="0" xfId="10" applyFont="1" applyFill="1" applyBorder="1" applyAlignment="1">
      <alignment horizontal="right"/>
    </xf>
    <xf numFmtId="169" fontId="5" fillId="0" borderId="0" xfId="2" applyFont="1" applyFill="1" applyBorder="1" applyAlignment="1">
      <alignment horizontal="right"/>
    </xf>
    <xf numFmtId="0" fontId="5" fillId="4" borderId="0" xfId="4" applyFont="1" applyFill="1"/>
    <xf numFmtId="0" fontId="34" fillId="0" borderId="0" xfId="0" applyFont="1"/>
    <xf numFmtId="173" fontId="17" fillId="2" borderId="16" xfId="4" applyNumberFormat="1" applyFont="1" applyFill="1" applyBorder="1"/>
    <xf numFmtId="0" fontId="5" fillId="0" borderId="16" xfId="4" applyFont="1" applyBorder="1"/>
    <xf numFmtId="186" fontId="5" fillId="0" borderId="0" xfId="4" applyNumberFormat="1" applyFont="1"/>
    <xf numFmtId="180" fontId="17" fillId="2" borderId="0" xfId="4" applyNumberFormat="1" applyFont="1" applyFill="1"/>
    <xf numFmtId="187" fontId="26" fillId="0" borderId="0" xfId="10" applyNumberFormat="1" applyFont="1" applyFill="1" applyAlignment="1">
      <alignment horizontal="right"/>
    </xf>
    <xf numFmtId="0" fontId="4" fillId="0" borderId="7" xfId="4" applyFont="1" applyBorder="1" applyAlignment="1">
      <alignment horizontal="left"/>
    </xf>
    <xf numFmtId="186" fontId="5" fillId="8" borderId="1" xfId="4" applyNumberFormat="1" applyFont="1" applyFill="1" applyBorder="1"/>
    <xf numFmtId="186" fontId="5" fillId="0" borderId="1" xfId="4" applyNumberFormat="1" applyFont="1" applyBorder="1"/>
    <xf numFmtId="0" fontId="5" fillId="0" borderId="1" xfId="4" applyFont="1" applyBorder="1" applyAlignment="1">
      <alignment horizontal="left"/>
    </xf>
    <xf numFmtId="186" fontId="17" fillId="9" borderId="0" xfId="4" applyNumberFormat="1" applyFont="1" applyFill="1"/>
    <xf numFmtId="186" fontId="5" fillId="8" borderId="0" xfId="4" applyNumberFormat="1" applyFont="1" applyFill="1"/>
    <xf numFmtId="180" fontId="5" fillId="0" borderId="0" xfId="4" applyNumberFormat="1" applyFont="1"/>
    <xf numFmtId="180" fontId="26" fillId="0" borderId="0" xfId="12" applyNumberFormat="1" applyFont="1" applyFill="1" applyBorder="1" applyAlignment="1">
      <alignment horizontal="right"/>
    </xf>
    <xf numFmtId="0" fontId="5" fillId="0" borderId="1" xfId="4" applyFont="1" applyBorder="1" applyAlignment="1">
      <alignment horizontal="left" indent="1"/>
    </xf>
    <xf numFmtId="180" fontId="26" fillId="0" borderId="0" xfId="10" applyNumberFormat="1" applyFont="1" applyFill="1" applyBorder="1" applyAlignment="1">
      <alignment horizontal="right"/>
    </xf>
    <xf numFmtId="180" fontId="5" fillId="0" borderId="0" xfId="3" applyNumberFormat="1" applyFont="1" applyFill="1" applyBorder="1" applyAlignment="1">
      <alignment horizontal="right"/>
    </xf>
    <xf numFmtId="0" fontId="5" fillId="0" borderId="9" xfId="4" applyFont="1" applyBorder="1" applyAlignment="1">
      <alignment horizontal="left"/>
    </xf>
    <xf numFmtId="9" fontId="5" fillId="0" borderId="0" xfId="3" applyFont="1" applyFill="1" applyBorder="1"/>
    <xf numFmtId="180" fontId="26" fillId="0" borderId="0" xfId="3" applyNumberFormat="1" applyFont="1" applyFill="1" applyAlignment="1">
      <alignment horizontal="right"/>
    </xf>
    <xf numFmtId="173" fontId="5" fillId="0" borderId="0" xfId="16" applyNumberFormat="1" applyFont="1" applyFill="1" applyBorder="1" applyAlignment="1">
      <alignment horizontal="right"/>
    </xf>
    <xf numFmtId="0" fontId="4" fillId="0" borderId="0" xfId="4" applyFont="1" applyAlignment="1">
      <alignment horizontal="left"/>
    </xf>
    <xf numFmtId="1" fontId="27" fillId="0" borderId="1" xfId="4" applyNumberFormat="1" applyFont="1" applyBorder="1"/>
    <xf numFmtId="0" fontId="20" fillId="0" borderId="0" xfId="4" applyFont="1"/>
    <xf numFmtId="1" fontId="27" fillId="0" borderId="0" xfId="4" applyNumberFormat="1" applyFont="1"/>
    <xf numFmtId="0" fontId="3" fillId="0" borderId="0" xfId="4" applyFont="1" applyAlignment="1">
      <alignment horizontal="left" indent="2"/>
    </xf>
    <xf numFmtId="180" fontId="5" fillId="0" borderId="0" xfId="4" applyNumberFormat="1" applyFont="1" applyAlignment="1">
      <alignment horizontal="right"/>
    </xf>
    <xf numFmtId="0" fontId="3" fillId="0" borderId="0" xfId="4" applyFont="1" applyAlignment="1">
      <alignment horizontal="left"/>
    </xf>
    <xf numFmtId="173" fontId="5" fillId="0" borderId="7" xfId="4" applyNumberFormat="1" applyFont="1" applyBorder="1"/>
    <xf numFmtId="1" fontId="27" fillId="0" borderId="7" xfId="4" applyNumberFormat="1" applyFont="1" applyBorder="1"/>
    <xf numFmtId="0" fontId="2" fillId="0" borderId="7" xfId="4" applyBorder="1"/>
    <xf numFmtId="180" fontId="17" fillId="0" borderId="0" xfId="4" applyNumberFormat="1" applyFont="1"/>
    <xf numFmtId="170" fontId="5" fillId="0" borderId="0" xfId="4" applyNumberFormat="1" applyFont="1"/>
    <xf numFmtId="2" fontId="2" fillId="0" borderId="0" xfId="4" applyNumberFormat="1"/>
    <xf numFmtId="170" fontId="5" fillId="8" borderId="0" xfId="3" applyNumberFormat="1" applyFont="1" applyFill="1" applyBorder="1"/>
    <xf numFmtId="0" fontId="5" fillId="9" borderId="1" xfId="4" applyFont="1" applyFill="1" applyBorder="1"/>
    <xf numFmtId="15" fontId="5" fillId="9" borderId="0" xfId="4" applyNumberFormat="1" applyFont="1" applyFill="1"/>
    <xf numFmtId="15" fontId="35" fillId="9" borderId="1" xfId="4" applyNumberFormat="1" applyFont="1" applyFill="1" applyBorder="1"/>
    <xf numFmtId="1" fontId="35" fillId="9" borderId="0" xfId="4" applyNumberFormat="1" applyFont="1" applyFill="1"/>
    <xf numFmtId="1" fontId="5" fillId="9" borderId="0" xfId="4" applyNumberFormat="1" applyFont="1" applyFill="1"/>
    <xf numFmtId="15" fontId="35" fillId="9" borderId="0" xfId="4" applyNumberFormat="1" applyFont="1" applyFill="1"/>
    <xf numFmtId="181" fontId="19" fillId="0" borderId="0" xfId="4" applyNumberFormat="1" applyFont="1" applyAlignment="1">
      <alignment horizontal="center"/>
    </xf>
    <xf numFmtId="186" fontId="5" fillId="9" borderId="0" xfId="4" applyNumberFormat="1" applyFont="1" applyFill="1"/>
    <xf numFmtId="0" fontId="5" fillId="9" borderId="0" xfId="4" applyFont="1" applyFill="1" applyAlignment="1">
      <alignment horizontal="left"/>
    </xf>
    <xf numFmtId="186" fontId="5" fillId="12" borderId="0" xfId="16" applyNumberFormat="1" applyFont="1" applyFill="1" applyBorder="1" applyAlignment="1">
      <alignment horizontal="right"/>
    </xf>
    <xf numFmtId="186" fontId="5" fillId="9" borderId="0" xfId="16" applyNumberFormat="1" applyFont="1" applyFill="1" applyBorder="1" applyAlignment="1">
      <alignment horizontal="right"/>
    </xf>
    <xf numFmtId="186" fontId="5" fillId="0" borderId="1" xfId="16" applyNumberFormat="1" applyFont="1" applyFill="1" applyBorder="1" applyAlignment="1">
      <alignment horizontal="right"/>
    </xf>
    <xf numFmtId="186" fontId="5" fillId="11" borderId="1" xfId="16" applyNumberFormat="1" applyFont="1" applyFill="1" applyBorder="1" applyAlignment="1">
      <alignment horizontal="right"/>
    </xf>
    <xf numFmtId="0" fontId="5" fillId="9" borderId="1" xfId="4" applyFont="1" applyFill="1" applyBorder="1" applyAlignment="1">
      <alignment horizontal="left"/>
    </xf>
    <xf numFmtId="186" fontId="5" fillId="12" borderId="1" xfId="16" applyNumberFormat="1" applyFont="1" applyFill="1" applyBorder="1" applyAlignment="1">
      <alignment horizontal="right"/>
    </xf>
    <xf numFmtId="186" fontId="5" fillId="11" borderId="0" xfId="16" applyNumberFormat="1" applyFont="1" applyFill="1" applyBorder="1" applyAlignment="1">
      <alignment horizontal="right"/>
    </xf>
    <xf numFmtId="0" fontId="25" fillId="0" borderId="7" xfId="4" applyFont="1" applyBorder="1" applyAlignment="1">
      <alignment horizontal="left" indent="1"/>
    </xf>
    <xf numFmtId="9" fontId="5" fillId="0" borderId="0" xfId="4" applyNumberFormat="1" applyFont="1"/>
    <xf numFmtId="186" fontId="4" fillId="8" borderId="1" xfId="4" applyNumberFormat="1" applyFont="1" applyFill="1" applyBorder="1"/>
    <xf numFmtId="186" fontId="4" fillId="0" borderId="1" xfId="4" applyNumberFormat="1" applyFont="1" applyBorder="1"/>
    <xf numFmtId="0" fontId="4" fillId="0" borderId="1" xfId="4" applyFont="1" applyBorder="1" applyAlignment="1">
      <alignment horizontal="left"/>
    </xf>
    <xf numFmtId="0" fontId="5" fillId="0" borderId="3" xfId="4" applyFont="1" applyBorder="1" applyAlignment="1">
      <alignment horizontal="left"/>
    </xf>
    <xf numFmtId="186" fontId="27" fillId="0" borderId="0" xfId="16" applyNumberFormat="1" applyFont="1" applyFill="1" applyBorder="1"/>
    <xf numFmtId="186" fontId="4" fillId="9" borderId="1" xfId="4" applyNumberFormat="1" applyFont="1" applyFill="1" applyBorder="1"/>
    <xf numFmtId="0" fontId="4" fillId="0" borderId="0" xfId="4" quotePrefix="1" applyFont="1"/>
    <xf numFmtId="186" fontId="5" fillId="8" borderId="0" xfId="4" quotePrefix="1" applyNumberFormat="1" applyFont="1" applyFill="1"/>
    <xf numFmtId="186" fontId="5" fillId="9" borderId="0" xfId="4" quotePrefix="1" applyNumberFormat="1" applyFont="1" applyFill="1"/>
    <xf numFmtId="0" fontId="5" fillId="0" borderId="0" xfId="4" quotePrefix="1" applyFont="1" applyAlignment="1">
      <alignment horizontal="left"/>
    </xf>
    <xf numFmtId="186" fontId="5" fillId="9" borderId="1" xfId="4" applyNumberFormat="1" applyFont="1" applyFill="1" applyBorder="1"/>
    <xf numFmtId="186" fontId="17" fillId="2" borderId="0" xfId="4" applyNumberFormat="1" applyFont="1" applyFill="1"/>
    <xf numFmtId="186" fontId="4" fillId="0" borderId="0" xfId="4" applyNumberFormat="1" applyFont="1"/>
    <xf numFmtId="0" fontId="4" fillId="0" borderId="0" xfId="4" applyFont="1" applyAlignment="1">
      <alignment horizontal="left" indent="1"/>
    </xf>
    <xf numFmtId="186" fontId="5" fillId="0" borderId="0" xfId="4" quotePrefix="1" applyNumberFormat="1" applyFont="1"/>
    <xf numFmtId="188" fontId="5" fillId="0" borderId="0" xfId="4" applyNumberFormat="1" applyFont="1"/>
    <xf numFmtId="186" fontId="4" fillId="9" borderId="0" xfId="4" applyNumberFormat="1" applyFont="1" applyFill="1"/>
    <xf numFmtId="0" fontId="25" fillId="9" borderId="0" xfId="4" applyFont="1" applyFill="1"/>
    <xf numFmtId="0" fontId="4" fillId="9" borderId="0" xfId="4" applyFont="1" applyFill="1"/>
    <xf numFmtId="0" fontId="2" fillId="9" borderId="0" xfId="4" applyFill="1"/>
    <xf numFmtId="0" fontId="2" fillId="9" borderId="1" xfId="4" applyFill="1" applyBorder="1"/>
    <xf numFmtId="186" fontId="37" fillId="0" borderId="0" xfId="16" applyNumberFormat="1" applyFont="1" applyFill="1" applyBorder="1" applyAlignment="1">
      <alignment horizontal="right"/>
    </xf>
    <xf numFmtId="186" fontId="5" fillId="8" borderId="9" xfId="16" applyNumberFormat="1" applyFont="1" applyFill="1" applyBorder="1" applyAlignment="1">
      <alignment horizontal="right"/>
    </xf>
    <xf numFmtId="186" fontId="5" fillId="9" borderId="9" xfId="16" applyNumberFormat="1" applyFont="1" applyFill="1" applyBorder="1" applyAlignment="1">
      <alignment horizontal="right"/>
    </xf>
    <xf numFmtId="186" fontId="5" fillId="8" borderId="0" xfId="16" applyNumberFormat="1" applyFont="1" applyFill="1" applyBorder="1" applyAlignment="1">
      <alignment horizontal="right"/>
    </xf>
    <xf numFmtId="179" fontId="5" fillId="0" borderId="0" xfId="4" applyNumberFormat="1" applyFont="1"/>
    <xf numFmtId="0" fontId="5" fillId="0" borderId="22" xfId="4" applyFont="1" applyBorder="1"/>
    <xf numFmtId="186" fontId="23" fillId="0" borderId="0" xfId="4" applyNumberFormat="1" applyFont="1" applyAlignment="1">
      <alignment horizontal="right"/>
    </xf>
    <xf numFmtId="4" fontId="5" fillId="0" borderId="0" xfId="4" applyNumberFormat="1" applyFont="1"/>
    <xf numFmtId="179" fontId="5" fillId="0" borderId="9" xfId="4" applyNumberFormat="1" applyFont="1" applyBorder="1"/>
    <xf numFmtId="179" fontId="5" fillId="0" borderId="6" xfId="4" applyNumberFormat="1" applyFont="1" applyBorder="1"/>
    <xf numFmtId="192" fontId="5" fillId="0" borderId="0" xfId="4" applyNumberFormat="1" applyFont="1"/>
    <xf numFmtId="0" fontId="2" fillId="0" borderId="0" xfId="5">
      <alignment vertical="top"/>
    </xf>
    <xf numFmtId="170" fontId="6" fillId="0" borderId="0" xfId="4" applyNumberFormat="1" applyFont="1" applyAlignment="1">
      <alignment horizontal="right"/>
    </xf>
    <xf numFmtId="176" fontId="4" fillId="5" borderId="0" xfId="8" applyFont="1" applyFill="1"/>
    <xf numFmtId="176" fontId="5" fillId="5" borderId="0" xfId="8" applyFont="1" applyFill="1"/>
    <xf numFmtId="173" fontId="17" fillId="2" borderId="0" xfId="7" applyNumberFormat="1" applyFont="1" applyFill="1"/>
    <xf numFmtId="0" fontId="5" fillId="0" borderId="0" xfId="5" quotePrefix="1" applyFont="1">
      <alignment vertical="top"/>
    </xf>
    <xf numFmtId="0" fontId="4" fillId="0" borderId="0" xfId="7" applyFont="1"/>
    <xf numFmtId="0" fontId="5" fillId="9" borderId="0" xfId="5" applyFont="1" applyFill="1">
      <alignment vertical="top"/>
    </xf>
    <xf numFmtId="0" fontId="4" fillId="0" borderId="1" xfId="5" applyFont="1" applyBorder="1">
      <alignment vertical="top"/>
    </xf>
    <xf numFmtId="170" fontId="27" fillId="2" borderId="0" xfId="6" applyNumberFormat="1" applyFont="1" applyFill="1" applyBorder="1" applyAlignment="1">
      <alignment horizontal="right" vertical="center"/>
    </xf>
    <xf numFmtId="176" fontId="3" fillId="5" borderId="0" xfId="8" applyFont="1" applyFill="1" applyAlignment="1">
      <alignment horizontal="left"/>
    </xf>
    <xf numFmtId="0" fontId="4" fillId="0" borderId="0" xfId="5" applyFont="1">
      <alignment vertical="top"/>
    </xf>
    <xf numFmtId="0" fontId="5" fillId="0" borderId="0" xfId="7" applyFont="1"/>
    <xf numFmtId="170" fontId="17" fillId="2" borderId="0" xfId="6" applyNumberFormat="1" applyFont="1" applyFill="1" applyBorder="1" applyAlignment="1">
      <alignment horizontal="right" vertical="center"/>
    </xf>
    <xf numFmtId="177" fontId="35" fillId="2" borderId="0" xfId="9" applyNumberFormat="1" applyFont="1" applyFill="1" applyAlignment="1" applyProtection="1">
      <alignment horizontal="right"/>
      <protection locked="0"/>
    </xf>
    <xf numFmtId="10" fontId="27" fillId="2" borderId="0" xfId="6" applyNumberFormat="1" applyFont="1" applyFill="1" applyBorder="1" applyAlignment="1">
      <alignment horizontal="right" vertical="center"/>
    </xf>
    <xf numFmtId="0" fontId="31" fillId="0" borderId="0" xfId="4" applyFont="1"/>
    <xf numFmtId="0" fontId="42" fillId="0" borderId="0" xfId="0" applyFont="1" applyAlignment="1">
      <alignment horizontal="left" vertical="center" wrapText="1"/>
    </xf>
    <xf numFmtId="0" fontId="39" fillId="0" borderId="0" xfId="0" applyFont="1" applyAlignment="1">
      <alignment vertical="top" wrapText="1"/>
    </xf>
    <xf numFmtId="0" fontId="39" fillId="0" borderId="0" xfId="0" applyFont="1" applyAlignment="1">
      <alignment horizontal="center" vertical="top" wrapText="1"/>
    </xf>
    <xf numFmtId="0" fontId="23" fillId="7" borderId="0" xfId="4" applyFont="1" applyFill="1"/>
    <xf numFmtId="0" fontId="23" fillId="0" borderId="1" xfId="4" applyFont="1" applyBorder="1"/>
    <xf numFmtId="173" fontId="17" fillId="0" borderId="0" xfId="4" applyNumberFormat="1" applyFont="1" applyAlignment="1">
      <alignment horizontal="right"/>
    </xf>
    <xf numFmtId="0" fontId="44" fillId="2" borderId="0" xfId="4" applyFont="1" applyFill="1"/>
    <xf numFmtId="178" fontId="4" fillId="0" borderId="1" xfId="11" applyNumberFormat="1" applyFont="1" applyBorder="1"/>
    <xf numFmtId="178" fontId="5" fillId="0" borderId="1" xfId="11" applyNumberFormat="1" applyFont="1" applyBorder="1"/>
    <xf numFmtId="0" fontId="45" fillId="0" borderId="0" xfId="4" applyFont="1"/>
    <xf numFmtId="196" fontId="39" fillId="8" borderId="25" xfId="0" applyNumberFormat="1" applyFont="1" applyFill="1" applyBorder="1" applyAlignment="1">
      <alignment horizontal="center" vertical="center" wrapText="1"/>
    </xf>
    <xf numFmtId="198" fontId="5" fillId="9" borderId="0" xfId="4" applyNumberFormat="1" applyFont="1" applyFill="1"/>
    <xf numFmtId="0" fontId="23" fillId="9" borderId="0" xfId="4" applyFont="1" applyFill="1"/>
    <xf numFmtId="0" fontId="5" fillId="9" borderId="16" xfId="4" applyFont="1" applyFill="1" applyBorder="1"/>
    <xf numFmtId="173" fontId="5" fillId="9" borderId="1" xfId="4" applyNumberFormat="1" applyFont="1" applyFill="1" applyBorder="1"/>
    <xf numFmtId="0" fontId="38" fillId="0" borderId="0" xfId="4" applyFont="1"/>
    <xf numFmtId="0" fontId="22" fillId="0" borderId="0" xfId="4" applyFont="1"/>
    <xf numFmtId="199" fontId="4" fillId="0" borderId="7" xfId="4" applyNumberFormat="1" applyFont="1" applyBorder="1"/>
    <xf numFmtId="182" fontId="4" fillId="0" borderId="16" xfId="4" applyNumberFormat="1" applyFont="1" applyBorder="1" applyAlignment="1">
      <alignment horizontal="centerContinuous"/>
    </xf>
    <xf numFmtId="0" fontId="46" fillId="9" borderId="0" xfId="4" applyFont="1" applyFill="1"/>
    <xf numFmtId="0" fontId="47" fillId="9" borderId="0" xfId="4" applyFont="1" applyFill="1"/>
    <xf numFmtId="0" fontId="4" fillId="2" borderId="3" xfId="4" applyFont="1" applyFill="1" applyBorder="1"/>
    <xf numFmtId="173" fontId="4" fillId="0" borderId="1" xfId="4" applyNumberFormat="1" applyFont="1" applyBorder="1"/>
    <xf numFmtId="0" fontId="4" fillId="9" borderId="1" xfId="4" applyFont="1" applyFill="1" applyBorder="1"/>
    <xf numFmtId="10" fontId="4" fillId="0" borderId="0" xfId="4" applyNumberFormat="1" applyFont="1" applyAlignment="1">
      <alignment horizontal="left"/>
    </xf>
    <xf numFmtId="0" fontId="4" fillId="0" borderId="0" xfId="4" applyFont="1" applyAlignment="1">
      <alignment horizontal="right"/>
    </xf>
    <xf numFmtId="4" fontId="4" fillId="0" borderId="0" xfId="4" applyNumberFormat="1" applyFont="1"/>
    <xf numFmtId="201" fontId="5" fillId="0" borderId="0" xfId="4" applyNumberFormat="1" applyFont="1"/>
    <xf numFmtId="200" fontId="5" fillId="0" borderId="0" xfId="4" applyNumberFormat="1" applyFont="1" applyAlignment="1">
      <alignment horizontal="right"/>
    </xf>
    <xf numFmtId="200" fontId="5" fillId="0" borderId="0" xfId="4" applyNumberFormat="1" applyFont="1"/>
    <xf numFmtId="9" fontId="5" fillId="9" borderId="0" xfId="4" applyNumberFormat="1" applyFont="1" applyFill="1"/>
    <xf numFmtId="0" fontId="3" fillId="9" borderId="0" xfId="4" applyFont="1" applyFill="1"/>
    <xf numFmtId="170" fontId="5" fillId="9" borderId="0" xfId="4" applyNumberFormat="1" applyFont="1" applyFill="1"/>
    <xf numFmtId="0" fontId="5" fillId="9" borderId="9" xfId="4" applyFont="1" applyFill="1" applyBorder="1"/>
    <xf numFmtId="0" fontId="17" fillId="0" borderId="0" xfId="4" applyFont="1"/>
    <xf numFmtId="0" fontId="9" fillId="0" borderId="0" xfId="4" applyFont="1" applyAlignment="1">
      <alignment horizontal="right"/>
    </xf>
    <xf numFmtId="0" fontId="2" fillId="7" borderId="16" xfId="4" applyFill="1" applyBorder="1"/>
    <xf numFmtId="0" fontId="21" fillId="7" borderId="16" xfId="4" applyFont="1" applyFill="1" applyBorder="1"/>
    <xf numFmtId="184" fontId="4" fillId="0" borderId="3" xfId="4" applyNumberFormat="1" applyFont="1" applyBorder="1" applyAlignment="1">
      <alignment horizontal="right"/>
    </xf>
    <xf numFmtId="0" fontId="4" fillId="0" borderId="3" xfId="4" applyFont="1" applyBorder="1"/>
    <xf numFmtId="171" fontId="5" fillId="0" borderId="0" xfId="4" applyNumberFormat="1" applyFont="1"/>
    <xf numFmtId="0" fontId="35" fillId="0" borderId="0" xfId="4" applyFont="1"/>
    <xf numFmtId="0" fontId="4" fillId="0" borderId="7" xfId="4" applyFont="1" applyBorder="1" applyAlignment="1">
      <alignment horizontal="right"/>
    </xf>
    <xf numFmtId="10" fontId="35" fillId="0" borderId="0" xfId="4" applyNumberFormat="1" applyFont="1"/>
    <xf numFmtId="165" fontId="4" fillId="0" borderId="0" xfId="4" applyNumberFormat="1" applyFont="1"/>
    <xf numFmtId="173" fontId="5" fillId="0" borderId="0" xfId="4" applyNumberFormat="1" applyFont="1" applyAlignment="1">
      <alignment horizontal="right"/>
    </xf>
    <xf numFmtId="0" fontId="17" fillId="0" borderId="0" xfId="4" applyFont="1" applyAlignment="1">
      <alignment horizontal="right"/>
    </xf>
    <xf numFmtId="0" fontId="35" fillId="0" borderId="0" xfId="4" applyFont="1" applyAlignment="1">
      <alignment horizontal="right"/>
    </xf>
    <xf numFmtId="9" fontId="4" fillId="0" borderId="1" xfId="4" applyNumberFormat="1" applyFont="1" applyBorder="1"/>
    <xf numFmtId="202" fontId="5" fillId="9" borderId="0" xfId="4" applyNumberFormat="1" applyFont="1" applyFill="1"/>
    <xf numFmtId="9" fontId="4" fillId="0" borderId="0" xfId="4" applyNumberFormat="1" applyFont="1"/>
    <xf numFmtId="9" fontId="4" fillId="0" borderId="6" xfId="4" applyNumberFormat="1" applyFont="1" applyBorder="1"/>
    <xf numFmtId="173" fontId="4" fillId="0" borderId="6" xfId="4" applyNumberFormat="1" applyFont="1" applyBorder="1"/>
    <xf numFmtId="0" fontId="4" fillId="0" borderId="6" xfId="4" applyFont="1" applyBorder="1"/>
    <xf numFmtId="202" fontId="4" fillId="9" borderId="0" xfId="4" applyNumberFormat="1" applyFont="1" applyFill="1"/>
    <xf numFmtId="202" fontId="4" fillId="9" borderId="6" xfId="4" applyNumberFormat="1" applyFont="1" applyFill="1" applyBorder="1"/>
    <xf numFmtId="173" fontId="4" fillId="9" borderId="6" xfId="4" applyNumberFormat="1" applyFont="1" applyFill="1" applyBorder="1"/>
    <xf numFmtId="0" fontId="4" fillId="9" borderId="6" xfId="4" applyFont="1" applyFill="1" applyBorder="1"/>
    <xf numFmtId="0" fontId="37" fillId="9" borderId="0" xfId="4" applyFont="1" applyFill="1"/>
    <xf numFmtId="173" fontId="32" fillId="0" borderId="0" xfId="4" applyNumberFormat="1" applyFont="1"/>
    <xf numFmtId="0" fontId="32" fillId="0" borderId="0" xfId="4" applyFont="1"/>
    <xf numFmtId="9" fontId="5" fillId="0" borderId="6" xfId="4" applyNumberFormat="1" applyFont="1" applyBorder="1"/>
    <xf numFmtId="173" fontId="32" fillId="0" borderId="6" xfId="4" applyNumberFormat="1" applyFont="1" applyBorder="1"/>
    <xf numFmtId="10" fontId="3" fillId="9" borderId="0" xfId="4" applyNumberFormat="1" applyFont="1" applyFill="1"/>
    <xf numFmtId="173" fontId="5" fillId="0" borderId="6" xfId="4" applyNumberFormat="1" applyFont="1" applyBorder="1"/>
    <xf numFmtId="177" fontId="5" fillId="0" borderId="6" xfId="4" applyNumberFormat="1" applyFont="1" applyBorder="1"/>
    <xf numFmtId="177" fontId="5" fillId="0" borderId="0" xfId="4" applyNumberFormat="1" applyFont="1"/>
    <xf numFmtId="203" fontId="49" fillId="9" borderId="0" xfId="4" applyNumberFormat="1" applyFont="1" applyFill="1"/>
    <xf numFmtId="0" fontId="32" fillId="9" borderId="0" xfId="4" applyFont="1" applyFill="1"/>
    <xf numFmtId="165" fontId="5" fillId="9" borderId="0" xfId="4" applyNumberFormat="1" applyFont="1" applyFill="1"/>
    <xf numFmtId="0" fontId="9" fillId="0" borderId="0" xfId="4" applyFont="1"/>
    <xf numFmtId="184" fontId="4" fillId="2" borderId="3" xfId="4" applyNumberFormat="1" applyFont="1" applyFill="1" applyBorder="1" applyAlignment="1">
      <alignment horizontal="right"/>
    </xf>
    <xf numFmtId="177" fontId="5" fillId="0" borderId="0" xfId="4" applyNumberFormat="1" applyFont="1" applyAlignment="1">
      <alignment horizontal="right"/>
    </xf>
    <xf numFmtId="204" fontId="5" fillId="0" borderId="0" xfId="4" applyNumberFormat="1" applyFont="1" applyAlignment="1">
      <alignment horizontal="right"/>
    </xf>
    <xf numFmtId="177" fontId="5" fillId="9" borderId="0" xfId="4" applyNumberFormat="1" applyFont="1" applyFill="1" applyAlignment="1">
      <alignment horizontal="right"/>
    </xf>
    <xf numFmtId="0" fontId="5" fillId="9" borderId="0" xfId="4" applyFont="1" applyFill="1" applyAlignment="1">
      <alignment horizontal="right"/>
    </xf>
    <xf numFmtId="203" fontId="49" fillId="0" borderId="0" xfId="4" applyNumberFormat="1" applyFont="1"/>
    <xf numFmtId="0" fontId="35" fillId="0" borderId="20" xfId="4" applyFont="1" applyBorder="1" applyAlignment="1">
      <alignment horizontal="center"/>
    </xf>
    <xf numFmtId="0" fontId="35" fillId="0" borderId="2" xfId="4" applyFont="1" applyBorder="1" applyAlignment="1">
      <alignment horizontal="center"/>
    </xf>
    <xf numFmtId="0" fontId="4" fillId="9" borderId="0" xfId="4" applyFont="1" applyFill="1" applyAlignment="1">
      <alignment horizontal="center"/>
    </xf>
    <xf numFmtId="0" fontId="30" fillId="0" borderId="0" xfId="4" applyFont="1"/>
    <xf numFmtId="0" fontId="2" fillId="9" borderId="0" xfId="4" applyFill="1" applyAlignment="1">
      <alignment horizontal="left"/>
    </xf>
    <xf numFmtId="186" fontId="2" fillId="9" borderId="0" xfId="4" applyNumberFormat="1" applyFill="1"/>
    <xf numFmtId="0" fontId="5" fillId="9" borderId="3" xfId="4" applyFont="1" applyFill="1" applyBorder="1" applyAlignment="1">
      <alignment horizontal="center"/>
    </xf>
    <xf numFmtId="0" fontId="5" fillId="9" borderId="3" xfId="4" applyFont="1" applyFill="1" applyBorder="1" applyAlignment="1">
      <alignment horizontal="left"/>
    </xf>
    <xf numFmtId="0" fontId="5" fillId="9" borderId="3" xfId="4" applyFont="1" applyFill="1" applyBorder="1"/>
    <xf numFmtId="186" fontId="4" fillId="9" borderId="3" xfId="4" applyNumberFormat="1" applyFont="1" applyFill="1" applyBorder="1"/>
    <xf numFmtId="0" fontId="4" fillId="9" borderId="3" xfId="4" applyFont="1" applyFill="1" applyBorder="1"/>
    <xf numFmtId="0" fontId="4" fillId="9" borderId="3" xfId="4" applyFont="1" applyFill="1" applyBorder="1" applyAlignment="1">
      <alignment horizontal="left"/>
    </xf>
    <xf numFmtId="205" fontId="3" fillId="9" borderId="0" xfId="4" applyNumberFormat="1" applyFont="1" applyFill="1" applyAlignment="1">
      <alignment horizontal="left"/>
    </xf>
    <xf numFmtId="199" fontId="4" fillId="0" borderId="7" xfId="4" applyNumberFormat="1" applyFont="1" applyBorder="1" applyAlignment="1">
      <alignment horizontal="left"/>
    </xf>
    <xf numFmtId="10" fontId="5" fillId="9" borderId="0" xfId="4" applyNumberFormat="1" applyFont="1" applyFill="1"/>
    <xf numFmtId="186" fontId="3" fillId="9" borderId="0" xfId="4" applyNumberFormat="1" applyFont="1" applyFill="1" applyAlignment="1">
      <alignment horizontal="center"/>
    </xf>
    <xf numFmtId="186" fontId="3" fillId="9" borderId="0" xfId="4" applyNumberFormat="1" applyFont="1" applyFill="1"/>
    <xf numFmtId="0" fontId="3" fillId="9" borderId="0" xfId="4" applyFont="1" applyFill="1" applyAlignment="1">
      <alignment horizontal="left"/>
    </xf>
    <xf numFmtId="205" fontId="14" fillId="9" borderId="3" xfId="4" applyNumberFormat="1" applyFont="1" applyFill="1" applyBorder="1" applyAlignment="1">
      <alignment horizontal="left"/>
    </xf>
    <xf numFmtId="205" fontId="3" fillId="9" borderId="1" xfId="4" applyNumberFormat="1" applyFont="1" applyFill="1" applyBorder="1" applyAlignment="1">
      <alignment horizontal="left"/>
    </xf>
    <xf numFmtId="186" fontId="5" fillId="9" borderId="16" xfId="4" applyNumberFormat="1" applyFont="1" applyFill="1" applyBorder="1"/>
    <xf numFmtId="203" fontId="3" fillId="9" borderId="16" xfId="4" applyNumberFormat="1" applyFont="1" applyFill="1" applyBorder="1" applyAlignment="1">
      <alignment horizontal="left"/>
    </xf>
    <xf numFmtId="186" fontId="5" fillId="0" borderId="3" xfId="4" applyNumberFormat="1" applyFont="1" applyBorder="1"/>
    <xf numFmtId="0" fontId="5" fillId="0" borderId="16" xfId="4" applyFont="1" applyBorder="1" applyAlignment="1">
      <alignment horizontal="left"/>
    </xf>
    <xf numFmtId="186" fontId="5" fillId="0" borderId="16" xfId="4" applyNumberFormat="1" applyFont="1" applyBorder="1"/>
    <xf numFmtId="0" fontId="4" fillId="9" borderId="16" xfId="4" applyFont="1" applyFill="1" applyBorder="1"/>
    <xf numFmtId="186" fontId="3" fillId="0" borderId="0" xfId="4" applyNumberFormat="1" applyFont="1"/>
    <xf numFmtId="0" fontId="20" fillId="0" borderId="0" xfId="4" applyFont="1" applyAlignment="1">
      <alignment horizontal="left"/>
    </xf>
    <xf numFmtId="0" fontId="5" fillId="9" borderId="23" xfId="4" applyFont="1" applyFill="1" applyBorder="1" applyAlignment="1">
      <alignment horizontal="center"/>
    </xf>
    <xf numFmtId="0" fontId="5" fillId="9" borderId="28" xfId="4" applyFont="1" applyFill="1" applyBorder="1" applyAlignment="1">
      <alignment horizontal="center"/>
    </xf>
    <xf numFmtId="0" fontId="5" fillId="9" borderId="29" xfId="4" applyFont="1" applyFill="1" applyBorder="1"/>
    <xf numFmtId="0" fontId="4" fillId="9" borderId="29" xfId="4" applyFont="1" applyFill="1" applyBorder="1"/>
    <xf numFmtId="0" fontId="4" fillId="9" borderId="29" xfId="4" applyFont="1" applyFill="1" applyBorder="1" applyAlignment="1">
      <alignment horizontal="center"/>
    </xf>
    <xf numFmtId="0" fontId="4" fillId="9" borderId="29" xfId="4" applyFont="1" applyFill="1" applyBorder="1" applyAlignment="1">
      <alignment horizontal="left"/>
    </xf>
    <xf numFmtId="0" fontId="5" fillId="0" borderId="20" xfId="4" applyFont="1" applyBorder="1" applyAlignment="1">
      <alignment horizontal="center"/>
    </xf>
    <xf numFmtId="0" fontId="5" fillId="9" borderId="16" xfId="4" applyFont="1" applyFill="1" applyBorder="1" applyAlignment="1">
      <alignment horizontal="left"/>
    </xf>
    <xf numFmtId="0" fontId="5" fillId="9" borderId="0" xfId="4" applyFont="1" applyFill="1" applyAlignment="1">
      <alignment horizontal="center"/>
    </xf>
    <xf numFmtId="0" fontId="5" fillId="0" borderId="0" xfId="4" applyFont="1" applyAlignment="1">
      <alignment horizontal="center"/>
    </xf>
    <xf numFmtId="186" fontId="4" fillId="0" borderId="30" xfId="4" applyNumberFormat="1" applyFont="1" applyBorder="1" applyAlignment="1">
      <alignment horizontal="center"/>
    </xf>
    <xf numFmtId="199" fontId="4" fillId="0" borderId="0" xfId="4" applyNumberFormat="1" applyFont="1"/>
    <xf numFmtId="0" fontId="33" fillId="9" borderId="0" xfId="4" applyFont="1" applyFill="1" applyAlignment="1">
      <alignment horizontal="center"/>
    </xf>
    <xf numFmtId="186" fontId="33" fillId="9" borderId="0" xfId="4" applyNumberFormat="1" applyFont="1" applyFill="1"/>
    <xf numFmtId="0" fontId="33" fillId="9" borderId="0" xfId="4" applyFont="1" applyFill="1"/>
    <xf numFmtId="186" fontId="35" fillId="9" borderId="0" xfId="4" applyNumberFormat="1" applyFont="1" applyFill="1"/>
    <xf numFmtId="206" fontId="5" fillId="9" borderId="0" xfId="4" applyNumberFormat="1" applyFont="1" applyFill="1"/>
    <xf numFmtId="0" fontId="5" fillId="9" borderId="20" xfId="4" applyFont="1" applyFill="1" applyBorder="1" applyAlignment="1">
      <alignment horizontal="center"/>
    </xf>
    <xf numFmtId="0" fontId="3" fillId="9" borderId="0" xfId="4" applyFont="1" applyFill="1" applyAlignment="1">
      <alignment horizontal="center"/>
    </xf>
    <xf numFmtId="0" fontId="4" fillId="9" borderId="0" xfId="4" applyFont="1" applyFill="1" applyAlignment="1">
      <alignment horizontal="left"/>
    </xf>
    <xf numFmtId="0" fontId="4" fillId="9" borderId="1" xfId="4" applyFont="1" applyFill="1" applyBorder="1" applyAlignment="1">
      <alignment horizontal="left"/>
    </xf>
    <xf numFmtId="0" fontId="37" fillId="9" borderId="0" xfId="4" applyFont="1" applyFill="1" applyAlignment="1">
      <alignment horizontal="left"/>
    </xf>
    <xf numFmtId="186" fontId="5" fillId="9" borderId="9" xfId="4" applyNumberFormat="1" applyFont="1" applyFill="1" applyBorder="1"/>
    <xf numFmtId="0" fontId="5" fillId="9" borderId="9" xfId="4" applyFont="1" applyFill="1" applyBorder="1" applyAlignment="1">
      <alignment horizontal="left"/>
    </xf>
    <xf numFmtId="1" fontId="5" fillId="0" borderId="0" xfId="4" applyNumberFormat="1" applyFont="1" applyAlignment="1">
      <alignment horizontal="center"/>
    </xf>
    <xf numFmtId="170" fontId="35" fillId="0" borderId="0" xfId="4" applyNumberFormat="1" applyFont="1"/>
    <xf numFmtId="199" fontId="4" fillId="0" borderId="0" xfId="4" applyNumberFormat="1" applyFont="1" applyAlignment="1">
      <alignment horizontal="center"/>
    </xf>
    <xf numFmtId="9" fontId="3" fillId="9" borderId="0" xfId="3" applyFont="1" applyFill="1"/>
    <xf numFmtId="0" fontId="5" fillId="7" borderId="0" xfId="4" applyFont="1" applyFill="1" applyAlignment="1">
      <alignment horizontal="left"/>
    </xf>
    <xf numFmtId="0" fontId="2" fillId="7" borderId="16" xfId="4" applyFill="1" applyBorder="1" applyAlignment="1">
      <alignment horizontal="left"/>
    </xf>
    <xf numFmtId="9" fontId="4" fillId="0" borderId="0" xfId="4" applyNumberFormat="1" applyFont="1" applyAlignment="1">
      <alignment horizontal="center"/>
    </xf>
    <xf numFmtId="200" fontId="4" fillId="0" borderId="0" xfId="4" applyNumberFormat="1" applyFont="1" applyAlignment="1">
      <alignment horizontal="center"/>
    </xf>
    <xf numFmtId="10" fontId="4" fillId="0" borderId="0" xfId="4" applyNumberFormat="1" applyFont="1" applyAlignment="1">
      <alignment horizontal="center"/>
    </xf>
    <xf numFmtId="201" fontId="4" fillId="0" borderId="0" xfId="4" applyNumberFormat="1" applyFont="1" applyAlignment="1">
      <alignment horizontal="center"/>
    </xf>
    <xf numFmtId="173" fontId="4" fillId="0" borderId="0" xfId="4" applyNumberFormat="1" applyFont="1" applyAlignment="1">
      <alignment horizontal="center"/>
    </xf>
    <xf numFmtId="9" fontId="4" fillId="0" borderId="0" xfId="4" applyNumberFormat="1" applyFont="1" applyAlignment="1">
      <alignment horizontal="left"/>
    </xf>
    <xf numFmtId="9" fontId="4" fillId="0" borderId="0" xfId="10" applyFont="1" applyFill="1" applyBorder="1" applyAlignment="1">
      <alignment horizontal="center"/>
    </xf>
    <xf numFmtId="200" fontId="14" fillId="0" borderId="0" xfId="4" applyNumberFormat="1" applyFont="1" applyAlignment="1">
      <alignment horizontal="center"/>
    </xf>
    <xf numFmtId="15" fontId="4" fillId="0" borderId="0" xfId="4" applyNumberFormat="1" applyFont="1" applyAlignment="1">
      <alignment horizontal="center"/>
    </xf>
    <xf numFmtId="173" fontId="5" fillId="0" borderId="0" xfId="4" applyNumberFormat="1" applyFont="1" applyAlignment="1">
      <alignment horizontal="center"/>
    </xf>
    <xf numFmtId="171" fontId="5" fillId="0" borderId="0" xfId="4" applyNumberFormat="1" applyFont="1" applyAlignment="1">
      <alignment horizontal="center"/>
    </xf>
    <xf numFmtId="15" fontId="5" fillId="0" borderId="0" xfId="4" applyNumberFormat="1" applyFont="1" applyAlignment="1">
      <alignment horizontal="center"/>
    </xf>
    <xf numFmtId="9" fontId="5" fillId="0" borderId="0" xfId="4" applyNumberFormat="1" applyFont="1" applyAlignment="1">
      <alignment horizontal="center"/>
    </xf>
    <xf numFmtId="0" fontId="32" fillId="0" borderId="0" xfId="0" applyFont="1" applyAlignment="1">
      <alignment horizontal="center" vertical="center"/>
    </xf>
    <xf numFmtId="200" fontId="5" fillId="0" borderId="0" xfId="4" applyNumberFormat="1" applyFont="1" applyAlignment="1">
      <alignment horizontal="center"/>
    </xf>
    <xf numFmtId="0" fontId="52" fillId="0" borderId="0" xfId="0" applyFont="1" applyAlignment="1">
      <alignment vertical="center" wrapText="1"/>
    </xf>
    <xf numFmtId="0" fontId="32" fillId="0" borderId="0" xfId="0" applyFont="1" applyAlignment="1">
      <alignment vertical="center"/>
    </xf>
    <xf numFmtId="9" fontId="32" fillId="0" borderId="0" xfId="0" applyNumberFormat="1" applyFont="1" applyAlignment="1">
      <alignment horizontal="center" vertical="center"/>
    </xf>
    <xf numFmtId="3" fontId="32" fillId="0" borderId="0" xfId="0" applyNumberFormat="1" applyFont="1" applyAlignment="1">
      <alignment horizontal="center" vertical="center"/>
    </xf>
    <xf numFmtId="15" fontId="32" fillId="0" borderId="0" xfId="0" applyNumberFormat="1" applyFont="1" applyAlignment="1">
      <alignment horizontal="center" vertical="center"/>
    </xf>
    <xf numFmtId="0" fontId="4" fillId="0" borderId="0" xfId="4" applyFont="1" applyAlignment="1">
      <alignment horizontal="center"/>
    </xf>
    <xf numFmtId="200" fontId="4" fillId="0" borderId="0" xfId="4" applyNumberFormat="1" applyFont="1" applyAlignment="1">
      <alignment horizontal="centerContinuous"/>
    </xf>
    <xf numFmtId="10" fontId="4" fillId="0" borderId="0" xfId="4" applyNumberFormat="1" applyFont="1" applyAlignment="1">
      <alignment horizontal="centerContinuous"/>
    </xf>
    <xf numFmtId="170" fontId="4" fillId="0" borderId="0" xfId="4" applyNumberFormat="1" applyFont="1" applyAlignment="1">
      <alignment horizontal="center"/>
    </xf>
    <xf numFmtId="193" fontId="4" fillId="0" borderId="0" xfId="4" applyNumberFormat="1" applyFont="1" applyAlignment="1">
      <alignment horizontal="center"/>
    </xf>
    <xf numFmtId="170" fontId="5" fillId="0" borderId="0" xfId="4" applyNumberFormat="1" applyFont="1" applyAlignment="1">
      <alignment horizontal="center"/>
    </xf>
    <xf numFmtId="201" fontId="5" fillId="0" borderId="0" xfId="4" applyNumberFormat="1" applyFont="1" applyAlignment="1">
      <alignment horizontal="center"/>
    </xf>
    <xf numFmtId="202" fontId="5" fillId="0" borderId="0" xfId="4" applyNumberFormat="1" applyFont="1" applyAlignment="1">
      <alignment horizontal="center"/>
    </xf>
    <xf numFmtId="170" fontId="32" fillId="0" borderId="0" xfId="0" applyNumberFormat="1" applyFont="1" applyAlignment="1">
      <alignment horizontal="center" vertical="center"/>
    </xf>
    <xf numFmtId="173" fontId="4" fillId="0" borderId="0" xfId="4" applyNumberFormat="1" applyFont="1" applyAlignment="1">
      <alignment horizontal="centerContinuous"/>
    </xf>
    <xf numFmtId="0" fontId="37" fillId="0" borderId="0" xfId="4" applyFont="1"/>
    <xf numFmtId="199" fontId="9" fillId="0" borderId="0" xfId="4" applyNumberFormat="1" applyFont="1" applyAlignment="1">
      <alignment horizontal="right"/>
    </xf>
    <xf numFmtId="0" fontId="46" fillId="0" borderId="0" xfId="4" applyFont="1"/>
    <xf numFmtId="180" fontId="4" fillId="0" borderId="0" xfId="4" applyNumberFormat="1" applyFont="1"/>
    <xf numFmtId="0" fontId="48" fillId="0" borderId="0" xfId="4" applyFont="1"/>
    <xf numFmtId="200" fontId="3" fillId="0" borderId="0" xfId="4" applyNumberFormat="1" applyFont="1"/>
    <xf numFmtId="201" fontId="3" fillId="0" borderId="0" xfId="4" applyNumberFormat="1" applyFont="1"/>
    <xf numFmtId="200" fontId="3" fillId="0" borderId="0" xfId="4" applyNumberFormat="1" applyFont="1" applyAlignment="1">
      <alignment horizontal="right"/>
    </xf>
    <xf numFmtId="9" fontId="3" fillId="0" borderId="0" xfId="3" applyFont="1" applyFill="1" applyBorder="1"/>
    <xf numFmtId="196" fontId="3" fillId="0" borderId="0" xfId="3" applyNumberFormat="1" applyFont="1" applyFill="1" applyBorder="1"/>
    <xf numFmtId="207" fontId="3" fillId="0" borderId="0" xfId="4" applyNumberFormat="1" applyFont="1"/>
    <xf numFmtId="180" fontId="3" fillId="0" borderId="0" xfId="4" applyNumberFormat="1" applyFont="1"/>
    <xf numFmtId="173" fontId="14" fillId="0" borderId="0" xfId="4" applyNumberFormat="1" applyFont="1"/>
    <xf numFmtId="0" fontId="53" fillId="0" borderId="0" xfId="0" applyFont="1" applyAlignment="1">
      <alignment vertical="top" wrapText="1"/>
    </xf>
    <xf numFmtId="177" fontId="54" fillId="0" borderId="0" xfId="0" applyNumberFormat="1" applyFont="1" applyAlignment="1">
      <alignment horizontal="center" vertical="top" wrapText="1"/>
    </xf>
    <xf numFmtId="0" fontId="55" fillId="0" borderId="0" xfId="0" applyFont="1" applyAlignment="1">
      <alignment horizontal="left" vertical="center" wrapText="1"/>
    </xf>
    <xf numFmtId="10" fontId="54" fillId="0" borderId="0" xfId="0" applyNumberFormat="1" applyFont="1" applyAlignment="1">
      <alignment horizontal="center" vertical="top" wrapText="1"/>
    </xf>
    <xf numFmtId="10" fontId="54" fillId="0" borderId="0" xfId="3" applyNumberFormat="1" applyFont="1" applyFill="1" applyBorder="1" applyAlignment="1">
      <alignment horizontal="center" vertical="top" wrapText="1"/>
    </xf>
    <xf numFmtId="0" fontId="56" fillId="0" borderId="0" xfId="0" applyFont="1" applyAlignment="1">
      <alignment horizontal="left" vertical="center" wrapText="1"/>
    </xf>
    <xf numFmtId="2" fontId="54" fillId="0" borderId="0" xfId="0" applyNumberFormat="1" applyFont="1" applyAlignment="1">
      <alignment horizontal="center" vertical="top" wrapText="1"/>
    </xf>
    <xf numFmtId="0" fontId="57" fillId="0" borderId="0" xfId="0" applyFont="1" applyAlignment="1">
      <alignment horizontal="left" vertical="center" wrapText="1"/>
    </xf>
    <xf numFmtId="0" fontId="58" fillId="0" borderId="0" xfId="0" applyFont="1" applyAlignment="1">
      <alignment horizontal="left" vertical="center" wrapText="1"/>
    </xf>
    <xf numFmtId="170" fontId="54" fillId="0" borderId="0" xfId="3" applyNumberFormat="1" applyFont="1" applyFill="1" applyBorder="1" applyAlignment="1">
      <alignment horizontal="center" vertical="center" wrapText="1"/>
    </xf>
    <xf numFmtId="0" fontId="59" fillId="0" borderId="0" xfId="0" applyFont="1"/>
    <xf numFmtId="173" fontId="3" fillId="0" borderId="0" xfId="4" applyNumberFormat="1" applyFont="1"/>
    <xf numFmtId="181" fontId="19" fillId="13" borderId="0" xfId="4" applyNumberFormat="1" applyFont="1" applyFill="1" applyAlignment="1">
      <alignment horizontal="center"/>
    </xf>
    <xf numFmtId="1" fontId="4" fillId="0" borderId="20" xfId="4" applyNumberFormat="1" applyFont="1" applyBorder="1" applyAlignment="1">
      <alignment horizontal="center"/>
    </xf>
    <xf numFmtId="170" fontId="35" fillId="2" borderId="0" xfId="4" applyNumberFormat="1" applyFont="1" applyFill="1"/>
    <xf numFmtId="199" fontId="4" fillId="0" borderId="7" xfId="4" applyNumberFormat="1" applyFont="1" applyBorder="1" applyAlignment="1">
      <alignment horizontal="center"/>
    </xf>
    <xf numFmtId="170" fontId="4" fillId="9" borderId="1" xfId="3" applyNumberFormat="1" applyFont="1" applyFill="1" applyBorder="1"/>
    <xf numFmtId="0" fontId="5" fillId="9" borderId="21" xfId="4" applyFont="1" applyFill="1" applyBorder="1" applyAlignment="1">
      <alignment horizontal="center"/>
    </xf>
    <xf numFmtId="0" fontId="5" fillId="9" borderId="0" xfId="4" applyFont="1" applyFill="1" applyAlignment="1">
      <alignment horizontal="center" vertical="center"/>
    </xf>
    <xf numFmtId="0" fontId="4" fillId="8" borderId="1" xfId="4" applyFont="1" applyFill="1" applyBorder="1"/>
    <xf numFmtId="0" fontId="4" fillId="8" borderId="1" xfId="4" applyFont="1" applyFill="1" applyBorder="1" applyAlignment="1">
      <alignment horizontal="left"/>
    </xf>
    <xf numFmtId="1" fontId="4" fillId="8" borderId="0" xfId="4" applyNumberFormat="1" applyFont="1" applyFill="1" applyAlignment="1">
      <alignment horizontal="center"/>
    </xf>
    <xf numFmtId="170" fontId="4" fillId="8" borderId="1" xfId="4" applyNumberFormat="1" applyFont="1" applyFill="1" applyBorder="1"/>
    <xf numFmtId="10" fontId="5" fillId="0" borderId="1" xfId="4" applyNumberFormat="1" applyFont="1" applyBorder="1"/>
    <xf numFmtId="0" fontId="2" fillId="9" borderId="16" xfId="4" applyFill="1" applyBorder="1"/>
    <xf numFmtId="10" fontId="35" fillId="0" borderId="1" xfId="4" applyNumberFormat="1" applyFont="1" applyBorder="1"/>
    <xf numFmtId="10" fontId="5" fillId="0" borderId="1" xfId="4" applyNumberFormat="1" applyFont="1" applyBorder="1" applyAlignment="1">
      <alignment horizontal="right"/>
    </xf>
    <xf numFmtId="10" fontId="5" fillId="0" borderId="16" xfId="4" applyNumberFormat="1" applyFont="1" applyBorder="1" applyAlignment="1">
      <alignment horizontal="right"/>
    </xf>
    <xf numFmtId="199" fontId="4" fillId="0" borderId="0" xfId="4" applyNumberFormat="1" applyFont="1" applyAlignment="1">
      <alignment horizontal="left"/>
    </xf>
    <xf numFmtId="170" fontId="5" fillId="9" borderId="0" xfId="3" applyNumberFormat="1" applyFont="1" applyFill="1" applyBorder="1" applyAlignment="1">
      <alignment horizontal="left"/>
    </xf>
    <xf numFmtId="204" fontId="5" fillId="0" borderId="0" xfId="4" quotePrefix="1" applyNumberFormat="1" applyFont="1" applyAlignment="1">
      <alignment horizontal="right"/>
    </xf>
    <xf numFmtId="199" fontId="5" fillId="0" borderId="0" xfId="4" applyNumberFormat="1" applyFont="1"/>
    <xf numFmtId="199" fontId="4" fillId="0" borderId="1" xfId="4" applyNumberFormat="1" applyFont="1" applyBorder="1" applyAlignment="1">
      <alignment horizontal="left"/>
    </xf>
    <xf numFmtId="199" fontId="4" fillId="0" borderId="1" xfId="4" applyNumberFormat="1" applyFont="1" applyBorder="1"/>
    <xf numFmtId="170" fontId="4" fillId="9" borderId="0" xfId="3" applyNumberFormat="1" applyFont="1" applyFill="1" applyBorder="1" applyAlignment="1">
      <alignment horizontal="center"/>
    </xf>
    <xf numFmtId="170" fontId="5" fillId="0" borderId="20" xfId="3" applyNumberFormat="1" applyFont="1" applyFill="1" applyBorder="1" applyAlignment="1">
      <alignment horizontal="center"/>
    </xf>
    <xf numFmtId="0" fontId="41" fillId="0" borderId="35" xfId="0" applyFont="1" applyBorder="1" applyAlignment="1">
      <alignment horizontal="left" vertical="center" wrapText="1"/>
    </xf>
    <xf numFmtId="0" fontId="39" fillId="0" borderId="36" xfId="0" applyFont="1" applyBorder="1" applyAlignment="1">
      <alignment vertical="top" wrapText="1"/>
    </xf>
    <xf numFmtId="0" fontId="41" fillId="0" borderId="37" xfId="0" applyFont="1" applyBorder="1" applyAlignment="1">
      <alignment horizontal="left" vertical="center" wrapText="1"/>
    </xf>
    <xf numFmtId="0" fontId="39" fillId="0" borderId="38" xfId="0" applyFont="1" applyBorder="1" applyAlignment="1">
      <alignment vertical="top" wrapText="1"/>
    </xf>
    <xf numFmtId="0" fontId="41" fillId="0" borderId="33" xfId="0" applyFont="1" applyBorder="1" applyAlignment="1">
      <alignment horizontal="left" vertical="center" wrapText="1"/>
    </xf>
    <xf numFmtId="0" fontId="39" fillId="0" borderId="34" xfId="0" applyFont="1" applyBorder="1" applyAlignment="1">
      <alignment vertical="top" wrapText="1"/>
    </xf>
    <xf numFmtId="0" fontId="41" fillId="0" borderId="39" xfId="0" applyFont="1" applyBorder="1" applyAlignment="1">
      <alignment horizontal="left" vertical="center" wrapText="1"/>
    </xf>
    <xf numFmtId="0" fontId="39" fillId="0" borderId="41" xfId="0" applyFont="1" applyBorder="1" applyAlignment="1">
      <alignment vertical="top" wrapText="1"/>
    </xf>
    <xf numFmtId="208" fontId="5" fillId="0" borderId="0" xfId="20" applyFont="1" applyAlignment="1">
      <alignment horizontal="center"/>
    </xf>
    <xf numFmtId="0" fontId="19" fillId="0" borderId="0" xfId="4" applyFont="1"/>
    <xf numFmtId="0" fontId="5" fillId="0" borderId="0" xfId="21" applyFont="1" applyAlignment="1">
      <alignment horizontal="left" indent="1"/>
    </xf>
    <xf numFmtId="173" fontId="5" fillId="7" borderId="0" xfId="4" applyNumberFormat="1" applyFont="1" applyFill="1"/>
    <xf numFmtId="0" fontId="30" fillId="15" borderId="0" xfId="4" applyFont="1" applyFill="1"/>
    <xf numFmtId="0" fontId="38" fillId="15" borderId="24" xfId="9" applyFont="1" applyFill="1" applyBorder="1"/>
    <xf numFmtId="0" fontId="19" fillId="15" borderId="24" xfId="4" applyFont="1" applyFill="1" applyBorder="1"/>
    <xf numFmtId="0" fontId="19" fillId="15" borderId="24" xfId="9" applyFont="1" applyFill="1" applyBorder="1"/>
    <xf numFmtId="2" fontId="39" fillId="8" borderId="26" xfId="0" applyNumberFormat="1" applyFont="1" applyFill="1" applyBorder="1" applyAlignment="1">
      <alignment horizontal="center" vertical="center" wrapText="1"/>
    </xf>
    <xf numFmtId="196" fontId="39" fillId="0" borderId="25" xfId="0" applyNumberFormat="1" applyFont="1" applyBorder="1" applyAlignment="1">
      <alignment horizontal="center" vertical="center" wrapText="1"/>
    </xf>
    <xf numFmtId="0" fontId="34" fillId="0" borderId="0" xfId="23" applyFont="1"/>
    <xf numFmtId="0" fontId="32" fillId="0" borderId="0" xfId="23" applyFont="1"/>
    <xf numFmtId="0" fontId="8" fillId="0" borderId="0" xfId="23" applyFont="1"/>
    <xf numFmtId="0" fontId="66" fillId="0" borderId="0" xfId="23" applyFont="1"/>
    <xf numFmtId="0" fontId="34" fillId="0" borderId="0" xfId="23" quotePrefix="1" applyFont="1"/>
    <xf numFmtId="0" fontId="32" fillId="0" borderId="0" xfId="23" quotePrefix="1" applyFont="1"/>
    <xf numFmtId="177" fontId="5" fillId="9" borderId="61" xfId="4" applyNumberFormat="1" applyFont="1" applyFill="1" applyBorder="1" applyAlignment="1">
      <alignment horizontal="center"/>
    </xf>
    <xf numFmtId="177" fontId="5" fillId="9" borderId="52" xfId="4" applyNumberFormat="1" applyFont="1" applyFill="1" applyBorder="1" applyAlignment="1">
      <alignment horizontal="center"/>
    </xf>
    <xf numFmtId="0" fontId="5" fillId="8" borderId="52" xfId="4" applyFont="1" applyFill="1" applyBorder="1" applyAlignment="1">
      <alignment horizontal="left"/>
    </xf>
    <xf numFmtId="177" fontId="5" fillId="8" borderId="52" xfId="4" applyNumberFormat="1" applyFont="1" applyFill="1" applyBorder="1" applyAlignment="1">
      <alignment horizontal="left"/>
    </xf>
    <xf numFmtId="177" fontId="5" fillId="8" borderId="62" xfId="4" applyNumberFormat="1" applyFont="1" applyFill="1" applyBorder="1" applyAlignment="1">
      <alignment horizontal="left"/>
    </xf>
    <xf numFmtId="177" fontId="5" fillId="9" borderId="62" xfId="4" applyNumberFormat="1" applyFont="1" applyFill="1" applyBorder="1" applyAlignment="1">
      <alignment horizontal="center"/>
    </xf>
    <xf numFmtId="0" fontId="32" fillId="0" borderId="0" xfId="23" applyFont="1" applyAlignment="1">
      <alignment horizontal="center"/>
    </xf>
    <xf numFmtId="0" fontId="38" fillId="0" borderId="0" xfId="4" applyFont="1" applyAlignment="1">
      <alignment horizontal="left"/>
    </xf>
    <xf numFmtId="0" fontId="68" fillId="0" borderId="0" xfId="26" applyFont="1" applyAlignment="1" applyProtection="1"/>
    <xf numFmtId="213" fontId="4" fillId="17" borderId="3" xfId="4" applyNumberFormat="1" applyFont="1" applyFill="1" applyBorder="1" applyAlignment="1">
      <alignment horizontal="center"/>
    </xf>
    <xf numFmtId="43" fontId="51" fillId="18" borderId="3" xfId="27" applyFont="1" applyFill="1" applyBorder="1" applyAlignment="1">
      <alignment horizontal="center"/>
    </xf>
    <xf numFmtId="208" fontId="5" fillId="18" borderId="3" xfId="4" applyNumberFormat="1" applyFont="1" applyFill="1" applyBorder="1" applyAlignment="1">
      <alignment horizontal="left"/>
    </xf>
    <xf numFmtId="208" fontId="5" fillId="18" borderId="3" xfId="4" applyNumberFormat="1" applyFont="1" applyFill="1" applyBorder="1" applyAlignment="1">
      <alignment horizontal="center"/>
    </xf>
    <xf numFmtId="0" fontId="34" fillId="18" borderId="3" xfId="23" applyFont="1" applyFill="1" applyBorder="1"/>
    <xf numFmtId="0" fontId="4" fillId="18" borderId="3" xfId="4" applyFont="1" applyFill="1" applyBorder="1"/>
    <xf numFmtId="0" fontId="8" fillId="18" borderId="3" xfId="23" applyFont="1" applyFill="1" applyBorder="1"/>
    <xf numFmtId="43" fontId="5" fillId="0" borderId="0" xfId="27" applyFont="1" applyFill="1" applyBorder="1" applyAlignment="1">
      <alignment horizontal="center"/>
    </xf>
    <xf numFmtId="186" fontId="5" fillId="0" borderId="0" xfId="27" applyNumberFormat="1" applyFont="1" applyFill="1" applyBorder="1" applyAlignment="1">
      <alignment horizontal="center"/>
    </xf>
    <xf numFmtId="186" fontId="32" fillId="0" borderId="0" xfId="27" applyNumberFormat="1" applyFont="1" applyFill="1" applyBorder="1" applyAlignment="1">
      <alignment horizontal="center"/>
    </xf>
    <xf numFmtId="213" fontId="5" fillId="17" borderId="10" xfId="4" applyNumberFormat="1" applyFont="1" applyFill="1" applyBorder="1" applyAlignment="1">
      <alignment horizontal="center"/>
    </xf>
    <xf numFmtId="43" fontId="17" fillId="0" borderId="0" xfId="27" applyFont="1" applyFill="1" applyBorder="1" applyAlignment="1">
      <alignment horizontal="center"/>
    </xf>
    <xf numFmtId="186" fontId="17" fillId="0" borderId="0" xfId="27" applyNumberFormat="1" applyFont="1" applyFill="1" applyBorder="1" applyAlignment="1">
      <alignment horizontal="center"/>
    </xf>
    <xf numFmtId="208" fontId="5" fillId="0" borderId="10" xfId="4" applyNumberFormat="1" applyFont="1" applyBorder="1" applyAlignment="1">
      <alignment horizontal="left"/>
    </xf>
    <xf numFmtId="0" fontId="32" fillId="8" borderId="10" xfId="23" applyFont="1" applyFill="1" applyBorder="1"/>
    <xf numFmtId="0" fontId="32" fillId="0" borderId="10" xfId="23" applyFont="1" applyBorder="1"/>
    <xf numFmtId="0" fontId="32" fillId="8" borderId="8" xfId="23" applyFont="1" applyFill="1" applyBorder="1"/>
    <xf numFmtId="213" fontId="5" fillId="17" borderId="12" xfId="4" applyNumberFormat="1" applyFont="1" applyFill="1" applyBorder="1" applyAlignment="1">
      <alignment horizontal="center"/>
    </xf>
    <xf numFmtId="0" fontId="5" fillId="8" borderId="12" xfId="4" applyFont="1" applyFill="1" applyBorder="1"/>
    <xf numFmtId="0" fontId="5" fillId="0" borderId="12" xfId="4" applyFont="1" applyBorder="1"/>
    <xf numFmtId="208" fontId="5" fillId="8" borderId="11" xfId="4" applyNumberFormat="1" applyFont="1" applyFill="1" applyBorder="1" applyAlignment="1">
      <alignment horizontal="left"/>
    </xf>
    <xf numFmtId="0" fontId="5" fillId="8" borderId="52" xfId="4" applyFont="1" applyFill="1" applyBorder="1"/>
    <xf numFmtId="0" fontId="5" fillId="8" borderId="11" xfId="4" applyFont="1" applyFill="1" applyBorder="1"/>
    <xf numFmtId="213" fontId="5" fillId="17" borderId="14" xfId="4" applyNumberFormat="1" applyFont="1" applyFill="1" applyBorder="1" applyAlignment="1">
      <alignment horizontal="center"/>
    </xf>
    <xf numFmtId="0" fontId="5" fillId="8" borderId="14" xfId="4" applyFont="1" applyFill="1" applyBorder="1"/>
    <xf numFmtId="0" fontId="5" fillId="0" borderId="14" xfId="4" applyFont="1" applyBorder="1"/>
    <xf numFmtId="0" fontId="5" fillId="8" borderId="13" xfId="4" applyFont="1" applyFill="1" applyBorder="1"/>
    <xf numFmtId="0" fontId="9" fillId="15" borderId="0" xfId="4" applyFont="1" applyFill="1" applyAlignment="1">
      <alignment horizontal="right"/>
    </xf>
    <xf numFmtId="177" fontId="39" fillId="8" borderId="32" xfId="3" applyNumberFormat="1" applyFont="1" applyFill="1" applyBorder="1" applyAlignment="1">
      <alignment horizontal="center" vertical="center" wrapText="1"/>
    </xf>
    <xf numFmtId="170" fontId="39" fillId="8" borderId="31" xfId="3" applyNumberFormat="1" applyFont="1" applyFill="1" applyBorder="1" applyAlignment="1">
      <alignment horizontal="center" vertical="center" wrapText="1"/>
    </xf>
    <xf numFmtId="177" fontId="39" fillId="8" borderId="0" xfId="3" applyNumberFormat="1" applyFont="1" applyFill="1" applyBorder="1" applyAlignment="1">
      <alignment horizontal="center" vertical="center" wrapText="1"/>
    </xf>
    <xf numFmtId="170" fontId="39" fillId="8" borderId="40" xfId="3" applyNumberFormat="1" applyFont="1" applyFill="1" applyBorder="1" applyAlignment="1">
      <alignment horizontal="center" vertical="center" wrapText="1"/>
    </xf>
    <xf numFmtId="0" fontId="60" fillId="8" borderId="33" xfId="0" applyFont="1" applyFill="1" applyBorder="1" applyAlignment="1">
      <alignment horizontal="left" vertical="center" wrapText="1"/>
    </xf>
    <xf numFmtId="0" fontId="60" fillId="8" borderId="0" xfId="0" applyFont="1" applyFill="1" applyAlignment="1">
      <alignment horizontal="center" vertical="center" wrapText="1"/>
    </xf>
    <xf numFmtId="0" fontId="60" fillId="8" borderId="34" xfId="0" applyFont="1" applyFill="1" applyBorder="1" applyAlignment="1">
      <alignment horizontal="left" vertical="center" wrapText="1"/>
    </xf>
    <xf numFmtId="209" fontId="5" fillId="0" borderId="0" xfId="4" applyNumberFormat="1" applyFont="1" applyAlignment="1">
      <alignment horizontal="right"/>
    </xf>
    <xf numFmtId="0" fontId="1" fillId="0" borderId="0" xfId="0" applyFont="1"/>
    <xf numFmtId="0" fontId="4" fillId="0" borderId="0" xfId="30" applyFont="1"/>
    <xf numFmtId="0" fontId="5" fillId="0" borderId="0" xfId="30" applyFont="1"/>
    <xf numFmtId="0" fontId="5" fillId="0" borderId="0" xfId="30" applyFont="1" applyFill="1"/>
    <xf numFmtId="0" fontId="75" fillId="0" borderId="0" xfId="30" applyFont="1"/>
    <xf numFmtId="0" fontId="68" fillId="0" borderId="0" xfId="28" applyFont="1" applyFill="1"/>
    <xf numFmtId="0" fontId="75" fillId="0" borderId="0" xfId="30" applyFont="1" applyFill="1"/>
    <xf numFmtId="181" fontId="5" fillId="0" borderId="0" xfId="4" applyNumberFormat="1" applyFont="1" applyAlignment="1">
      <alignment horizontal="center"/>
    </xf>
    <xf numFmtId="0" fontId="4" fillId="0" borderId="0" xfId="30" applyFont="1" applyFill="1"/>
    <xf numFmtId="0" fontId="8" fillId="0" borderId="0" xfId="31" applyFont="1"/>
    <xf numFmtId="0" fontId="5" fillId="0" borderId="0" xfId="4" applyFont="1" applyAlignment="1">
      <alignment wrapText="1"/>
    </xf>
    <xf numFmtId="0" fontId="5" fillId="0" borderId="0" xfId="30" quotePrefix="1" applyFont="1" applyAlignment="1">
      <alignment horizontal="left"/>
    </xf>
    <xf numFmtId="0" fontId="5" fillId="0" borderId="0" xfId="30" applyFont="1" applyAlignment="1">
      <alignment horizontal="left"/>
    </xf>
    <xf numFmtId="202" fontId="27" fillId="2" borderId="63" xfId="4" applyNumberFormat="1" applyFont="1" applyFill="1" applyBorder="1" applyAlignment="1">
      <alignment horizontal="centerContinuous"/>
    </xf>
    <xf numFmtId="202" fontId="27" fillId="2" borderId="64" xfId="4" applyNumberFormat="1" applyFont="1" applyFill="1" applyBorder="1" applyAlignment="1">
      <alignment horizontal="centerContinuous"/>
    </xf>
    <xf numFmtId="0" fontId="74" fillId="19" borderId="0" xfId="4" applyFont="1" applyFill="1"/>
    <xf numFmtId="0" fontId="12" fillId="19" borderId="0" xfId="4" applyFont="1" applyFill="1"/>
    <xf numFmtId="0" fontId="11" fillId="19" borderId="0" xfId="4" applyFont="1" applyFill="1"/>
    <xf numFmtId="0" fontId="76" fillId="19" borderId="0" xfId="4" applyFont="1" applyFill="1"/>
    <xf numFmtId="0" fontId="29" fillId="19" borderId="0" xfId="29" applyNumberFormat="1" applyFont="1" applyFill="1" applyAlignment="1">
      <alignment horizontal="left" vertical="top" wrapText="1"/>
    </xf>
    <xf numFmtId="0" fontId="29" fillId="19" borderId="0" xfId="29" applyNumberFormat="1" applyFont="1" applyFill="1" applyAlignment="1">
      <alignment horizontal="left" vertical="top"/>
    </xf>
    <xf numFmtId="0" fontId="5" fillId="19" borderId="0" xfId="4" applyFont="1" applyFill="1"/>
    <xf numFmtId="0" fontId="77" fillId="19" borderId="0" xfId="4" applyFont="1" applyFill="1"/>
    <xf numFmtId="0" fontId="32" fillId="0" borderId="0" xfId="0" applyFont="1"/>
    <xf numFmtId="0" fontId="9" fillId="19" borderId="0" xfId="29" applyNumberFormat="1" applyFont="1" applyFill="1" applyAlignment="1">
      <alignment horizontal="left" vertical="center"/>
    </xf>
    <xf numFmtId="0" fontId="4" fillId="19" borderId="0" xfId="4" applyFont="1" applyFill="1" applyAlignment="1">
      <alignment vertical="center"/>
    </xf>
    <xf numFmtId="0" fontId="9" fillId="19" borderId="0" xfId="29" applyNumberFormat="1" applyFont="1" applyFill="1" applyAlignment="1">
      <alignment horizontal="left" vertical="center" wrapText="1"/>
    </xf>
    <xf numFmtId="0" fontId="9" fillId="19" borderId="0" xfId="29" applyNumberFormat="1" applyFont="1" applyFill="1" applyAlignment="1">
      <alignment horizontal="right" vertical="center"/>
    </xf>
    <xf numFmtId="0" fontId="4" fillId="0" borderId="0" xfId="4" applyFont="1" applyAlignment="1">
      <alignment vertical="center"/>
    </xf>
    <xf numFmtId="0" fontId="5" fillId="0" borderId="3" xfId="4" applyFont="1" applyBorder="1" applyAlignment="1">
      <alignment horizontal="center"/>
    </xf>
    <xf numFmtId="0" fontId="35" fillId="0" borderId="21" xfId="4" applyFont="1" applyBorder="1" applyAlignment="1">
      <alignment horizontal="center"/>
    </xf>
    <xf numFmtId="186" fontId="5" fillId="0" borderId="21" xfId="4" applyNumberFormat="1" applyFont="1" applyBorder="1" applyAlignment="1">
      <alignment horizontal="left"/>
    </xf>
    <xf numFmtId="0" fontId="5" fillId="0" borderId="1" xfId="4" applyFont="1" applyBorder="1" applyAlignment="1">
      <alignment horizontal="center"/>
    </xf>
    <xf numFmtId="0" fontId="51" fillId="9" borderId="1" xfId="4" applyFont="1" applyFill="1" applyBorder="1"/>
    <xf numFmtId="0" fontId="4" fillId="0" borderId="20" xfId="4" applyFont="1" applyBorder="1" applyAlignment="1">
      <alignment horizontal="center"/>
    </xf>
    <xf numFmtId="177" fontId="4" fillId="0" borderId="65" xfId="4" applyNumberFormat="1" applyFont="1" applyBorder="1" applyAlignment="1">
      <alignment horizontal="center"/>
    </xf>
    <xf numFmtId="177" fontId="4" fillId="0" borderId="67" xfId="4" applyNumberFormat="1" applyFont="1" applyBorder="1" applyAlignment="1">
      <alignment horizontal="center"/>
    </xf>
    <xf numFmtId="177" fontId="4" fillId="0" borderId="66" xfId="4" applyNumberFormat="1" applyFont="1" applyBorder="1" applyAlignment="1">
      <alignment horizontal="center"/>
    </xf>
    <xf numFmtId="180" fontId="4" fillId="0" borderId="65" xfId="4" applyNumberFormat="1" applyFont="1" applyBorder="1" applyAlignment="1">
      <alignment horizontal="center"/>
    </xf>
    <xf numFmtId="180" fontId="4" fillId="0" borderId="66" xfId="4" applyNumberFormat="1" applyFont="1" applyBorder="1" applyAlignment="1">
      <alignment horizontal="center"/>
    </xf>
    <xf numFmtId="0" fontId="2" fillId="0" borderId="0" xfId="4" applyAlignment="1">
      <alignment horizontal="center"/>
    </xf>
    <xf numFmtId="0" fontId="4" fillId="0" borderId="7" xfId="4" applyFont="1" applyBorder="1" applyAlignment="1">
      <alignment horizontal="center"/>
    </xf>
    <xf numFmtId="173" fontId="4" fillId="0" borderId="65" xfId="4" applyNumberFormat="1" applyFont="1" applyBorder="1" applyAlignment="1">
      <alignment horizontal="center"/>
    </xf>
    <xf numFmtId="173" fontId="4" fillId="0" borderId="66" xfId="4" applyNumberFormat="1" applyFont="1" applyBorder="1" applyAlignment="1">
      <alignment horizontal="center"/>
    </xf>
    <xf numFmtId="184" fontId="4" fillId="0" borderId="65" xfId="4" applyNumberFormat="1" applyFont="1" applyBorder="1" applyAlignment="1">
      <alignment horizontal="center"/>
    </xf>
    <xf numFmtId="184" fontId="4" fillId="0" borderId="67" xfId="4" applyNumberFormat="1" applyFont="1" applyBorder="1" applyAlignment="1">
      <alignment horizontal="center"/>
    </xf>
    <xf numFmtId="204" fontId="4" fillId="0" borderId="66" xfId="4" applyNumberFormat="1" applyFont="1" applyBorder="1" applyAlignment="1">
      <alignment horizontal="center"/>
    </xf>
    <xf numFmtId="10" fontId="35" fillId="0" borderId="0" xfId="4" applyNumberFormat="1" applyFont="1" applyAlignment="1">
      <alignment horizontal="center"/>
    </xf>
    <xf numFmtId="177" fontId="35" fillId="2" borderId="0" xfId="4" applyNumberFormat="1" applyFont="1" applyFill="1" applyAlignment="1">
      <alignment horizontal="center"/>
    </xf>
    <xf numFmtId="170" fontId="35" fillId="2" borderId="0" xfId="4" applyNumberFormat="1" applyFont="1" applyFill="1" applyAlignment="1">
      <alignment horizontal="center"/>
    </xf>
    <xf numFmtId="173" fontId="35" fillId="2" borderId="0" xfId="4" applyNumberFormat="1" applyFont="1" applyFill="1" applyAlignment="1">
      <alignment horizontal="center"/>
    </xf>
    <xf numFmtId="184" fontId="35" fillId="2" borderId="0" xfId="4" applyNumberFormat="1" applyFont="1" applyFill="1" applyAlignment="1">
      <alignment horizontal="center"/>
    </xf>
    <xf numFmtId="184" fontId="35" fillId="2" borderId="0" xfId="1" applyNumberFormat="1" applyFont="1" applyFill="1" applyBorder="1" applyAlignment="1">
      <alignment horizontal="center"/>
    </xf>
    <xf numFmtId="0" fontId="50" fillId="2" borderId="20" xfId="4" applyFont="1" applyFill="1" applyBorder="1" applyAlignment="1">
      <alignment horizontal="center"/>
    </xf>
    <xf numFmtId="0" fontId="17" fillId="2" borderId="68" xfId="9" applyFont="1" applyFill="1" applyBorder="1" applyAlignment="1" applyProtection="1">
      <alignment horizontal="center"/>
      <protection locked="0"/>
    </xf>
    <xf numFmtId="210" fontId="17" fillId="2" borderId="62" xfId="20" applyNumberFormat="1" applyFont="1" applyFill="1" applyBorder="1" applyAlignment="1">
      <alignment horizontal="center"/>
    </xf>
    <xf numFmtId="210" fontId="17" fillId="2" borderId="52" xfId="20" applyNumberFormat="1" applyFont="1" applyFill="1" applyBorder="1" applyAlignment="1">
      <alignment horizontal="center"/>
    </xf>
    <xf numFmtId="210" fontId="17" fillId="2" borderId="61" xfId="20" applyNumberFormat="1" applyFont="1" applyFill="1" applyBorder="1" applyAlignment="1">
      <alignment horizontal="center"/>
    </xf>
    <xf numFmtId="3" fontId="17" fillId="2" borderId="47" xfId="4" applyNumberFormat="1" applyFont="1" applyFill="1" applyBorder="1" applyAlignment="1">
      <alignment horizontal="center"/>
    </xf>
    <xf numFmtId="3" fontId="17" fillId="2" borderId="28" xfId="20" applyNumberFormat="1" applyFont="1" applyFill="1" applyBorder="1" applyAlignment="1">
      <alignment horizontal="center"/>
    </xf>
    <xf numFmtId="209" fontId="5" fillId="4" borderId="21" xfId="4" applyNumberFormat="1" applyFont="1" applyFill="1" applyBorder="1" applyAlignment="1">
      <alignment horizontal="center"/>
    </xf>
    <xf numFmtId="186" fontId="17" fillId="2" borderId="62" xfId="27" applyNumberFormat="1" applyFont="1" applyFill="1" applyBorder="1" applyAlignment="1">
      <alignment horizontal="center"/>
    </xf>
    <xf numFmtId="186" fontId="17" fillId="2" borderId="52" xfId="27" applyNumberFormat="1" applyFont="1" applyFill="1" applyBorder="1" applyAlignment="1">
      <alignment horizontal="center"/>
    </xf>
    <xf numFmtId="186" fontId="17" fillId="2" borderId="52" xfId="27" applyNumberFormat="1" applyFont="1" applyFill="1" applyBorder="1" applyAlignment="1">
      <alignment horizontal="right"/>
    </xf>
    <xf numFmtId="186" fontId="17" fillId="2" borderId="14" xfId="27" applyNumberFormat="1" applyFont="1" applyFill="1" applyBorder="1" applyAlignment="1">
      <alignment horizontal="center"/>
    </xf>
    <xf numFmtId="186" fontId="17" fillId="2" borderId="13" xfId="27" applyNumberFormat="1" applyFont="1" applyFill="1" applyBorder="1" applyAlignment="1">
      <alignment horizontal="center"/>
    </xf>
    <xf numFmtId="186" fontId="17" fillId="2" borderId="12" xfId="27" applyNumberFormat="1" applyFont="1" applyFill="1" applyBorder="1" applyAlignment="1">
      <alignment horizontal="center"/>
    </xf>
    <xf numFmtId="186" fontId="17" fillId="2" borderId="11" xfId="27" applyNumberFormat="1" applyFont="1" applyFill="1" applyBorder="1" applyAlignment="1">
      <alignment horizontal="center"/>
    </xf>
    <xf numFmtId="186" fontId="17" fillId="2" borderId="61" xfId="27" applyNumberFormat="1" applyFont="1" applyFill="1" applyBorder="1" applyAlignment="1">
      <alignment horizontal="center"/>
    </xf>
    <xf numFmtId="186" fontId="17" fillId="2" borderId="10" xfId="27" applyNumberFormat="1" applyFont="1" applyFill="1" applyBorder="1" applyAlignment="1">
      <alignment horizontal="center"/>
    </xf>
    <xf numFmtId="186" fontId="17" fillId="2" borderId="8" xfId="27" applyNumberFormat="1" applyFont="1" applyFill="1" applyBorder="1" applyAlignment="1">
      <alignment horizontal="center"/>
    </xf>
    <xf numFmtId="170" fontId="35" fillId="0" borderId="0" xfId="4" applyNumberFormat="1" applyFont="1" applyAlignment="1">
      <alignment horizontal="center"/>
    </xf>
    <xf numFmtId="180" fontId="4" fillId="0" borderId="0" xfId="4" applyNumberFormat="1" applyFont="1" applyAlignment="1">
      <alignment horizontal="center"/>
    </xf>
    <xf numFmtId="0" fontId="5" fillId="0" borderId="0" xfId="4" applyFont="1" applyProtection="1">
      <protection locked="0"/>
    </xf>
    <xf numFmtId="173" fontId="4" fillId="2" borderId="1" xfId="4" applyNumberFormat="1" applyFont="1" applyFill="1" applyBorder="1" applyProtection="1">
      <protection locked="0"/>
    </xf>
    <xf numFmtId="0" fontId="2" fillId="0" borderId="0" xfId="4" applyProtection="1">
      <protection locked="0"/>
    </xf>
    <xf numFmtId="0" fontId="3" fillId="0" borderId="0" xfId="4" applyFont="1" applyProtection="1">
      <protection locked="0"/>
    </xf>
    <xf numFmtId="0" fontId="5" fillId="4" borderId="1" xfId="4" applyFont="1" applyFill="1" applyBorder="1" applyProtection="1">
      <protection locked="0"/>
    </xf>
    <xf numFmtId="173" fontId="5" fillId="0" borderId="0" xfId="4" applyNumberFormat="1" applyFont="1" applyProtection="1">
      <protection locked="0"/>
    </xf>
    <xf numFmtId="0" fontId="5" fillId="4" borderId="0" xfId="4" applyFont="1" applyFill="1" applyProtection="1">
      <protection locked="0"/>
    </xf>
    <xf numFmtId="0" fontId="5" fillId="0" borderId="0" xfId="11" applyFont="1" applyProtection="1">
      <protection locked="0"/>
    </xf>
    <xf numFmtId="173" fontId="5" fillId="9" borderId="0" xfId="4" applyNumberFormat="1" applyFont="1" applyFill="1" applyProtection="1">
      <protection locked="0"/>
    </xf>
    <xf numFmtId="0" fontId="4" fillId="2" borderId="1" xfId="4" applyFont="1" applyFill="1" applyBorder="1" applyProtection="1">
      <protection locked="0"/>
    </xf>
    <xf numFmtId="0" fontId="5" fillId="0" borderId="3" xfId="4" applyFont="1" applyBorder="1" applyProtection="1">
      <protection locked="0"/>
    </xf>
    <xf numFmtId="173" fontId="5" fillId="0" borderId="3" xfId="4" applyNumberFormat="1" applyFont="1" applyBorder="1" applyProtection="1">
      <protection locked="0"/>
    </xf>
    <xf numFmtId="173" fontId="4" fillId="9" borderId="0" xfId="4" applyNumberFormat="1" applyFont="1" applyFill="1" applyProtection="1">
      <protection locked="0"/>
    </xf>
    <xf numFmtId="173" fontId="3" fillId="2" borderId="0" xfId="12" applyNumberFormat="1" applyFont="1" applyFill="1" applyBorder="1" applyAlignment="1" applyProtection="1">
      <alignment horizontal="right"/>
      <protection locked="0"/>
    </xf>
    <xf numFmtId="0" fontId="5" fillId="0" borderId="4" xfId="4" applyFont="1" applyBorder="1" applyProtection="1">
      <protection locked="0"/>
    </xf>
    <xf numFmtId="173" fontId="5" fillId="0" borderId="2" xfId="4" applyNumberFormat="1" applyFont="1" applyBorder="1" applyProtection="1">
      <protection locked="0"/>
    </xf>
    <xf numFmtId="0" fontId="4" fillId="0" borderId="0" xfId="4" applyFont="1" applyProtection="1">
      <protection locked="0"/>
    </xf>
    <xf numFmtId="173" fontId="4" fillId="0" borderId="0" xfId="4" applyNumberFormat="1" applyFont="1" applyProtection="1">
      <protection locked="0"/>
    </xf>
    <xf numFmtId="0" fontId="38" fillId="0" borderId="0" xfId="4" applyFont="1" applyProtection="1">
      <protection locked="0"/>
    </xf>
    <xf numFmtId="0" fontId="5" fillId="0" borderId="6" xfId="4" applyFont="1" applyBorder="1" applyProtection="1">
      <protection locked="0"/>
    </xf>
    <xf numFmtId="0" fontId="17" fillId="0" borderId="0" xfId="4" applyFont="1" applyProtection="1">
      <protection locked="0"/>
    </xf>
    <xf numFmtId="0" fontId="20" fillId="0" borderId="0" xfId="4" applyFont="1" applyProtection="1">
      <protection locked="0"/>
    </xf>
    <xf numFmtId="0" fontId="20" fillId="7" borderId="0" xfId="4" applyFont="1" applyFill="1" applyProtection="1">
      <protection locked="0"/>
    </xf>
    <xf numFmtId="0" fontId="5" fillId="7" borderId="0" xfId="4" applyFont="1" applyFill="1" applyProtection="1">
      <protection locked="0"/>
    </xf>
    <xf numFmtId="0" fontId="2" fillId="7" borderId="0" xfId="4" applyFill="1" applyProtection="1">
      <protection locked="0"/>
    </xf>
    <xf numFmtId="182" fontId="4" fillId="0" borderId="16" xfId="4" applyNumberFormat="1" applyFont="1" applyBorder="1" applyAlignment="1" applyProtection="1">
      <alignment horizontal="centerContinuous"/>
      <protection locked="0"/>
    </xf>
    <xf numFmtId="198" fontId="5" fillId="9" borderId="0" xfId="4" applyNumberFormat="1" applyFont="1" applyFill="1" applyProtection="1">
      <protection locked="0"/>
    </xf>
    <xf numFmtId="0" fontId="5" fillId="10" borderId="0" xfId="4" applyFont="1" applyFill="1" applyProtection="1">
      <protection locked="0"/>
    </xf>
    <xf numFmtId="0" fontId="17" fillId="2" borderId="0" xfId="4" applyFont="1" applyFill="1" applyProtection="1">
      <protection locked="0"/>
    </xf>
    <xf numFmtId="0" fontId="0" fillId="0" borderId="0" xfId="0" applyProtection="1">
      <protection locked="0"/>
    </xf>
    <xf numFmtId="0" fontId="4" fillId="0" borderId="7" xfId="4" applyFont="1" applyBorder="1" applyProtection="1">
      <protection locked="0"/>
    </xf>
    <xf numFmtId="199" fontId="4" fillId="0" borderId="7" xfId="4" applyNumberFormat="1" applyFont="1" applyBorder="1" applyProtection="1">
      <protection locked="0"/>
    </xf>
    <xf numFmtId="0" fontId="23" fillId="0" borderId="0" xfId="4" applyFont="1" applyProtection="1">
      <protection locked="0"/>
    </xf>
    <xf numFmtId="0" fontId="5" fillId="9" borderId="0" xfId="4" applyFont="1" applyFill="1" applyProtection="1">
      <protection locked="0"/>
    </xf>
    <xf numFmtId="0" fontId="5" fillId="0" borderId="1" xfId="4" applyFont="1" applyBorder="1" applyProtection="1">
      <protection locked="0"/>
    </xf>
    <xf numFmtId="173" fontId="5" fillId="0" borderId="1" xfId="4" applyNumberFormat="1" applyFont="1" applyBorder="1" applyProtection="1">
      <protection locked="0"/>
    </xf>
    <xf numFmtId="0" fontId="5" fillId="9" borderId="1" xfId="4" applyFont="1" applyFill="1" applyBorder="1" applyProtection="1">
      <protection locked="0"/>
    </xf>
    <xf numFmtId="173" fontId="5" fillId="9" borderId="1" xfId="4" applyNumberFormat="1" applyFont="1" applyFill="1" applyBorder="1" applyProtection="1">
      <protection locked="0"/>
    </xf>
    <xf numFmtId="0" fontId="5" fillId="9" borderId="16" xfId="4" applyFont="1" applyFill="1" applyBorder="1" applyProtection="1">
      <protection locked="0"/>
    </xf>
    <xf numFmtId="0" fontId="23" fillId="9" borderId="0" xfId="4" applyFont="1" applyFill="1" applyProtection="1">
      <protection locked="0"/>
    </xf>
    <xf numFmtId="170" fontId="5" fillId="0" borderId="0" xfId="3" applyNumberFormat="1" applyFont="1" applyFill="1" applyBorder="1" applyAlignment="1" applyProtection="1">
      <alignment horizontal="left"/>
      <protection locked="0"/>
    </xf>
    <xf numFmtId="198" fontId="4" fillId="9" borderId="0" xfId="4" applyNumberFormat="1" applyFont="1" applyFill="1" applyProtection="1">
      <protection locked="0"/>
    </xf>
    <xf numFmtId="196" fontId="3" fillId="0" borderId="0" xfId="3" applyNumberFormat="1" applyFont="1" applyBorder="1" applyProtection="1">
      <protection locked="0"/>
    </xf>
    <xf numFmtId="196" fontId="3" fillId="0" borderId="0" xfId="3" applyNumberFormat="1" applyFont="1" applyFill="1" applyBorder="1" applyProtection="1">
      <protection locked="0"/>
    </xf>
    <xf numFmtId="9" fontId="3" fillId="0" borderId="0" xfId="3" applyFont="1" applyBorder="1" applyProtection="1">
      <protection locked="0"/>
    </xf>
    <xf numFmtId="9" fontId="3" fillId="0" borderId="0" xfId="3" applyFont="1" applyFill="1" applyBorder="1" applyProtection="1">
      <protection locked="0"/>
    </xf>
    <xf numFmtId="173" fontId="4" fillId="8" borderId="1" xfId="4" applyNumberFormat="1" applyFont="1" applyFill="1" applyBorder="1" applyProtection="1">
      <protection locked="0"/>
    </xf>
    <xf numFmtId="0" fontId="4" fillId="9" borderId="0" xfId="4" applyFont="1" applyFill="1" applyProtection="1">
      <protection locked="0"/>
    </xf>
    <xf numFmtId="0" fontId="47" fillId="9" borderId="0" xfId="4" applyFont="1" applyFill="1" applyProtection="1">
      <protection locked="0"/>
    </xf>
    <xf numFmtId="0" fontId="46" fillId="9" borderId="0" xfId="4" applyFont="1" applyFill="1" applyProtection="1">
      <protection locked="0"/>
    </xf>
    <xf numFmtId="170" fontId="46" fillId="9" borderId="0" xfId="4" applyNumberFormat="1" applyFont="1" applyFill="1" applyProtection="1">
      <protection locked="0"/>
    </xf>
    <xf numFmtId="173" fontId="5" fillId="9" borderId="9" xfId="4" applyNumberFormat="1" applyFont="1" applyFill="1" applyBorder="1" applyProtection="1">
      <protection locked="0"/>
    </xf>
    <xf numFmtId="170" fontId="5" fillId="9" borderId="9" xfId="4" applyNumberFormat="1" applyFont="1" applyFill="1" applyBorder="1" applyProtection="1">
      <protection locked="0"/>
    </xf>
    <xf numFmtId="0" fontId="5" fillId="9" borderId="9" xfId="4" applyFont="1" applyFill="1" applyBorder="1" applyProtection="1">
      <protection locked="0"/>
    </xf>
    <xf numFmtId="9" fontId="4" fillId="2" borderId="1" xfId="4" applyNumberFormat="1" applyFont="1" applyFill="1" applyBorder="1" applyProtection="1">
      <protection locked="0"/>
    </xf>
    <xf numFmtId="198" fontId="5" fillId="0" borderId="0" xfId="4" applyNumberFormat="1" applyFont="1" applyProtection="1">
      <protection locked="0"/>
    </xf>
    <xf numFmtId="170" fontId="5" fillId="0" borderId="0" xfId="3" applyNumberFormat="1" applyFont="1" applyFill="1" applyBorder="1" applyAlignment="1" applyProtection="1">
      <protection locked="0"/>
    </xf>
    <xf numFmtId="0" fontId="5" fillId="0" borderId="6" xfId="4" applyFont="1" applyBorder="1" applyAlignment="1" applyProtection="1">
      <alignment horizontal="right"/>
      <protection locked="0"/>
    </xf>
    <xf numFmtId="0" fontId="4" fillId="0" borderId="6" xfId="4" applyFont="1" applyBorder="1" applyAlignment="1" applyProtection="1">
      <alignment horizontal="right"/>
      <protection locked="0"/>
    </xf>
    <xf numFmtId="173" fontId="5" fillId="0" borderId="6" xfId="4" applyNumberFormat="1" applyFont="1" applyBorder="1" applyProtection="1">
      <protection locked="0"/>
    </xf>
    <xf numFmtId="0" fontId="4" fillId="0" borderId="6" xfId="4" applyFont="1" applyBorder="1" applyProtection="1">
      <protection locked="0"/>
    </xf>
    <xf numFmtId="199" fontId="4" fillId="0" borderId="6" xfId="4" applyNumberFormat="1" applyFont="1" applyBorder="1" applyProtection="1">
      <protection locked="0"/>
    </xf>
    <xf numFmtId="173" fontId="5" fillId="9" borderId="6" xfId="4" applyNumberFormat="1" applyFont="1" applyFill="1" applyBorder="1" applyProtection="1">
      <protection locked="0"/>
    </xf>
    <xf numFmtId="9" fontId="5" fillId="9" borderId="23" xfId="3" applyFont="1" applyFill="1" applyBorder="1" applyAlignment="1" applyProtection="1">
      <alignment horizontal="center" vertical="center"/>
      <protection locked="0"/>
    </xf>
    <xf numFmtId="10" fontId="4" fillId="2" borderId="1" xfId="4" applyNumberFormat="1" applyFont="1" applyFill="1" applyBorder="1" applyAlignment="1" applyProtection="1">
      <alignment horizontal="left"/>
      <protection locked="0"/>
    </xf>
    <xf numFmtId="0" fontId="4" fillId="2" borderId="1" xfId="4" applyFont="1" applyFill="1" applyBorder="1" applyAlignment="1" applyProtection="1">
      <alignment horizontal="right"/>
      <protection locked="0"/>
    </xf>
    <xf numFmtId="10" fontId="4" fillId="2" borderId="20" xfId="4" applyNumberFormat="1" applyFont="1" applyFill="1" applyBorder="1" applyAlignment="1" applyProtection="1">
      <alignment horizontal="center" vertical="center"/>
      <protection locked="0"/>
    </xf>
    <xf numFmtId="0" fontId="2" fillId="0" borderId="1" xfId="4" applyBorder="1" applyProtection="1">
      <protection locked="0"/>
    </xf>
    <xf numFmtId="0" fontId="2" fillId="9" borderId="0" xfId="4" applyFill="1" applyProtection="1">
      <protection locked="0"/>
    </xf>
    <xf numFmtId="0" fontId="21" fillId="7" borderId="16" xfId="4" applyFont="1" applyFill="1" applyBorder="1" applyProtection="1">
      <protection locked="0"/>
    </xf>
    <xf numFmtId="0" fontId="2" fillId="7" borderId="16" xfId="4" applyFill="1" applyBorder="1" applyProtection="1">
      <protection locked="0"/>
    </xf>
    <xf numFmtId="181" fontId="21" fillId="7" borderId="0" xfId="4" applyNumberFormat="1" applyFont="1" applyFill="1" applyAlignment="1" applyProtection="1">
      <alignment horizontal="center"/>
      <protection locked="0"/>
    </xf>
    <xf numFmtId="0" fontId="22" fillId="0" borderId="0" xfId="4" applyFont="1" applyProtection="1">
      <protection locked="0"/>
    </xf>
    <xf numFmtId="0" fontId="5" fillId="0" borderId="18" xfId="4" applyFont="1" applyBorder="1"/>
    <xf numFmtId="0" fontId="5" fillId="0" borderId="42" xfId="4" applyFont="1" applyBorder="1"/>
    <xf numFmtId="0" fontId="5" fillId="0" borderId="15" xfId="4" applyFont="1" applyBorder="1"/>
    <xf numFmtId="0" fontId="5" fillId="0" borderId="19" xfId="4" applyFont="1" applyBorder="1"/>
    <xf numFmtId="180" fontId="5" fillId="0" borderId="1" xfId="4" applyNumberFormat="1" applyFont="1" applyBorder="1" applyAlignment="1">
      <alignment horizontal="right"/>
    </xf>
    <xf numFmtId="0" fontId="5" fillId="0" borderId="43" xfId="4" applyFont="1" applyBorder="1"/>
    <xf numFmtId="0" fontId="5" fillId="0" borderId="17" xfId="4" applyFont="1" applyBorder="1"/>
    <xf numFmtId="180" fontId="5" fillId="0" borderId="16" xfId="4" applyNumberFormat="1" applyFont="1" applyBorder="1" applyAlignment="1">
      <alignment horizontal="right"/>
    </xf>
    <xf numFmtId="0" fontId="17" fillId="0" borderId="19" xfId="4" applyFont="1" applyBorder="1" applyAlignment="1">
      <alignment horizontal="left"/>
    </xf>
    <xf numFmtId="0" fontId="17" fillId="0" borderId="43" xfId="4" applyFont="1" applyBorder="1" applyAlignment="1">
      <alignment horizontal="left"/>
    </xf>
    <xf numFmtId="0" fontId="17" fillId="0" borderId="17" xfId="4" applyFont="1" applyBorder="1" applyAlignment="1">
      <alignment horizontal="left"/>
    </xf>
    <xf numFmtId="0" fontId="14" fillId="0" borderId="0" xfId="4" applyFont="1" applyAlignment="1">
      <alignment horizontal="left"/>
    </xf>
    <xf numFmtId="0" fontId="14" fillId="0" borderId="0" xfId="4" applyFont="1" applyAlignment="1">
      <alignment horizontal="center"/>
    </xf>
    <xf numFmtId="173" fontId="17" fillId="0" borderId="1" xfId="4" applyNumberFormat="1" applyFont="1" applyBorder="1"/>
    <xf numFmtId="0" fontId="4" fillId="0" borderId="19" xfId="4" applyFont="1" applyBorder="1" applyAlignment="1">
      <alignment horizontal="left"/>
    </xf>
    <xf numFmtId="10" fontId="17" fillId="2" borderId="1" xfId="3" applyNumberFormat="1" applyFont="1" applyFill="1" applyBorder="1"/>
    <xf numFmtId="193" fontId="5" fillId="0" borderId="0" xfId="4" applyNumberFormat="1" applyFont="1"/>
    <xf numFmtId="173" fontId="5" fillId="0" borderId="3" xfId="4" applyNumberFormat="1" applyFont="1" applyBorder="1"/>
    <xf numFmtId="173" fontId="5" fillId="4" borderId="0" xfId="16" applyNumberFormat="1" applyFont="1" applyFill="1" applyBorder="1" applyAlignment="1">
      <alignment horizontal="right"/>
    </xf>
    <xf numFmtId="173" fontId="5" fillId="4" borderId="0" xfId="4" applyNumberFormat="1" applyFont="1" applyFill="1"/>
    <xf numFmtId="180" fontId="3" fillId="4" borderId="0" xfId="4" applyNumberFormat="1" applyFont="1" applyFill="1"/>
    <xf numFmtId="173" fontId="4" fillId="0" borderId="1" xfId="16" applyNumberFormat="1" applyFont="1" applyFill="1" applyBorder="1" applyAlignment="1">
      <alignment horizontal="right"/>
    </xf>
    <xf numFmtId="173" fontId="4" fillId="4" borderId="1" xfId="16" applyNumberFormat="1" applyFont="1" applyFill="1" applyBorder="1" applyAlignment="1">
      <alignment horizontal="right"/>
    </xf>
    <xf numFmtId="180" fontId="49" fillId="0" borderId="0" xfId="4" applyNumberFormat="1" applyFont="1"/>
    <xf numFmtId="173" fontId="4" fillId="4" borderId="1" xfId="4" applyNumberFormat="1" applyFont="1" applyFill="1" applyBorder="1"/>
    <xf numFmtId="0" fontId="4" fillId="0" borderId="16" xfId="4" applyFont="1" applyBorder="1"/>
    <xf numFmtId="2" fontId="5" fillId="0" borderId="0" xfId="4" applyNumberFormat="1" applyFont="1"/>
    <xf numFmtId="180" fontId="5" fillId="4" borderId="0" xfId="3" applyNumberFormat="1" applyFont="1" applyFill="1" applyBorder="1"/>
    <xf numFmtId="1" fontId="79" fillId="0" borderId="1" xfId="4" applyNumberFormat="1" applyFont="1" applyBorder="1"/>
    <xf numFmtId="0" fontId="80" fillId="0" borderId="0" xfId="0" applyFont="1"/>
    <xf numFmtId="0" fontId="72" fillId="2" borderId="0" xfId="4" applyFont="1" applyFill="1"/>
    <xf numFmtId="174" fontId="4" fillId="0" borderId="1" xfId="1" applyNumberFormat="1" applyFont="1" applyBorder="1"/>
    <xf numFmtId="0" fontId="28" fillId="0" borderId="0" xfId="11" applyFont="1"/>
    <xf numFmtId="211" fontId="27" fillId="0" borderId="0" xfId="12" applyNumberFormat="1" applyFont="1" applyFill="1" applyBorder="1" applyAlignment="1">
      <alignment horizontal="right"/>
    </xf>
    <xf numFmtId="0" fontId="4" fillId="0" borderId="1" xfId="11" applyFont="1" applyBorder="1"/>
    <xf numFmtId="173" fontId="5" fillId="4" borderId="1" xfId="4" applyNumberFormat="1" applyFont="1" applyFill="1" applyBorder="1"/>
    <xf numFmtId="0" fontId="5" fillId="0" borderId="0" xfId="4" applyFont="1" applyAlignment="1">
      <alignment horizontal="left" vertical="top" wrapText="1"/>
    </xf>
    <xf numFmtId="184" fontId="5" fillId="0" borderId="0" xfId="4" applyNumberFormat="1" applyFont="1" applyAlignment="1">
      <alignment horizontal="left" indent="1"/>
    </xf>
    <xf numFmtId="0" fontId="4" fillId="0" borderId="1" xfId="4" applyFont="1" applyBorder="1" applyAlignment="1">
      <alignment horizontal="left" indent="1"/>
    </xf>
    <xf numFmtId="173" fontId="4" fillId="0" borderId="0" xfId="11" applyNumberFormat="1" applyFont="1"/>
    <xf numFmtId="0" fontId="23" fillId="0" borderId="0" xfId="11" applyFont="1" applyAlignment="1">
      <alignment horizontal="left"/>
    </xf>
    <xf numFmtId="173" fontId="4" fillId="0" borderId="1" xfId="11" applyNumberFormat="1" applyFont="1" applyBorder="1"/>
    <xf numFmtId="0" fontId="5" fillId="9" borderId="1" xfId="11" applyFont="1" applyFill="1" applyBorder="1"/>
    <xf numFmtId="173" fontId="5" fillId="4" borderId="1" xfId="16" applyNumberFormat="1" applyFont="1" applyFill="1" applyBorder="1" applyAlignment="1">
      <alignment horizontal="right"/>
    </xf>
    <xf numFmtId="0" fontId="5" fillId="0" borderId="69" xfId="11" applyFont="1" applyBorder="1"/>
    <xf numFmtId="173" fontId="4" fillId="4" borderId="0" xfId="4" applyNumberFormat="1" applyFont="1" applyFill="1"/>
    <xf numFmtId="0" fontId="4" fillId="0" borderId="1" xfId="11" applyFont="1" applyBorder="1" applyAlignment="1">
      <alignment horizontal="left" indent="1"/>
    </xf>
    <xf numFmtId="0" fontId="4" fillId="9" borderId="1" xfId="11" applyFont="1" applyFill="1" applyBorder="1" applyAlignment="1">
      <alignment horizontal="left" indent="1"/>
    </xf>
    <xf numFmtId="186" fontId="5" fillId="8" borderId="1" xfId="4" quotePrefix="1" applyNumberFormat="1" applyFont="1" applyFill="1" applyBorder="1"/>
    <xf numFmtId="173" fontId="5" fillId="0" borderId="1" xfId="16" applyNumberFormat="1" applyFont="1" applyFill="1" applyBorder="1" applyAlignment="1">
      <alignment horizontal="right"/>
    </xf>
    <xf numFmtId="186" fontId="5" fillId="4" borderId="1" xfId="4" applyNumberFormat="1" applyFont="1" applyFill="1" applyBorder="1"/>
    <xf numFmtId="180" fontId="26" fillId="4" borderId="0" xfId="12" applyNumberFormat="1" applyFont="1" applyFill="1" applyBorder="1" applyAlignment="1">
      <alignment horizontal="right"/>
    </xf>
    <xf numFmtId="186" fontId="5" fillId="8" borderId="16" xfId="4" applyNumberFormat="1" applyFont="1" applyFill="1" applyBorder="1"/>
    <xf numFmtId="186" fontId="5" fillId="20" borderId="0" xfId="16" applyNumberFormat="1" applyFont="1" applyFill="1" applyBorder="1" applyAlignment="1">
      <alignment horizontal="right"/>
    </xf>
    <xf numFmtId="184" fontId="4" fillId="0" borderId="1" xfId="4" applyNumberFormat="1" applyFont="1" applyBorder="1"/>
    <xf numFmtId="184" fontId="4" fillId="0" borderId="1" xfId="4" applyNumberFormat="1" applyFont="1" applyBorder="1" applyAlignment="1">
      <alignment horizontal="left"/>
    </xf>
    <xf numFmtId="184" fontId="4" fillId="0" borderId="0" xfId="4" applyNumberFormat="1" applyFont="1" applyAlignment="1">
      <alignment horizontal="left"/>
    </xf>
    <xf numFmtId="184" fontId="4" fillId="0" borderId="0" xfId="4" applyNumberFormat="1" applyFont="1"/>
    <xf numFmtId="173" fontId="17" fillId="0" borderId="0" xfId="13" applyNumberFormat="1" applyFont="1" applyFill="1" applyAlignment="1">
      <alignment horizontal="right"/>
    </xf>
    <xf numFmtId="173" fontId="26" fillId="0" borderId="1" xfId="12" applyNumberFormat="1" applyFont="1" applyFill="1" applyBorder="1" applyAlignment="1">
      <alignment horizontal="right"/>
    </xf>
    <xf numFmtId="171" fontId="5" fillId="9" borderId="0" xfId="16" applyNumberFormat="1" applyFont="1" applyFill="1" applyBorder="1" applyAlignment="1">
      <alignment horizontal="right"/>
    </xf>
    <xf numFmtId="173" fontId="5" fillId="8" borderId="0" xfId="4" applyNumberFormat="1" applyFont="1" applyFill="1"/>
    <xf numFmtId="0" fontId="5" fillId="0" borderId="6" xfId="4" applyFont="1" applyBorder="1" applyAlignment="1">
      <alignment horizontal="left"/>
    </xf>
    <xf numFmtId="186" fontId="5" fillId="9" borderId="6" xfId="16" applyNumberFormat="1" applyFont="1" applyFill="1" applyBorder="1" applyAlignment="1">
      <alignment horizontal="right"/>
    </xf>
    <xf numFmtId="171" fontId="4" fillId="8" borderId="17" xfId="16" applyNumberFormat="1" applyFont="1" applyFill="1" applyBorder="1" applyAlignment="1">
      <alignment horizontal="right"/>
    </xf>
    <xf numFmtId="171" fontId="4" fillId="8" borderId="16" xfId="16" applyNumberFormat="1" applyFont="1" applyFill="1" applyBorder="1" applyAlignment="1">
      <alignment horizontal="right"/>
    </xf>
    <xf numFmtId="171" fontId="4" fillId="8" borderId="15" xfId="16" applyNumberFormat="1" applyFont="1" applyFill="1" applyBorder="1" applyAlignment="1">
      <alignment horizontal="right"/>
    </xf>
    <xf numFmtId="171" fontId="5" fillId="9" borderId="42" xfId="16" applyNumberFormat="1" applyFont="1" applyFill="1" applyBorder="1" applyAlignment="1">
      <alignment horizontal="right"/>
    </xf>
    <xf numFmtId="180" fontId="5" fillId="0" borderId="0" xfId="16" applyNumberFormat="1" applyFont="1" applyFill="1" applyBorder="1" applyAlignment="1">
      <alignment vertical="center"/>
    </xf>
    <xf numFmtId="173" fontId="5" fillId="21" borderId="0" xfId="4" applyNumberFormat="1" applyFont="1" applyFill="1"/>
    <xf numFmtId="173" fontId="5" fillId="21" borderId="1" xfId="4" applyNumberFormat="1" applyFont="1" applyFill="1" applyBorder="1"/>
    <xf numFmtId="175" fontId="5" fillId="4" borderId="0" xfId="7" applyNumberFormat="1" applyFont="1" applyFill="1"/>
    <xf numFmtId="178" fontId="4" fillId="0" borderId="0" xfId="11" applyNumberFormat="1" applyFont="1"/>
    <xf numFmtId="2" fontId="27" fillId="2" borderId="16" xfId="6" applyNumberFormat="1" applyFont="1" applyFill="1" applyBorder="1" applyAlignment="1">
      <alignment horizontal="right" vertical="center"/>
    </xf>
    <xf numFmtId="173" fontId="5" fillId="2" borderId="0" xfId="7" applyNumberFormat="1" applyFont="1" applyFill="1"/>
    <xf numFmtId="175" fontId="5" fillId="4" borderId="0" xfId="9" applyNumberFormat="1" applyFont="1" applyFill="1" applyAlignment="1">
      <alignment horizontal="right"/>
    </xf>
    <xf numFmtId="195" fontId="3" fillId="4" borderId="0" xfId="10" applyNumberFormat="1" applyFont="1" applyFill="1" applyBorder="1" applyAlignment="1">
      <alignment horizontal="right"/>
    </xf>
    <xf numFmtId="173" fontId="4" fillId="4" borderId="23" xfId="9" applyNumberFormat="1" applyFont="1" applyFill="1" applyBorder="1" applyAlignment="1">
      <alignment horizontal="right"/>
    </xf>
    <xf numFmtId="170" fontId="5" fillId="4" borderId="0" xfId="4" applyNumberFormat="1" applyFont="1" applyFill="1" applyAlignment="1">
      <alignment horizontal="right"/>
    </xf>
    <xf numFmtId="170" fontId="4" fillId="4" borderId="0" xfId="10" applyNumberFormat="1" applyFont="1" applyFill="1" applyBorder="1" applyAlignment="1">
      <alignment horizontal="right" vertical="center"/>
    </xf>
    <xf numFmtId="170" fontId="4" fillId="4" borderId="1" xfId="4" applyNumberFormat="1" applyFont="1" applyFill="1" applyBorder="1" applyAlignment="1">
      <alignment horizontal="right"/>
    </xf>
    <xf numFmtId="175" fontId="4" fillId="4" borderId="20" xfId="7" applyNumberFormat="1" applyFont="1" applyFill="1" applyBorder="1"/>
    <xf numFmtId="193" fontId="4" fillId="4" borderId="20" xfId="4" applyNumberFormat="1" applyFont="1" applyFill="1" applyBorder="1"/>
    <xf numFmtId="173" fontId="4" fillId="21" borderId="1" xfId="4" applyNumberFormat="1" applyFont="1" applyFill="1" applyBorder="1"/>
    <xf numFmtId="178" fontId="4" fillId="20" borderId="0" xfId="11" applyNumberFormat="1" applyFont="1" applyFill="1"/>
    <xf numFmtId="191" fontId="5" fillId="20" borderId="0" xfId="4" applyNumberFormat="1" applyFont="1" applyFill="1"/>
    <xf numFmtId="192" fontId="5" fillId="20" borderId="0" xfId="4" applyNumberFormat="1" applyFont="1" applyFill="1"/>
    <xf numFmtId="175" fontId="5" fillId="20" borderId="1" xfId="4" applyNumberFormat="1" applyFont="1" applyFill="1" applyBorder="1"/>
    <xf numFmtId="173" fontId="5" fillId="4" borderId="16" xfId="4" applyNumberFormat="1" applyFont="1" applyFill="1" applyBorder="1"/>
    <xf numFmtId="191" fontId="5" fillId="4" borderId="0" xfId="4" applyNumberFormat="1" applyFont="1" applyFill="1"/>
    <xf numFmtId="192" fontId="5" fillId="4" borderId="0" xfId="4" applyNumberFormat="1" applyFont="1" applyFill="1"/>
    <xf numFmtId="173" fontId="5" fillId="4" borderId="0" xfId="12" applyNumberFormat="1" applyFont="1" applyFill="1" applyBorder="1" applyAlignment="1">
      <alignment horizontal="right"/>
    </xf>
    <xf numFmtId="173" fontId="5" fillId="4" borderId="0" xfId="14" applyNumberFormat="1" applyFont="1" applyFill="1" applyBorder="1" applyAlignment="1">
      <alignment horizontal="right"/>
    </xf>
    <xf numFmtId="173" fontId="4" fillId="4" borderId="1" xfId="11" applyNumberFormat="1" applyFont="1" applyFill="1" applyBorder="1"/>
    <xf numFmtId="173" fontId="5" fillId="4" borderId="0" xfId="11" applyNumberFormat="1" applyFont="1" applyFill="1"/>
    <xf numFmtId="173" fontId="32" fillId="4" borderId="0" xfId="11" applyNumberFormat="1" applyFont="1" applyFill="1"/>
    <xf numFmtId="173" fontId="5" fillId="4" borderId="1" xfId="11" applyNumberFormat="1" applyFont="1" applyFill="1" applyBorder="1"/>
    <xf numFmtId="173" fontId="4" fillId="4" borderId="0" xfId="11" applyNumberFormat="1" applyFont="1" applyFill="1"/>
    <xf numFmtId="173" fontId="5" fillId="4" borderId="0" xfId="4" applyNumberFormat="1" applyFont="1" applyFill="1" applyAlignment="1">
      <alignment horizontal="right"/>
    </xf>
    <xf numFmtId="173" fontId="5" fillId="4" borderId="0" xfId="13" applyNumberFormat="1" applyFont="1" applyFill="1" applyAlignment="1">
      <alignment horizontal="right"/>
    </xf>
    <xf numFmtId="173" fontId="26" fillId="4" borderId="1" xfId="12" applyNumberFormat="1" applyFont="1" applyFill="1" applyBorder="1" applyAlignment="1">
      <alignment horizontal="right"/>
    </xf>
    <xf numFmtId="0" fontId="5" fillId="0" borderId="4" xfId="11" applyFont="1" applyBorder="1"/>
    <xf numFmtId="180" fontId="17" fillId="2" borderId="42" xfId="4" applyNumberFormat="1" applyFont="1" applyFill="1" applyBorder="1"/>
    <xf numFmtId="180" fontId="17" fillId="2" borderId="15" xfId="4" applyNumberFormat="1" applyFont="1" applyFill="1" applyBorder="1"/>
    <xf numFmtId="179" fontId="5" fillId="0" borderId="14" xfId="4" applyNumberFormat="1" applyFont="1" applyBorder="1"/>
    <xf numFmtId="179" fontId="5" fillId="0" borderId="10" xfId="4" applyNumberFormat="1" applyFont="1" applyBorder="1"/>
    <xf numFmtId="0" fontId="5" fillId="0" borderId="21" xfId="4" applyFont="1" applyBorder="1" applyAlignment="1">
      <alignment horizontal="center"/>
    </xf>
    <xf numFmtId="0" fontId="5" fillId="0" borderId="28" xfId="4" applyFont="1" applyBorder="1" applyAlignment="1">
      <alignment horizontal="center"/>
    </xf>
    <xf numFmtId="0" fontId="5" fillId="0" borderId="23" xfId="4" applyFont="1" applyBorder="1" applyAlignment="1">
      <alignment horizontal="center"/>
    </xf>
    <xf numFmtId="180" fontId="5" fillId="4" borderId="3" xfId="4" applyNumberFormat="1" applyFont="1" applyFill="1" applyBorder="1"/>
    <xf numFmtId="180" fontId="5" fillId="4" borderId="2" xfId="4" applyNumberFormat="1" applyFont="1" applyFill="1" applyBorder="1"/>
    <xf numFmtId="179" fontId="5" fillId="10" borderId="6" xfId="4" applyNumberFormat="1" applyFont="1" applyFill="1" applyBorder="1"/>
    <xf numFmtId="179" fontId="5" fillId="10" borderId="13" xfId="4" applyNumberFormat="1" applyFont="1" applyFill="1" applyBorder="1"/>
    <xf numFmtId="179" fontId="5" fillId="10" borderId="9" xfId="4" applyNumberFormat="1" applyFont="1" applyFill="1" applyBorder="1"/>
    <xf numFmtId="179" fontId="5" fillId="10" borderId="8" xfId="4" applyNumberFormat="1" applyFont="1" applyFill="1" applyBorder="1"/>
    <xf numFmtId="168" fontId="5" fillId="4" borderId="0" xfId="1" applyFont="1" applyFill="1" applyBorder="1"/>
    <xf numFmtId="180" fontId="26" fillId="4" borderId="0" xfId="3" applyNumberFormat="1" applyFont="1" applyFill="1" applyAlignment="1">
      <alignment horizontal="right"/>
    </xf>
    <xf numFmtId="174" fontId="4" fillId="4" borderId="1" xfId="1" applyNumberFormat="1" applyFont="1" applyFill="1" applyBorder="1"/>
    <xf numFmtId="0" fontId="4" fillId="0" borderId="4" xfId="4" applyFont="1" applyBorder="1" applyAlignment="1">
      <alignment horizontal="left"/>
    </xf>
    <xf numFmtId="173" fontId="17" fillId="0" borderId="3" xfId="4" applyNumberFormat="1" applyFont="1" applyBorder="1"/>
    <xf numFmtId="174" fontId="4" fillId="0" borderId="0" xfId="1" applyNumberFormat="1" applyFont="1" applyBorder="1"/>
    <xf numFmtId="190" fontId="17" fillId="2" borderId="19" xfId="4" applyNumberFormat="1" applyFont="1" applyFill="1" applyBorder="1"/>
    <xf numFmtId="190" fontId="17" fillId="2" borderId="1" xfId="4" applyNumberFormat="1" applyFont="1" applyFill="1" applyBorder="1"/>
    <xf numFmtId="190" fontId="17" fillId="2" borderId="18" xfId="4" applyNumberFormat="1" applyFont="1" applyFill="1" applyBorder="1"/>
    <xf numFmtId="186" fontId="17" fillId="2" borderId="43" xfId="4" applyNumberFormat="1" applyFont="1" applyFill="1" applyBorder="1"/>
    <xf numFmtId="186" fontId="17" fillId="2" borderId="42" xfId="4" applyNumberFormat="1" applyFont="1" applyFill="1" applyBorder="1"/>
    <xf numFmtId="180" fontId="27" fillId="2" borderId="17" xfId="16" applyNumberFormat="1" applyFont="1" applyFill="1" applyBorder="1" applyAlignment="1">
      <alignment vertical="center"/>
    </xf>
    <xf numFmtId="180" fontId="27" fillId="2" borderId="16" xfId="16" applyNumberFormat="1" applyFont="1" applyFill="1" applyBorder="1" applyAlignment="1">
      <alignment vertical="center"/>
    </xf>
    <xf numFmtId="180" fontId="27" fillId="2" borderId="15" xfId="16" applyNumberFormat="1" applyFont="1" applyFill="1" applyBorder="1" applyAlignment="1">
      <alignment vertical="center"/>
    </xf>
    <xf numFmtId="189" fontId="17" fillId="2" borderId="21" xfId="16" applyNumberFormat="1" applyFont="1" applyFill="1" applyBorder="1" applyAlignment="1">
      <alignment horizontal="center"/>
    </xf>
    <xf numFmtId="202" fontId="17" fillId="4" borderId="63" xfId="4" applyNumberFormat="1" applyFont="1" applyFill="1" applyBorder="1" applyAlignment="1">
      <alignment horizontal="centerContinuous"/>
    </xf>
    <xf numFmtId="202" fontId="5" fillId="4" borderId="64" xfId="4" applyNumberFormat="1" applyFont="1" applyFill="1" applyBorder="1" applyAlignment="1">
      <alignment horizontal="centerContinuous"/>
    </xf>
    <xf numFmtId="173" fontId="4" fillId="2" borderId="0" xfId="4" applyNumberFormat="1" applyFont="1" applyFill="1" applyProtection="1">
      <protection locked="0"/>
    </xf>
    <xf numFmtId="0" fontId="3" fillId="2" borderId="0" xfId="4" applyFont="1" applyFill="1" applyProtection="1">
      <protection locked="0"/>
    </xf>
    <xf numFmtId="173" fontId="3" fillId="2" borderId="0" xfId="4" applyNumberFormat="1" applyFont="1" applyFill="1" applyProtection="1">
      <protection locked="0"/>
    </xf>
    <xf numFmtId="0" fontId="4" fillId="0" borderId="0" xfId="4" applyFont="1" applyAlignment="1" applyProtection="1">
      <alignment horizontal="centerContinuous"/>
      <protection locked="0"/>
    </xf>
    <xf numFmtId="0" fontId="3" fillId="8" borderId="0" xfId="4" applyFont="1" applyFill="1" applyProtection="1">
      <protection locked="0"/>
    </xf>
    <xf numFmtId="0" fontId="5" fillId="8" borderId="0" xfId="4" applyFont="1" applyFill="1" applyProtection="1">
      <protection locked="0"/>
    </xf>
    <xf numFmtId="192" fontId="3" fillId="8" borderId="0" xfId="4" applyNumberFormat="1" applyFont="1" applyFill="1" applyProtection="1">
      <protection locked="0"/>
    </xf>
    <xf numFmtId="0" fontId="4" fillId="2" borderId="0" xfId="4" applyFont="1" applyFill="1" applyProtection="1">
      <protection locked="0"/>
    </xf>
    <xf numFmtId="0" fontId="3" fillId="2" borderId="0" xfId="11" applyFont="1" applyFill="1" applyProtection="1">
      <protection locked="0"/>
    </xf>
    <xf numFmtId="169" fontId="13" fillId="2" borderId="0" xfId="4" applyNumberFormat="1" applyFont="1" applyFill="1" applyAlignment="1" applyProtection="1">
      <alignment horizontal="right"/>
      <protection locked="0"/>
    </xf>
    <xf numFmtId="178" fontId="5" fillId="0" borderId="0" xfId="11" applyNumberFormat="1" applyFont="1" applyProtection="1">
      <protection locked="0"/>
    </xf>
    <xf numFmtId="0" fontId="9" fillId="6" borderId="0" xfId="4" applyFont="1" applyFill="1" applyProtection="1">
      <protection locked="0"/>
    </xf>
    <xf numFmtId="15" fontId="5" fillId="0" borderId="0" xfId="4" applyNumberFormat="1" applyFont="1" applyProtection="1">
      <protection locked="0"/>
    </xf>
    <xf numFmtId="0" fontId="8" fillId="0" borderId="0" xfId="4" applyFont="1" applyProtection="1">
      <protection locked="0"/>
    </xf>
    <xf numFmtId="0" fontId="8" fillId="0" borderId="0" xfId="4" applyFont="1" applyAlignment="1" applyProtection="1">
      <alignment horizontal="right"/>
      <protection locked="0"/>
    </xf>
    <xf numFmtId="197" fontId="8" fillId="0" borderId="0" xfId="4" applyNumberFormat="1" applyFont="1" applyAlignment="1" applyProtection="1">
      <alignment horizontal="right"/>
      <protection locked="0"/>
    </xf>
    <xf numFmtId="197" fontId="4" fillId="0" borderId="0" xfId="4" applyNumberFormat="1" applyFont="1" applyAlignment="1" applyProtection="1">
      <alignment horizontal="right"/>
      <protection locked="0"/>
    </xf>
    <xf numFmtId="0" fontId="32" fillId="0" borderId="0" xfId="4" applyFont="1" applyProtection="1">
      <protection locked="0"/>
    </xf>
    <xf numFmtId="0" fontId="5" fillId="2" borderId="1" xfId="4" applyFont="1" applyFill="1" applyBorder="1" applyProtection="1">
      <protection locked="0"/>
    </xf>
    <xf numFmtId="178" fontId="5" fillId="2" borderId="1" xfId="11" applyNumberFormat="1" applyFont="1" applyFill="1" applyBorder="1" applyProtection="1">
      <protection locked="0"/>
    </xf>
    <xf numFmtId="0" fontId="3" fillId="8" borderId="71" xfId="4" applyFont="1" applyFill="1" applyBorder="1" applyProtection="1">
      <protection locked="0"/>
    </xf>
    <xf numFmtId="173" fontId="3" fillId="8" borderId="72" xfId="4" applyNumberFormat="1" applyFont="1" applyFill="1" applyBorder="1" applyProtection="1">
      <protection locked="0"/>
    </xf>
    <xf numFmtId="179" fontId="3" fillId="8" borderId="72" xfId="4" applyNumberFormat="1" applyFont="1" applyFill="1" applyBorder="1" applyProtection="1">
      <protection locked="0"/>
    </xf>
    <xf numFmtId="179" fontId="3" fillId="8" borderId="73" xfId="4" applyNumberFormat="1" applyFont="1" applyFill="1" applyBorder="1" applyProtection="1">
      <protection locked="0"/>
    </xf>
    <xf numFmtId="0" fontId="3" fillId="8" borderId="74" xfId="4" applyFont="1" applyFill="1" applyBorder="1" applyProtection="1">
      <protection locked="0"/>
    </xf>
    <xf numFmtId="173" fontId="3" fillId="8" borderId="75" xfId="4" applyNumberFormat="1" applyFont="1" applyFill="1" applyBorder="1" applyProtection="1">
      <protection locked="0"/>
    </xf>
    <xf numFmtId="179" fontId="3" fillId="8" borderId="75" xfId="4" applyNumberFormat="1" applyFont="1" applyFill="1" applyBorder="1" applyProtection="1">
      <protection locked="0"/>
    </xf>
    <xf numFmtId="0" fontId="42" fillId="2" borderId="27" xfId="0" applyFont="1" applyFill="1" applyBorder="1" applyAlignment="1">
      <alignment horizontal="left" vertical="center" wrapText="1"/>
    </xf>
    <xf numFmtId="0" fontId="41" fillId="0" borderId="26" xfId="0" applyFont="1" applyBorder="1" applyAlignment="1">
      <alignment horizontal="left" vertical="center" wrapText="1"/>
    </xf>
    <xf numFmtId="0" fontId="5" fillId="0" borderId="0" xfId="0" applyFont="1" applyAlignment="1">
      <alignment vertical="top" wrapText="1"/>
    </xf>
    <xf numFmtId="0" fontId="41" fillId="0" borderId="25" xfId="0" applyFont="1" applyBorder="1" applyAlignment="1">
      <alignment horizontal="left" vertical="center" wrapText="1"/>
    </xf>
    <xf numFmtId="0" fontId="41" fillId="0" borderId="76" xfId="0" applyFont="1" applyBorder="1" applyAlignment="1">
      <alignment horizontal="left" vertical="center" wrapText="1"/>
    </xf>
    <xf numFmtId="0" fontId="40" fillId="0" borderId="77" xfId="0" applyFont="1" applyBorder="1" applyAlignment="1">
      <alignment horizontal="left" vertical="center" wrapText="1"/>
    </xf>
    <xf numFmtId="177" fontId="39" fillId="8" borderId="77" xfId="0" applyNumberFormat="1" applyFont="1" applyFill="1" applyBorder="1" applyAlignment="1">
      <alignment horizontal="center" vertical="center" wrapText="1"/>
    </xf>
    <xf numFmtId="196" fontId="39" fillId="0" borderId="78" xfId="0" applyNumberFormat="1" applyFont="1" applyBorder="1" applyAlignment="1">
      <alignment horizontal="center" vertical="center" wrapText="1"/>
    </xf>
    <xf numFmtId="0" fontId="4" fillId="8" borderId="1" xfId="4" applyFont="1" applyFill="1" applyBorder="1" applyProtection="1">
      <protection locked="0"/>
    </xf>
    <xf numFmtId="0" fontId="5" fillId="0" borderId="0" xfId="0" applyFont="1"/>
    <xf numFmtId="170" fontId="5" fillId="9" borderId="0" xfId="4" applyNumberFormat="1" applyFont="1" applyFill="1" applyProtection="1">
      <protection locked="0"/>
    </xf>
    <xf numFmtId="180" fontId="5" fillId="9" borderId="0" xfId="4" applyNumberFormat="1" applyFont="1" applyFill="1" applyProtection="1">
      <protection locked="0"/>
    </xf>
    <xf numFmtId="0" fontId="3" fillId="9" borderId="0" xfId="4" applyFont="1" applyFill="1" applyProtection="1">
      <protection locked="0"/>
    </xf>
    <xf numFmtId="180" fontId="5" fillId="9" borderId="9" xfId="4" applyNumberFormat="1" applyFont="1" applyFill="1" applyBorder="1" applyProtection="1">
      <protection locked="0"/>
    </xf>
    <xf numFmtId="173" fontId="3" fillId="9" borderId="0" xfId="4" applyNumberFormat="1" applyFont="1" applyFill="1" applyProtection="1">
      <protection locked="0"/>
    </xf>
    <xf numFmtId="180" fontId="5" fillId="9" borderId="6" xfId="4" applyNumberFormat="1" applyFont="1" applyFill="1" applyBorder="1" applyProtection="1">
      <protection locked="0"/>
    </xf>
    <xf numFmtId="9" fontId="5" fillId="9" borderId="0" xfId="4" applyNumberFormat="1" applyFont="1" applyFill="1" applyProtection="1">
      <protection locked="0"/>
    </xf>
    <xf numFmtId="192" fontId="5" fillId="0" borderId="0" xfId="4" applyNumberFormat="1" applyFont="1" applyProtection="1">
      <protection locked="0"/>
    </xf>
    <xf numFmtId="0" fontId="5" fillId="0" borderId="0" xfId="4" applyFont="1" applyAlignment="1" applyProtection="1">
      <alignment horizontal="left"/>
      <protection locked="0"/>
    </xf>
    <xf numFmtId="0" fontId="4" fillId="0" borderId="0" xfId="4" applyFont="1" applyAlignment="1" applyProtection="1">
      <alignment horizontal="right"/>
      <protection locked="0"/>
    </xf>
    <xf numFmtId="199" fontId="4" fillId="0" borderId="0" xfId="4" applyNumberFormat="1" applyFont="1" applyProtection="1">
      <protection locked="0"/>
    </xf>
    <xf numFmtId="0" fontId="5" fillId="9" borderId="0" xfId="4" applyFont="1" applyFill="1" applyAlignment="1" applyProtection="1">
      <alignment horizontal="center" vertical="center"/>
      <protection locked="0"/>
    </xf>
    <xf numFmtId="10" fontId="4" fillId="0" borderId="0" xfId="4" applyNumberFormat="1" applyFont="1" applyAlignment="1" applyProtection="1">
      <alignment horizontal="left"/>
      <protection locked="0"/>
    </xf>
    <xf numFmtId="200" fontId="5" fillId="0" borderId="0" xfId="4" applyNumberFormat="1" applyFont="1" applyProtection="1">
      <protection locked="0"/>
    </xf>
    <xf numFmtId="200" fontId="5" fillId="0" borderId="0" xfId="4" applyNumberFormat="1" applyFont="1" applyAlignment="1" applyProtection="1">
      <alignment horizontal="right"/>
      <protection locked="0"/>
    </xf>
    <xf numFmtId="0" fontId="48" fillId="9" borderId="0" xfId="4" applyFont="1" applyFill="1" applyProtection="1">
      <protection locked="0"/>
    </xf>
    <xf numFmtId="201" fontId="3" fillId="2" borderId="0" xfId="4" applyNumberFormat="1" applyFont="1" applyFill="1" applyProtection="1">
      <protection locked="0"/>
    </xf>
    <xf numFmtId="200" fontId="3" fillId="2" borderId="0" xfId="4" applyNumberFormat="1" applyFont="1" applyFill="1" applyProtection="1">
      <protection locked="0"/>
    </xf>
    <xf numFmtId="200" fontId="3" fillId="2" borderId="0" xfId="4" applyNumberFormat="1" applyFont="1" applyFill="1" applyAlignment="1" applyProtection="1">
      <alignment horizontal="right"/>
      <protection locked="0"/>
    </xf>
    <xf numFmtId="0" fontId="4" fillId="8" borderId="0" xfId="4" applyFont="1" applyFill="1" applyProtection="1">
      <protection locked="0"/>
    </xf>
    <xf numFmtId="173" fontId="4" fillId="8" borderId="0" xfId="4" applyNumberFormat="1" applyFont="1" applyFill="1" applyProtection="1">
      <protection locked="0"/>
    </xf>
    <xf numFmtId="0" fontId="14" fillId="9" borderId="0" xfId="4" applyFont="1" applyFill="1" applyProtection="1">
      <protection locked="0"/>
    </xf>
    <xf numFmtId="180" fontId="4" fillId="2" borderId="1" xfId="4" applyNumberFormat="1" applyFont="1" applyFill="1" applyBorder="1" applyProtection="1">
      <protection locked="0"/>
    </xf>
    <xf numFmtId="0" fontId="21" fillId="0" borderId="0" xfId="4" applyFont="1"/>
    <xf numFmtId="0" fontId="30" fillId="7" borderId="0" xfId="4" applyFont="1" applyFill="1"/>
    <xf numFmtId="0" fontId="5" fillId="7" borderId="0" xfId="4" applyFont="1" applyFill="1" applyAlignment="1">
      <alignment horizontal="center"/>
    </xf>
    <xf numFmtId="0" fontId="2" fillId="0" borderId="0" xfId="4" applyAlignment="1">
      <alignment horizontal="left"/>
    </xf>
    <xf numFmtId="0" fontId="84" fillId="0" borderId="0" xfId="4" applyFont="1"/>
    <xf numFmtId="0" fontId="85" fillId="0" borderId="0" xfId="4" applyFont="1"/>
    <xf numFmtId="0" fontId="85" fillId="0" borderId="0" xfId="4" applyFont="1" applyAlignment="1">
      <alignment horizontal="center"/>
    </xf>
    <xf numFmtId="0" fontId="25" fillId="0" borderId="0" xfId="4" applyFont="1" applyAlignment="1">
      <alignment horizontal="center"/>
    </xf>
    <xf numFmtId="0" fontId="86" fillId="0" borderId="0" xfId="4" applyFont="1" applyAlignment="1">
      <alignment horizontal="center"/>
    </xf>
    <xf numFmtId="173" fontId="85" fillId="0" borderId="0" xfId="4" applyNumberFormat="1" applyFont="1"/>
    <xf numFmtId="164" fontId="87" fillId="0" borderId="0" xfId="4" applyNumberFormat="1" applyFont="1" applyAlignment="1">
      <alignment horizontal="center" readingOrder="1"/>
    </xf>
    <xf numFmtId="0" fontId="85" fillId="0" borderId="0" xfId="21" applyFont="1" applyAlignment="1">
      <alignment horizontal="left"/>
    </xf>
    <xf numFmtId="0" fontId="14" fillId="0" borderId="0" xfId="4" applyFont="1"/>
    <xf numFmtId="164" fontId="88" fillId="0" borderId="0" xfId="4" applyNumberFormat="1" applyFont="1" applyAlignment="1">
      <alignment horizontal="center" readingOrder="1"/>
    </xf>
    <xf numFmtId="14" fontId="5" fillId="0" borderId="0" xfId="4" applyNumberFormat="1" applyFont="1"/>
    <xf numFmtId="166" fontId="71" fillId="9" borderId="0" xfId="4" applyNumberFormat="1" applyFont="1" applyFill="1" applyAlignment="1">
      <alignment horizontal="right"/>
    </xf>
    <xf numFmtId="2" fontId="71" fillId="0" borderId="0" xfId="4" applyNumberFormat="1" applyFont="1" applyAlignment="1">
      <alignment horizontal="right"/>
    </xf>
    <xf numFmtId="0" fontId="89" fillId="0" borderId="0" xfId="4" applyFont="1"/>
    <xf numFmtId="0" fontId="5" fillId="0" borderId="2" xfId="4" applyFont="1" applyBorder="1" applyAlignment="1">
      <alignment horizontal="center"/>
    </xf>
    <xf numFmtId="0" fontId="3" fillId="0" borderId="51" xfId="4" applyFont="1" applyBorder="1"/>
    <xf numFmtId="0" fontId="14" fillId="0" borderId="51" xfId="4" applyFont="1" applyBorder="1"/>
    <xf numFmtId="0" fontId="5" fillId="0" borderId="54" xfId="21" applyFont="1" applyBorder="1" applyAlignment="1">
      <alignment horizontal="left" indent="1"/>
    </xf>
    <xf numFmtId="37" fontId="5" fillId="0" borderId="6" xfId="4" applyNumberFormat="1" applyFont="1" applyBorder="1" applyAlignment="1">
      <alignment horizontal="center"/>
    </xf>
    <xf numFmtId="180" fontId="5" fillId="0" borderId="6" xfId="4" applyNumberFormat="1" applyFont="1" applyBorder="1" applyAlignment="1">
      <alignment horizontal="center"/>
    </xf>
    <xf numFmtId="177" fontId="5" fillId="0" borderId="6" xfId="4" applyNumberFormat="1" applyFont="1" applyBorder="1" applyAlignment="1">
      <alignment horizontal="center"/>
    </xf>
    <xf numFmtId="0" fontId="5" fillId="0" borderId="51" xfId="21" applyFont="1" applyBorder="1" applyAlignment="1">
      <alignment horizontal="left"/>
    </xf>
    <xf numFmtId="177" fontId="5" fillId="0" borderId="0" xfId="4" applyNumberFormat="1" applyFont="1" applyAlignment="1">
      <alignment horizontal="center"/>
    </xf>
    <xf numFmtId="0" fontId="5" fillId="0" borderId="51" xfId="21" applyFont="1" applyBorder="1" applyAlignment="1">
      <alignment horizontal="left" indent="1"/>
    </xf>
    <xf numFmtId="0" fontId="4" fillId="4" borderId="51" xfId="4" applyFont="1" applyFill="1" applyBorder="1"/>
    <xf numFmtId="37" fontId="5" fillId="4" borderId="0" xfId="4" applyNumberFormat="1" applyFont="1" applyFill="1" applyAlignment="1">
      <alignment horizontal="center"/>
    </xf>
    <xf numFmtId="192" fontId="5" fillId="4" borderId="11" xfId="4" applyNumberFormat="1" applyFont="1" applyFill="1" applyBorder="1" applyAlignment="1">
      <alignment horizontal="center"/>
    </xf>
    <xf numFmtId="209" fontId="5" fillId="4" borderId="0" xfId="4" applyNumberFormat="1" applyFont="1" applyFill="1" applyAlignment="1">
      <alignment horizontal="center"/>
    </xf>
    <xf numFmtId="209" fontId="5" fillId="4" borderId="11" xfId="4" applyNumberFormat="1" applyFont="1" applyFill="1" applyBorder="1" applyAlignment="1">
      <alignment horizontal="center"/>
    </xf>
    <xf numFmtId="0" fontId="5" fillId="0" borderId="51" xfId="4" applyFont="1" applyBorder="1"/>
    <xf numFmtId="0" fontId="5" fillId="0" borderId="46" xfId="4" applyFont="1" applyBorder="1"/>
    <xf numFmtId="0" fontId="14" fillId="0" borderId="56" xfId="4" applyFont="1" applyBorder="1"/>
    <xf numFmtId="0" fontId="5" fillId="0" borderId="9" xfId="4" applyFont="1" applyBorder="1" applyAlignment="1">
      <alignment horizontal="center"/>
    </xf>
    <xf numFmtId="177" fontId="5" fillId="0" borderId="9" xfId="4" applyNumberFormat="1" applyFont="1" applyBorder="1"/>
    <xf numFmtId="0" fontId="4" fillId="14" borderId="51" xfId="4" applyFont="1" applyFill="1" applyBorder="1"/>
    <xf numFmtId="37" fontId="5" fillId="14" borderId="0" xfId="4" applyNumberFormat="1" applyFont="1" applyFill="1" applyAlignment="1">
      <alignment horizontal="center"/>
    </xf>
    <xf numFmtId="192" fontId="5" fillId="14" borderId="11" xfId="4" applyNumberFormat="1" applyFont="1" applyFill="1" applyBorder="1" applyAlignment="1">
      <alignment horizontal="center"/>
    </xf>
    <xf numFmtId="209" fontId="5" fillId="14" borderId="0" xfId="4" applyNumberFormat="1" applyFont="1" applyFill="1" applyAlignment="1">
      <alignment horizontal="center"/>
    </xf>
    <xf numFmtId="209" fontId="5" fillId="14" borderId="11" xfId="4" applyNumberFormat="1" applyFont="1" applyFill="1" applyBorder="1" applyAlignment="1">
      <alignment horizontal="center"/>
    </xf>
    <xf numFmtId="0" fontId="4" fillId="4" borderId="50" xfId="4" applyFont="1" applyFill="1" applyBorder="1"/>
    <xf numFmtId="37" fontId="5" fillId="4" borderId="45" xfId="4" applyNumberFormat="1" applyFont="1" applyFill="1" applyBorder="1" applyAlignment="1">
      <alignment horizontal="center"/>
    </xf>
    <xf numFmtId="173" fontId="5" fillId="4" borderId="45" xfId="4" applyNumberFormat="1" applyFont="1" applyFill="1" applyBorder="1" applyAlignment="1">
      <alignment horizontal="center"/>
    </xf>
    <xf numFmtId="192" fontId="5" fillId="4" borderId="60" xfId="4" applyNumberFormat="1" applyFont="1" applyFill="1" applyBorder="1" applyAlignment="1">
      <alignment horizontal="center"/>
    </xf>
    <xf numFmtId="209" fontId="5" fillId="4" borderId="45" xfId="4" applyNumberFormat="1" applyFont="1" applyFill="1" applyBorder="1" applyAlignment="1">
      <alignment horizontal="center"/>
    </xf>
    <xf numFmtId="209" fontId="5" fillId="4" borderId="60" xfId="4" applyNumberFormat="1" applyFont="1" applyFill="1" applyBorder="1" applyAlignment="1">
      <alignment horizontal="center"/>
    </xf>
    <xf numFmtId="177" fontId="5" fillId="0" borderId="46" xfId="4" applyNumberFormat="1" applyFont="1" applyBorder="1"/>
    <xf numFmtId="177" fontId="5" fillId="0" borderId="53" xfId="4" applyNumberFormat="1" applyFont="1" applyBorder="1" applyAlignment="1">
      <alignment horizontal="center"/>
    </xf>
    <xf numFmtId="177" fontId="5" fillId="0" borderId="46" xfId="4" applyNumberFormat="1" applyFont="1" applyBorder="1" applyAlignment="1">
      <alignment horizontal="center"/>
    </xf>
    <xf numFmtId="209" fontId="5" fillId="4" borderId="46" xfId="4" applyNumberFormat="1" applyFont="1" applyFill="1" applyBorder="1" applyAlignment="1">
      <alignment horizontal="center"/>
    </xf>
    <xf numFmtId="177" fontId="5" fillId="0" borderId="55" xfId="4" applyNumberFormat="1" applyFont="1" applyBorder="1"/>
    <xf numFmtId="209" fontId="5" fillId="14" borderId="46" xfId="4" applyNumberFormat="1" applyFont="1" applyFill="1" applyBorder="1" applyAlignment="1">
      <alignment horizontal="center"/>
    </xf>
    <xf numFmtId="209" fontId="5" fillId="4" borderId="44" xfId="4" applyNumberFormat="1" applyFont="1" applyFill="1" applyBorder="1" applyAlignment="1">
      <alignment horizontal="center"/>
    </xf>
    <xf numFmtId="0" fontId="4" fillId="14" borderId="59" xfId="4" applyFont="1" applyFill="1" applyBorder="1"/>
    <xf numFmtId="0" fontId="4" fillId="0" borderId="51" xfId="4" applyFont="1" applyBorder="1"/>
    <xf numFmtId="208" fontId="5" fillId="0" borderId="51" xfId="20" applyFont="1" applyBorder="1" applyAlignment="1">
      <alignment horizontal="left" indent="1"/>
    </xf>
    <xf numFmtId="208" fontId="5" fillId="0" borderId="0" xfId="20" applyFont="1" applyAlignment="1">
      <alignment horizontal="left" indent="1"/>
    </xf>
    <xf numFmtId="1" fontId="5" fillId="0" borderId="0" xfId="20" applyNumberFormat="1" applyFont="1" applyAlignment="1">
      <alignment horizontal="center"/>
    </xf>
    <xf numFmtId="2" fontId="5" fillId="0" borderId="0" xfId="20" applyNumberFormat="1" applyFont="1" applyAlignment="1">
      <alignment horizontal="center"/>
    </xf>
    <xf numFmtId="0" fontId="4" fillId="2" borderId="51" xfId="4" applyFont="1" applyFill="1" applyBorder="1"/>
    <xf numFmtId="0" fontId="4" fillId="2" borderId="0" xfId="4" applyFont="1" applyFill="1"/>
    <xf numFmtId="0" fontId="5" fillId="2" borderId="0" xfId="4" applyFont="1" applyFill="1" applyAlignment="1">
      <alignment horizontal="center"/>
    </xf>
    <xf numFmtId="0" fontId="4" fillId="14" borderId="0" xfId="4" applyFont="1" applyFill="1"/>
    <xf numFmtId="172" fontId="5" fillId="14" borderId="0" xfId="4" applyNumberFormat="1" applyFont="1" applyFill="1" applyAlignment="1">
      <alignment horizontal="center"/>
    </xf>
    <xf numFmtId="172" fontId="5" fillId="14" borderId="46" xfId="4" applyNumberFormat="1" applyFont="1" applyFill="1" applyBorder="1" applyAlignment="1">
      <alignment horizontal="center"/>
    </xf>
    <xf numFmtId="0" fontId="4" fillId="14" borderId="50" xfId="4" applyFont="1" applyFill="1" applyBorder="1"/>
    <xf numFmtId="0" fontId="4" fillId="14" borderId="45" xfId="4" applyFont="1" applyFill="1" applyBorder="1"/>
    <xf numFmtId="208" fontId="5" fillId="0" borderId="51" xfId="20" quotePrefix="1" applyFont="1" applyBorder="1" applyAlignment="1">
      <alignment horizontal="left" indent="1"/>
    </xf>
    <xf numFmtId="209" fontId="5" fillId="8" borderId="0" xfId="0" applyNumberFormat="1" applyFont="1" applyFill="1" applyAlignment="1">
      <alignment horizontal="right"/>
    </xf>
    <xf numFmtId="212" fontId="5" fillId="8" borderId="0" xfId="0" applyNumberFormat="1" applyFont="1" applyFill="1"/>
    <xf numFmtId="209" fontId="3" fillId="0" borderId="0" xfId="0" applyNumberFormat="1" applyFont="1" applyAlignment="1">
      <alignment horizontal="right"/>
    </xf>
    <xf numFmtId="212" fontId="5" fillId="0" borderId="0" xfId="0" applyNumberFormat="1" applyFont="1"/>
    <xf numFmtId="209" fontId="5" fillId="0" borderId="0" xfId="0" applyNumberFormat="1" applyFont="1" applyAlignment="1">
      <alignment horizontal="right"/>
    </xf>
    <xf numFmtId="209" fontId="5" fillId="9" borderId="0" xfId="0" applyNumberFormat="1" applyFont="1" applyFill="1" applyAlignment="1">
      <alignment horizontal="right"/>
    </xf>
    <xf numFmtId="0" fontId="5" fillId="9" borderId="0" xfId="0" applyFont="1" applyFill="1"/>
    <xf numFmtId="202" fontId="5" fillId="0" borderId="0" xfId="0" applyNumberFormat="1" applyFont="1"/>
    <xf numFmtId="170" fontId="5" fillId="9" borderId="0" xfId="0" applyNumberFormat="1" applyFont="1" applyFill="1" applyAlignment="1">
      <alignment horizontal="right"/>
    </xf>
    <xf numFmtId="2" fontId="90" fillId="8" borderId="0" xfId="10" applyNumberFormat="1" applyFont="1" applyFill="1" applyAlignment="1">
      <alignment horizontal="center"/>
    </xf>
    <xf numFmtId="0" fontId="17" fillId="22" borderId="0" xfId="4" applyFont="1" applyFill="1"/>
    <xf numFmtId="0" fontId="17" fillId="0" borderId="0" xfId="0" applyFont="1"/>
    <xf numFmtId="216" fontId="17" fillId="8" borderId="0" xfId="0" applyNumberFormat="1" applyFont="1" applyFill="1" applyAlignment="1">
      <alignment horizontal="right"/>
    </xf>
    <xf numFmtId="216" fontId="17" fillId="0" borderId="0" xfId="0" applyNumberFormat="1" applyFont="1"/>
    <xf numFmtId="216" fontId="5" fillId="8" borderId="0" xfId="0" applyNumberFormat="1" applyFont="1" applyFill="1" applyAlignment="1">
      <alignment horizontal="right"/>
    </xf>
    <xf numFmtId="216" fontId="5" fillId="0" borderId="0" xfId="0" applyNumberFormat="1" applyFont="1"/>
    <xf numFmtId="0" fontId="5" fillId="9" borderId="6" xfId="4" applyFont="1" applyFill="1" applyBorder="1" applyProtection="1">
      <protection locked="0"/>
    </xf>
    <xf numFmtId="173" fontId="4" fillId="9" borderId="6" xfId="4" applyNumberFormat="1" applyFont="1" applyFill="1" applyBorder="1" applyProtection="1">
      <protection locked="0"/>
    </xf>
    <xf numFmtId="173" fontId="4" fillId="0" borderId="6" xfId="4" applyNumberFormat="1" applyFont="1" applyBorder="1" applyProtection="1">
      <protection locked="0"/>
    </xf>
    <xf numFmtId="217" fontId="5" fillId="0" borderId="0" xfId="4" applyNumberFormat="1" applyFont="1" applyAlignment="1">
      <alignment horizontal="center"/>
    </xf>
    <xf numFmtId="217" fontId="5" fillId="4" borderId="0" xfId="4" applyNumberFormat="1" applyFont="1" applyFill="1" applyAlignment="1">
      <alignment horizontal="center"/>
    </xf>
    <xf numFmtId="217" fontId="5" fillId="4" borderId="45" xfId="4" applyNumberFormat="1" applyFont="1" applyFill="1" applyBorder="1" applyAlignment="1">
      <alignment horizontal="center"/>
    </xf>
    <xf numFmtId="217" fontId="5" fillId="0" borderId="0" xfId="4" applyNumberFormat="1" applyFont="1"/>
    <xf numFmtId="0" fontId="72" fillId="2" borderId="21" xfId="4" applyFont="1" applyFill="1" applyBorder="1" applyAlignment="1">
      <alignment horizontal="center"/>
    </xf>
    <xf numFmtId="0" fontId="72" fillId="2" borderId="20" xfId="4" applyFont="1" applyFill="1" applyBorder="1" applyAlignment="1">
      <alignment horizontal="center"/>
    </xf>
    <xf numFmtId="0" fontId="83" fillId="4" borderId="14" xfId="4" applyFont="1" applyFill="1" applyBorder="1" applyProtection="1">
      <protection locked="0"/>
    </xf>
    <xf numFmtId="0" fontId="8" fillId="4" borderId="6" xfId="4" applyFont="1" applyFill="1" applyBorder="1" applyAlignment="1" applyProtection="1">
      <alignment horizontal="right"/>
      <protection locked="0"/>
    </xf>
    <xf numFmtId="0" fontId="83" fillId="4" borderId="10" xfId="4" applyFont="1" applyFill="1" applyBorder="1" applyProtection="1">
      <protection locked="0"/>
    </xf>
    <xf numFmtId="0" fontId="8" fillId="4" borderId="9" xfId="4" applyFont="1" applyFill="1" applyBorder="1" applyAlignment="1" applyProtection="1">
      <alignment horizontal="right"/>
      <protection locked="0"/>
    </xf>
    <xf numFmtId="0" fontId="4" fillId="0" borderId="1" xfId="4" applyFont="1" applyBorder="1" applyProtection="1">
      <protection locked="0"/>
    </xf>
    <xf numFmtId="173" fontId="4" fillId="0" borderId="1" xfId="4" applyNumberFormat="1" applyFont="1" applyBorder="1" applyProtection="1">
      <protection locked="0"/>
    </xf>
    <xf numFmtId="0" fontId="5" fillId="4" borderId="0" xfId="30" applyFont="1" applyFill="1" applyAlignment="1">
      <alignment horizontal="centerContinuous"/>
    </xf>
    <xf numFmtId="0" fontId="5" fillId="0" borderId="0" xfId="30" applyFont="1" applyFill="1" applyAlignment="1">
      <alignment horizontal="centerContinuous"/>
    </xf>
    <xf numFmtId="0" fontId="5" fillId="0" borderId="46" xfId="4" applyFont="1" applyBorder="1" applyAlignment="1">
      <alignment horizontal="center"/>
    </xf>
    <xf numFmtId="2" fontId="5" fillId="0" borderId="46" xfId="20" applyNumberFormat="1" applyFont="1" applyBorder="1" applyAlignment="1">
      <alignment horizontal="center"/>
    </xf>
    <xf numFmtId="208" fontId="5" fillId="0" borderId="46" xfId="20" applyFont="1" applyBorder="1" applyAlignment="1">
      <alignment horizontal="center"/>
    </xf>
    <xf numFmtId="0" fontId="5" fillId="2" borderId="46" xfId="4" applyFont="1" applyFill="1" applyBorder="1" applyAlignment="1">
      <alignment horizontal="center"/>
    </xf>
    <xf numFmtId="0" fontId="5" fillId="14" borderId="44" xfId="4" applyFont="1" applyFill="1" applyBorder="1" applyAlignment="1">
      <alignment horizontal="center"/>
    </xf>
    <xf numFmtId="0" fontId="12" fillId="23" borderId="0" xfId="4" applyFont="1" applyFill="1"/>
    <xf numFmtId="0" fontId="11" fillId="23" borderId="0" xfId="4" applyFont="1" applyFill="1"/>
    <xf numFmtId="0" fontId="65" fillId="23" borderId="59" xfId="4" applyFont="1" applyFill="1" applyBorder="1" applyAlignment="1">
      <alignment horizontal="center"/>
    </xf>
    <xf numFmtId="0" fontId="65" fillId="23" borderId="58" xfId="4" applyFont="1" applyFill="1" applyBorder="1" applyAlignment="1">
      <alignment horizontal="center"/>
    </xf>
    <xf numFmtId="0" fontId="62" fillId="23" borderId="58" xfId="4" applyFont="1" applyFill="1" applyBorder="1" applyAlignment="1">
      <alignment horizontal="center"/>
    </xf>
    <xf numFmtId="0" fontId="62" fillId="23" borderId="58" xfId="4" applyFont="1" applyFill="1" applyBorder="1" applyAlignment="1">
      <alignment horizontal="centerContinuous"/>
    </xf>
    <xf numFmtId="0" fontId="62" fillId="23" borderId="57" xfId="4" applyFont="1" applyFill="1" applyBorder="1" applyAlignment="1">
      <alignment horizontal="centerContinuous"/>
    </xf>
    <xf numFmtId="0" fontId="62" fillId="23" borderId="51" xfId="4" applyFont="1" applyFill="1" applyBorder="1" applyAlignment="1">
      <alignment horizontal="center"/>
    </xf>
    <xf numFmtId="0" fontId="62" fillId="23" borderId="0" xfId="4" applyFont="1" applyFill="1" applyAlignment="1">
      <alignment horizontal="center"/>
    </xf>
    <xf numFmtId="0" fontId="62" fillId="23" borderId="46" xfId="4" applyFont="1" applyFill="1" applyBorder="1" applyAlignment="1">
      <alignment horizontal="center"/>
    </xf>
    <xf numFmtId="0" fontId="62" fillId="23" borderId="57" xfId="4" applyFont="1" applyFill="1" applyBorder="1" applyAlignment="1">
      <alignment horizontal="left"/>
    </xf>
    <xf numFmtId="0" fontId="63" fillId="23" borderId="0" xfId="4" applyFont="1" applyFill="1" applyAlignment="1">
      <alignment horizontal="center"/>
    </xf>
    <xf numFmtId="0" fontId="65" fillId="23" borderId="79" xfId="4" applyFont="1" applyFill="1" applyBorder="1" applyAlignment="1">
      <alignment horizontal="center"/>
    </xf>
    <xf numFmtId="0" fontId="62" fillId="23" borderId="80" xfId="4" applyFont="1" applyFill="1" applyBorder="1" applyAlignment="1">
      <alignment horizontal="center"/>
    </xf>
    <xf numFmtId="0" fontId="65" fillId="23" borderId="57" xfId="4" applyFont="1" applyFill="1" applyBorder="1" applyAlignment="1">
      <alignment horizontal="center"/>
    </xf>
    <xf numFmtId="0" fontId="62" fillId="23" borderId="50" xfId="4" applyFont="1" applyFill="1" applyBorder="1" applyAlignment="1">
      <alignment horizontal="center"/>
    </xf>
    <xf numFmtId="0" fontId="62" fillId="23" borderId="44" xfId="4" applyFont="1" applyFill="1" applyBorder="1" applyAlignment="1">
      <alignment horizontal="center"/>
    </xf>
    <xf numFmtId="0" fontId="62" fillId="23" borderId="59" xfId="4" applyFont="1" applyFill="1" applyBorder="1" applyAlignment="1">
      <alignment horizontal="center"/>
    </xf>
    <xf numFmtId="0" fontId="62" fillId="23" borderId="57" xfId="4" applyFont="1" applyFill="1" applyBorder="1" applyAlignment="1">
      <alignment horizontal="center"/>
    </xf>
    <xf numFmtId="0" fontId="62" fillId="23" borderId="45" xfId="4" applyFont="1" applyFill="1" applyBorder="1" applyAlignment="1">
      <alignment horizontal="center"/>
    </xf>
    <xf numFmtId="0" fontId="62" fillId="23" borderId="79" xfId="4" applyFont="1" applyFill="1" applyBorder="1" applyAlignment="1">
      <alignment horizontal="center"/>
    </xf>
    <xf numFmtId="0" fontId="34" fillId="23" borderId="0" xfId="23" applyFont="1" applyFill="1"/>
    <xf numFmtId="2" fontId="38" fillId="23" borderId="0" xfId="4" applyNumberFormat="1" applyFont="1" applyFill="1"/>
    <xf numFmtId="180" fontId="82" fillId="2" borderId="82" xfId="4" applyNumberFormat="1" applyFont="1" applyFill="1" applyBorder="1"/>
    <xf numFmtId="180" fontId="82" fillId="2" borderId="83" xfId="4" applyNumberFormat="1" applyFont="1" applyFill="1" applyBorder="1"/>
    <xf numFmtId="180" fontId="82" fillId="2" borderId="84" xfId="4" applyNumberFormat="1" applyFont="1" applyFill="1" applyBorder="1"/>
    <xf numFmtId="180" fontId="81" fillId="2" borderId="82" xfId="3" applyNumberFormat="1" applyFont="1" applyFill="1" applyBorder="1"/>
    <xf numFmtId="180" fontId="81" fillId="2" borderId="83" xfId="3" applyNumberFormat="1" applyFont="1" applyFill="1" applyBorder="1"/>
    <xf numFmtId="180" fontId="81" fillId="2" borderId="84" xfId="3" applyNumberFormat="1" applyFont="1" applyFill="1" applyBorder="1"/>
    <xf numFmtId="202" fontId="81" fillId="2" borderId="82" xfId="4" applyNumberFormat="1" applyFont="1" applyFill="1" applyBorder="1" applyAlignment="1">
      <alignment horizontal="centerContinuous"/>
    </xf>
    <xf numFmtId="202" fontId="27" fillId="2" borderId="84" xfId="4" applyNumberFormat="1" applyFont="1" applyFill="1" applyBorder="1" applyAlignment="1">
      <alignment horizontal="centerContinuous"/>
    </xf>
    <xf numFmtId="202" fontId="5" fillId="4" borderId="0" xfId="4" applyNumberFormat="1" applyFont="1" applyFill="1" applyAlignment="1">
      <alignment horizontal="centerContinuous"/>
    </xf>
    <xf numFmtId="202" fontId="27" fillId="2" borderId="0" xfId="4" applyNumberFormat="1" applyFont="1" applyFill="1" applyAlignment="1">
      <alignment horizontal="centerContinuous"/>
    </xf>
    <xf numFmtId="202" fontId="5" fillId="2" borderId="0" xfId="4" quotePrefix="1" applyNumberFormat="1" applyFont="1" applyFill="1" applyAlignment="1">
      <alignment horizontal="centerContinuous"/>
    </xf>
    <xf numFmtId="202" fontId="5" fillId="4" borderId="0" xfId="4" quotePrefix="1" applyNumberFormat="1" applyFont="1" applyFill="1" applyAlignment="1">
      <alignment horizontal="centerContinuous"/>
    </xf>
    <xf numFmtId="174" fontId="4" fillId="0" borderId="0" xfId="1" applyNumberFormat="1" applyFont="1" applyFill="1" applyBorder="1"/>
    <xf numFmtId="186" fontId="27" fillId="0" borderId="0" xfId="4" applyNumberFormat="1" applyFont="1"/>
    <xf numFmtId="9" fontId="5" fillId="0" borderId="0" xfId="3" applyFont="1" applyFill="1" applyBorder="1" applyAlignment="1"/>
    <xf numFmtId="166" fontId="17" fillId="2" borderId="0" xfId="4" applyNumberFormat="1" applyFont="1" applyFill="1"/>
    <xf numFmtId="0" fontId="4" fillId="4" borderId="1" xfId="4" applyFont="1" applyFill="1" applyBorder="1"/>
    <xf numFmtId="0" fontId="5" fillId="4" borderId="0" xfId="4" applyFont="1" applyFill="1" applyAlignment="1">
      <alignment horizontal="left"/>
    </xf>
    <xf numFmtId="0" fontId="5" fillId="4" borderId="1" xfId="4" applyFont="1" applyFill="1" applyBorder="1"/>
    <xf numFmtId="10" fontId="4" fillId="4" borderId="0" xfId="4" applyNumberFormat="1" applyFont="1" applyFill="1"/>
    <xf numFmtId="10" fontId="4" fillId="4" borderId="81" xfId="4" applyNumberFormat="1" applyFont="1" applyFill="1" applyBorder="1"/>
    <xf numFmtId="180" fontId="5" fillId="4" borderId="11" xfId="4" applyNumberFormat="1" applyFont="1" applyFill="1" applyBorder="1" applyAlignment="1">
      <alignment horizontal="center"/>
    </xf>
    <xf numFmtId="177" fontId="5" fillId="4" borderId="11" xfId="4" applyNumberFormat="1" applyFont="1" applyFill="1" applyBorder="1" applyAlignment="1">
      <alignment horizontal="center"/>
    </xf>
    <xf numFmtId="0" fontId="91" fillId="23" borderId="0" xfId="4" applyFont="1" applyFill="1"/>
    <xf numFmtId="0" fontId="92" fillId="23" borderId="0" xfId="30" applyFont="1" applyFill="1"/>
    <xf numFmtId="0" fontId="92" fillId="23" borderId="0" xfId="30" applyFont="1" applyFill="1" applyAlignment="1">
      <alignment horizontal="left"/>
    </xf>
    <xf numFmtId="0" fontId="5" fillId="0" borderId="16" xfId="4" applyFont="1" applyBorder="1" applyAlignment="1">
      <alignment horizontal="centerContinuous"/>
    </xf>
    <xf numFmtId="173" fontId="17" fillId="0" borderId="16" xfId="12" applyNumberFormat="1" applyFont="1" applyFill="1" applyBorder="1" applyAlignment="1">
      <alignment horizontal="right"/>
    </xf>
    <xf numFmtId="0" fontId="5" fillId="0" borderId="16" xfId="11" applyFont="1" applyBorder="1"/>
    <xf numFmtId="173" fontId="5" fillId="0" borderId="16" xfId="4" applyNumberFormat="1" applyFont="1" applyBorder="1"/>
    <xf numFmtId="0" fontId="5" fillId="0" borderId="16" xfId="5" applyFont="1" applyBorder="1">
      <alignment vertical="top"/>
    </xf>
    <xf numFmtId="0" fontId="5" fillId="9" borderId="16" xfId="5" applyFont="1" applyFill="1" applyBorder="1">
      <alignment vertical="top"/>
    </xf>
    <xf numFmtId="170" fontId="17" fillId="2" borderId="16" xfId="6" applyNumberFormat="1" applyFont="1" applyFill="1" applyBorder="1" applyAlignment="1">
      <alignment horizontal="right" vertical="center"/>
    </xf>
    <xf numFmtId="176" fontId="3" fillId="5" borderId="16" xfId="8" applyFont="1" applyFill="1" applyBorder="1" applyAlignment="1">
      <alignment horizontal="left"/>
    </xf>
    <xf numFmtId="194" fontId="3" fillId="4" borderId="16" xfId="10" applyNumberFormat="1" applyFont="1" applyFill="1" applyBorder="1" applyAlignment="1">
      <alignment horizontal="right"/>
    </xf>
    <xf numFmtId="176" fontId="5" fillId="5" borderId="16" xfId="8" quotePrefix="1" applyFont="1" applyFill="1" applyBorder="1" applyAlignment="1">
      <alignment horizontal="left" indent="1"/>
    </xf>
    <xf numFmtId="0" fontId="60" fillId="2" borderId="27" xfId="0" applyFont="1" applyFill="1" applyBorder="1" applyAlignment="1">
      <alignment vertical="center" wrapText="1"/>
    </xf>
    <xf numFmtId="0" fontId="60" fillId="2" borderId="0" xfId="0" applyFont="1" applyFill="1" applyAlignment="1">
      <alignment vertical="center" wrapText="1"/>
    </xf>
    <xf numFmtId="0" fontId="39" fillId="0" borderId="0" xfId="4" applyFont="1"/>
    <xf numFmtId="0" fontId="39" fillId="0" borderId="0" xfId="4" applyFont="1" applyAlignment="1">
      <alignment horizontal="center"/>
    </xf>
    <xf numFmtId="0" fontId="60" fillId="0" borderId="0" xfId="4" applyFont="1" applyAlignment="1">
      <alignment horizontal="center"/>
    </xf>
    <xf numFmtId="10" fontId="39" fillId="0" borderId="0" xfId="4" applyNumberFormat="1" applyFont="1"/>
    <xf numFmtId="170" fontId="39" fillId="0" borderId="0" xfId="10" applyNumberFormat="1" applyFont="1" applyAlignment="1">
      <alignment horizontal="center"/>
    </xf>
    <xf numFmtId="0" fontId="39" fillId="0" borderId="0" xfId="0" applyFont="1"/>
    <xf numFmtId="202" fontId="39" fillId="0" borderId="0" xfId="10" applyNumberFormat="1" applyFont="1" applyAlignment="1">
      <alignment horizontal="right"/>
    </xf>
    <xf numFmtId="9" fontId="39" fillId="0" borderId="0" xfId="10" applyFont="1" applyAlignment="1">
      <alignment horizontal="right"/>
    </xf>
    <xf numFmtId="2" fontId="39" fillId="9" borderId="0" xfId="0" applyNumberFormat="1" applyFont="1" applyFill="1" applyAlignment="1">
      <alignment horizontal="right"/>
    </xf>
    <xf numFmtId="9" fontId="39" fillId="9" borderId="0" xfId="10" applyFont="1" applyFill="1" applyAlignment="1">
      <alignment horizontal="right"/>
    </xf>
    <xf numFmtId="212" fontId="39" fillId="9" borderId="0" xfId="0" applyNumberFormat="1" applyFont="1" applyFill="1"/>
    <xf numFmtId="0" fontId="39" fillId="0" borderId="3" xfId="4" applyFont="1" applyBorder="1"/>
    <xf numFmtId="0" fontId="39" fillId="0" borderId="3" xfId="4" applyFont="1" applyBorder="1" applyAlignment="1">
      <alignment horizontal="center"/>
    </xf>
    <xf numFmtId="183" fontId="26" fillId="24" borderId="0" xfId="33" applyFont="1" applyBorder="1">
      <alignment horizontal="right"/>
    </xf>
    <xf numFmtId="4" fontId="17" fillId="0" borderId="0" xfId="11" applyNumberFormat="1" applyFont="1"/>
    <xf numFmtId="0" fontId="4" fillId="0" borderId="3" xfId="11" applyFont="1" applyBorder="1"/>
    <xf numFmtId="173" fontId="4" fillId="0" borderId="3" xfId="11" applyNumberFormat="1" applyFont="1" applyBorder="1"/>
    <xf numFmtId="173" fontId="4" fillId="4" borderId="3" xfId="11" applyNumberFormat="1" applyFont="1" applyFill="1" applyBorder="1"/>
    <xf numFmtId="173" fontId="17" fillId="0" borderId="0" xfId="16" applyNumberFormat="1" applyFont="1" applyFill="1" applyBorder="1" applyAlignment="1">
      <alignment horizontal="right"/>
    </xf>
    <xf numFmtId="173" fontId="5" fillId="0" borderId="30" xfId="4" applyNumberFormat="1" applyFont="1" applyBorder="1"/>
    <xf numFmtId="0" fontId="69" fillId="0" borderId="1" xfId="4" applyFont="1" applyBorder="1"/>
    <xf numFmtId="173" fontId="4" fillId="0" borderId="1" xfId="12" applyNumberFormat="1" applyFont="1" applyFill="1" applyBorder="1" applyAlignment="1">
      <alignment horizontal="right"/>
    </xf>
    <xf numFmtId="173" fontId="4" fillId="4" borderId="1" xfId="12" applyNumberFormat="1" applyFont="1" applyFill="1" applyBorder="1" applyAlignment="1">
      <alignment horizontal="right"/>
    </xf>
    <xf numFmtId="0" fontId="51" fillId="0" borderId="0" xfId="4" applyFont="1"/>
    <xf numFmtId="173" fontId="17" fillId="0" borderId="22" xfId="14" applyNumberFormat="1" applyFont="1" applyFill="1" applyBorder="1" applyAlignment="1">
      <alignment horizontal="right"/>
    </xf>
    <xf numFmtId="173" fontId="5" fillId="4" borderId="22" xfId="12" applyNumberFormat="1" applyFont="1" applyFill="1" applyBorder="1" applyAlignment="1">
      <alignment horizontal="right"/>
    </xf>
    <xf numFmtId="0" fontId="37" fillId="0" borderId="0" xfId="11" applyFont="1"/>
    <xf numFmtId="0" fontId="2" fillId="25" borderId="0" xfId="4" applyFill="1"/>
    <xf numFmtId="0" fontId="37" fillId="0" borderId="0" xfId="4" applyFont="1" applyAlignment="1">
      <alignment horizontal="left"/>
    </xf>
    <xf numFmtId="0" fontId="51" fillId="0" borderId="0" xfId="4" applyFont="1" applyAlignment="1">
      <alignment horizontal="left"/>
    </xf>
    <xf numFmtId="1" fontId="79" fillId="0" borderId="0" xfId="4" applyNumberFormat="1" applyFont="1"/>
    <xf numFmtId="173" fontId="4" fillId="0" borderId="0" xfId="16" applyNumberFormat="1" applyFont="1" applyFill="1" applyBorder="1" applyAlignment="1">
      <alignment horizontal="right"/>
    </xf>
    <xf numFmtId="9" fontId="5" fillId="0" borderId="0" xfId="3" applyFont="1"/>
    <xf numFmtId="0" fontId="96" fillId="0" borderId="0" xfId="4" applyFont="1"/>
    <xf numFmtId="9" fontId="37" fillId="0" borderId="0" xfId="3" applyFont="1"/>
    <xf numFmtId="173" fontId="8" fillId="4" borderId="1" xfId="11" applyNumberFormat="1" applyFont="1" applyFill="1" applyBorder="1"/>
    <xf numFmtId="218" fontId="5" fillId="0" borderId="0" xfId="11" applyNumberFormat="1" applyFont="1"/>
    <xf numFmtId="186" fontId="5" fillId="27" borderId="0" xfId="4" quotePrefix="1" applyNumberFormat="1" applyFont="1" applyFill="1"/>
    <xf numFmtId="186" fontId="5" fillId="27" borderId="0" xfId="4" applyNumberFormat="1" applyFont="1" applyFill="1"/>
    <xf numFmtId="186" fontId="5" fillId="27" borderId="16" xfId="4" applyNumberFormat="1" applyFont="1" applyFill="1" applyBorder="1"/>
    <xf numFmtId="170" fontId="5" fillId="0" borderId="0" xfId="3" quotePrefix="1" applyNumberFormat="1" applyFont="1" applyFill="1" applyBorder="1"/>
    <xf numFmtId="186" fontId="27" fillId="0" borderId="16" xfId="16" applyNumberFormat="1" applyFont="1" applyFill="1" applyBorder="1"/>
    <xf numFmtId="0" fontId="96" fillId="0" borderId="0" xfId="11" applyFont="1"/>
    <xf numFmtId="173" fontId="37" fillId="0" borderId="0" xfId="11" applyNumberFormat="1" applyFont="1"/>
    <xf numFmtId="0" fontId="95" fillId="0" borderId="0" xfId="0" applyFont="1"/>
    <xf numFmtId="186" fontId="37" fillId="0" borderId="0" xfId="4" applyNumberFormat="1" applyFont="1"/>
    <xf numFmtId="0" fontId="37" fillId="0" borderId="0" xfId="4" applyFont="1" applyAlignment="1">
      <alignment horizontal="left" indent="1"/>
    </xf>
    <xf numFmtId="186" fontId="17" fillId="27" borderId="0" xfId="4" applyNumberFormat="1" applyFont="1" applyFill="1"/>
    <xf numFmtId="186" fontId="5" fillId="27" borderId="16" xfId="16" applyNumberFormat="1" applyFont="1" applyFill="1" applyBorder="1"/>
    <xf numFmtId="186" fontId="5" fillId="27" borderId="0" xfId="16" applyNumberFormat="1" applyFont="1" applyFill="1" applyBorder="1"/>
    <xf numFmtId="186" fontId="17" fillId="0" borderId="0" xfId="16" applyNumberFormat="1" applyFont="1" applyFill="1" applyBorder="1"/>
    <xf numFmtId="186" fontId="17" fillId="27" borderId="0" xfId="4" quotePrefix="1" applyNumberFormat="1" applyFont="1" applyFill="1"/>
    <xf numFmtId="186" fontId="17" fillId="0" borderId="1" xfId="4" applyNumberFormat="1" applyFont="1" applyBorder="1"/>
    <xf numFmtId="186" fontId="17" fillId="27" borderId="1" xfId="4" applyNumberFormat="1" applyFont="1" applyFill="1" applyBorder="1"/>
    <xf numFmtId="186" fontId="17" fillId="0" borderId="0" xfId="4" applyNumberFormat="1" applyFont="1"/>
    <xf numFmtId="184" fontId="51" fillId="0" borderId="0" xfId="4" applyNumberFormat="1" applyFont="1"/>
    <xf numFmtId="186" fontId="17" fillId="0" borderId="0" xfId="4" quotePrefix="1" applyNumberFormat="1" applyFont="1"/>
    <xf numFmtId="173" fontId="5" fillId="17" borderId="0" xfId="4" applyNumberFormat="1" applyFont="1" applyFill="1"/>
    <xf numFmtId="188" fontId="37" fillId="0" borderId="0" xfId="4" applyNumberFormat="1" applyFont="1"/>
    <xf numFmtId="186" fontId="5" fillId="17" borderId="6" xfId="16" applyNumberFormat="1" applyFont="1" applyFill="1" applyBorder="1" applyAlignment="1">
      <alignment horizontal="right"/>
    </xf>
    <xf numFmtId="186" fontId="5" fillId="17" borderId="0" xfId="16" applyNumberFormat="1" applyFont="1" applyFill="1" applyBorder="1" applyAlignment="1">
      <alignment horizontal="right"/>
    </xf>
    <xf numFmtId="173" fontId="5" fillId="26" borderId="0" xfId="4" applyNumberFormat="1" applyFont="1" applyFill="1"/>
    <xf numFmtId="173" fontId="0" fillId="0" borderId="0" xfId="0" applyNumberFormat="1"/>
    <xf numFmtId="186" fontId="27" fillId="0" borderId="1" xfId="16" applyNumberFormat="1" applyFont="1" applyFill="1" applyBorder="1"/>
    <xf numFmtId="171" fontId="5" fillId="0" borderId="0" xfId="16" applyNumberFormat="1" applyFont="1" applyFill="1" applyBorder="1" applyAlignment="1">
      <alignment horizontal="right"/>
    </xf>
    <xf numFmtId="178" fontId="37" fillId="0" borderId="0" xfId="11" applyNumberFormat="1" applyFont="1"/>
    <xf numFmtId="0" fontId="17" fillId="0" borderId="1" xfId="4" applyFont="1" applyBorder="1"/>
    <xf numFmtId="186" fontId="5" fillId="26" borderId="1" xfId="4" applyNumberFormat="1" applyFont="1" applyFill="1" applyBorder="1"/>
    <xf numFmtId="0" fontId="5" fillId="0" borderId="1" xfId="4" quotePrefix="1" applyFont="1" applyBorder="1" applyAlignment="1">
      <alignment horizontal="left"/>
    </xf>
    <xf numFmtId="186" fontId="5" fillId="9" borderId="1" xfId="4" quotePrefix="1" applyNumberFormat="1" applyFont="1" applyFill="1" applyBorder="1"/>
    <xf numFmtId="219" fontId="5" fillId="0" borderId="0" xfId="4" applyNumberFormat="1" applyFont="1"/>
    <xf numFmtId="170" fontId="5" fillId="0" borderId="20" xfId="11" applyNumberFormat="1" applyFont="1" applyBorder="1"/>
    <xf numFmtId="0" fontId="97" fillId="0" borderId="0" xfId="0" applyFont="1"/>
    <xf numFmtId="0" fontId="37" fillId="0" borderId="7" xfId="4" applyFont="1" applyBorder="1"/>
    <xf numFmtId="173" fontId="5" fillId="4" borderId="3" xfId="4" applyNumberFormat="1" applyFont="1" applyFill="1" applyBorder="1"/>
    <xf numFmtId="4" fontId="5" fillId="8" borderId="0" xfId="4" applyNumberFormat="1" applyFont="1" applyFill="1"/>
    <xf numFmtId="4" fontId="5" fillId="17" borderId="0" xfId="4" applyNumberFormat="1" applyFont="1" applyFill="1"/>
    <xf numFmtId="186" fontId="5" fillId="28" borderId="0" xfId="16" applyNumberFormat="1" applyFont="1" applyFill="1" applyBorder="1" applyAlignment="1">
      <alignment horizontal="right"/>
    </xf>
    <xf numFmtId="186" fontId="5" fillId="27" borderId="1" xfId="16" applyNumberFormat="1" applyFont="1" applyFill="1" applyBorder="1" applyAlignment="1">
      <alignment horizontal="right"/>
    </xf>
    <xf numFmtId="186" fontId="5" fillId="28" borderId="1" xfId="16" applyNumberFormat="1" applyFont="1" applyFill="1" applyBorder="1" applyAlignment="1">
      <alignment horizontal="right"/>
    </xf>
    <xf numFmtId="186" fontId="5" fillId="29" borderId="0" xfId="16" applyNumberFormat="1" applyFont="1" applyFill="1" applyBorder="1" applyAlignment="1">
      <alignment horizontal="right"/>
    </xf>
    <xf numFmtId="186" fontId="5" fillId="28" borderId="16" xfId="16" applyNumberFormat="1" applyFont="1" applyFill="1" applyBorder="1" applyAlignment="1">
      <alignment horizontal="right"/>
    </xf>
    <xf numFmtId="186" fontId="5" fillId="17" borderId="1" xfId="16" applyNumberFormat="1" applyFont="1" applyFill="1" applyBorder="1" applyAlignment="1">
      <alignment horizontal="right"/>
    </xf>
    <xf numFmtId="186" fontId="5" fillId="17" borderId="16" xfId="16" applyNumberFormat="1" applyFont="1" applyFill="1" applyBorder="1" applyAlignment="1">
      <alignment horizontal="right"/>
    </xf>
    <xf numFmtId="186" fontId="5" fillId="17" borderId="0" xfId="4" applyNumberFormat="1" applyFont="1" applyFill="1"/>
    <xf numFmtId="0" fontId="18" fillId="0" borderId="16" xfId="4" applyFont="1" applyBorder="1"/>
    <xf numFmtId="186" fontId="5" fillId="17" borderId="0" xfId="16" applyNumberFormat="1" applyFont="1" applyFill="1" applyBorder="1"/>
    <xf numFmtId="0" fontId="17" fillId="9" borderId="0" xfId="4" applyFont="1" applyFill="1"/>
    <xf numFmtId="186" fontId="5" fillId="27" borderId="0" xfId="16" applyNumberFormat="1" applyFont="1" applyFill="1" applyBorder="1" applyAlignment="1">
      <alignment horizontal="right"/>
    </xf>
    <xf numFmtId="186" fontId="17" fillId="28" borderId="1" xfId="16" applyNumberFormat="1" applyFont="1" applyFill="1" applyBorder="1" applyAlignment="1">
      <alignment horizontal="right"/>
    </xf>
    <xf numFmtId="186" fontId="17" fillId="28" borderId="0" xfId="16" applyNumberFormat="1" applyFont="1" applyFill="1" applyBorder="1" applyAlignment="1">
      <alignment horizontal="right"/>
    </xf>
    <xf numFmtId="173" fontId="17" fillId="8" borderId="0" xfId="4" applyNumberFormat="1" applyFont="1" applyFill="1"/>
    <xf numFmtId="221" fontId="17" fillId="0" borderId="0" xfId="4" applyNumberFormat="1" applyFont="1"/>
    <xf numFmtId="221" fontId="5" fillId="0" borderId="0" xfId="4" applyNumberFormat="1" applyFont="1"/>
    <xf numFmtId="221" fontId="5" fillId="26" borderId="0" xfId="4" applyNumberFormat="1" applyFont="1" applyFill="1"/>
    <xf numFmtId="186" fontId="5" fillId="26" borderId="0" xfId="4" applyNumberFormat="1" applyFont="1" applyFill="1"/>
    <xf numFmtId="0" fontId="81" fillId="0" borderId="0" xfId="4" applyFont="1"/>
    <xf numFmtId="0" fontId="98" fillId="7" borderId="0" xfId="4" applyFont="1" applyFill="1"/>
    <xf numFmtId="0" fontId="81" fillId="0" borderId="1" xfId="4" applyFont="1" applyBorder="1"/>
    <xf numFmtId="0" fontId="81" fillId="7" borderId="0" xfId="4" applyFont="1" applyFill="1"/>
    <xf numFmtId="0" fontId="99" fillId="23" borderId="0" xfId="4" applyFont="1" applyFill="1"/>
    <xf numFmtId="0" fontId="100" fillId="0" borderId="7" xfId="4" applyFont="1" applyBorder="1"/>
    <xf numFmtId="0" fontId="82" fillId="0" borderId="0" xfId="4" applyFont="1"/>
    <xf numFmtId="0" fontId="100" fillId="0" borderId="1" xfId="4" applyFont="1" applyBorder="1"/>
    <xf numFmtId="184" fontId="100" fillId="0" borderId="1" xfId="4" applyNumberFormat="1" applyFont="1" applyBorder="1"/>
    <xf numFmtId="184" fontId="100" fillId="0" borderId="0" xfId="4" applyNumberFormat="1" applyFont="1"/>
    <xf numFmtId="0" fontId="81" fillId="0" borderId="22" xfId="4" applyFont="1" applyBorder="1"/>
    <xf numFmtId="0" fontId="81" fillId="0" borderId="7" xfId="4" applyFont="1" applyBorder="1"/>
    <xf numFmtId="0" fontId="81" fillId="0" borderId="0" xfId="11" applyFont="1"/>
    <xf numFmtId="0" fontId="100" fillId="0" borderId="1" xfId="11" applyFont="1" applyBorder="1"/>
    <xf numFmtId="0" fontId="81" fillId="0" borderId="1" xfId="11" applyFont="1" applyBorder="1"/>
    <xf numFmtId="0" fontId="100" fillId="0" borderId="0" xfId="11" applyFont="1"/>
    <xf numFmtId="0" fontId="81" fillId="0" borderId="3" xfId="4" applyFont="1" applyBorder="1"/>
    <xf numFmtId="0" fontId="98" fillId="0" borderId="0" xfId="4" applyFont="1"/>
    <xf numFmtId="0" fontId="100" fillId="0" borderId="3" xfId="11" applyFont="1" applyBorder="1"/>
    <xf numFmtId="0" fontId="81" fillId="0" borderId="3" xfId="11" applyFont="1" applyBorder="1"/>
    <xf numFmtId="9" fontId="5" fillId="0" borderId="9" xfId="3" applyFont="1" applyBorder="1"/>
    <xf numFmtId="9" fontId="17" fillId="0" borderId="0" xfId="3" applyFont="1"/>
    <xf numFmtId="222" fontId="4" fillId="8" borderId="19" xfId="4" applyNumberFormat="1" applyFont="1" applyFill="1" applyBorder="1"/>
    <xf numFmtId="222" fontId="4" fillId="8" borderId="1" xfId="4" applyNumberFormat="1" applyFont="1" applyFill="1" applyBorder="1"/>
    <xf numFmtId="222" fontId="4" fillId="8" borderId="18" xfId="4" applyNumberFormat="1" applyFont="1" applyFill="1" applyBorder="1"/>
    <xf numFmtId="186" fontId="4" fillId="28" borderId="0" xfId="4" applyNumberFormat="1" applyFont="1" applyFill="1"/>
    <xf numFmtId="173" fontId="5" fillId="26" borderId="0" xfId="14" applyNumberFormat="1" applyFont="1" applyFill="1" applyBorder="1" applyAlignment="1">
      <alignment horizontal="right"/>
    </xf>
    <xf numFmtId="0" fontId="5" fillId="0" borderId="0" xfId="11" applyFont="1" applyAlignment="1">
      <alignment horizontal="left"/>
    </xf>
    <xf numFmtId="0" fontId="4" fillId="0" borderId="85" xfId="4" applyFont="1" applyBorder="1" applyAlignment="1" applyProtection="1">
      <alignment horizontal="centerContinuous"/>
      <protection locked="0"/>
    </xf>
    <xf numFmtId="0" fontId="8" fillId="0" borderId="85" xfId="4" applyFont="1" applyBorder="1" applyProtection="1">
      <protection locked="0"/>
    </xf>
    <xf numFmtId="0" fontId="8" fillId="0" borderId="85" xfId="4" applyFont="1" applyBorder="1" applyAlignment="1" applyProtection="1">
      <alignment horizontal="right"/>
      <protection locked="0"/>
    </xf>
    <xf numFmtId="197" fontId="8" fillId="0" borderId="85" xfId="4" applyNumberFormat="1" applyFont="1" applyBorder="1" applyAlignment="1" applyProtection="1">
      <alignment horizontal="right"/>
      <protection locked="0"/>
    </xf>
    <xf numFmtId="197" fontId="4" fillId="0" borderId="85" xfId="4" applyNumberFormat="1" applyFont="1" applyBorder="1" applyAlignment="1" applyProtection="1">
      <alignment horizontal="right"/>
      <protection locked="0"/>
    </xf>
    <xf numFmtId="0" fontId="4" fillId="2" borderId="85" xfId="4" applyFont="1" applyFill="1" applyBorder="1" applyProtection="1">
      <protection locked="0"/>
    </xf>
    <xf numFmtId="173" fontId="4" fillId="2" borderId="85" xfId="4" applyNumberFormat="1" applyFont="1" applyFill="1" applyBorder="1" applyProtection="1">
      <protection locked="0"/>
    </xf>
    <xf numFmtId="173" fontId="5" fillId="0" borderId="85" xfId="4" applyNumberFormat="1" applyFont="1" applyBorder="1" applyProtection="1">
      <protection locked="0"/>
    </xf>
    <xf numFmtId="0" fontId="3" fillId="0" borderId="85" xfId="4" applyFont="1" applyBorder="1" applyProtection="1">
      <protection locked="0"/>
    </xf>
    <xf numFmtId="0" fontId="4" fillId="0" borderId="85" xfId="4" applyFont="1" applyBorder="1" applyAlignment="1">
      <alignment horizontal="centerContinuous"/>
    </xf>
    <xf numFmtId="0" fontId="5" fillId="0" borderId="85" xfId="4" applyFont="1" applyBorder="1" applyAlignment="1">
      <alignment horizontal="centerContinuous"/>
    </xf>
    <xf numFmtId="186" fontId="17" fillId="0" borderId="16" xfId="4" applyNumberFormat="1" applyFont="1" applyBorder="1"/>
    <xf numFmtId="186" fontId="5" fillId="26" borderId="16" xfId="4" applyNumberFormat="1" applyFont="1" applyFill="1" applyBorder="1"/>
    <xf numFmtId="173" fontId="17" fillId="0" borderId="16" xfId="4" applyNumberFormat="1" applyFont="1" applyBorder="1"/>
    <xf numFmtId="0" fontId="81" fillId="0" borderId="16" xfId="4" applyFont="1" applyBorder="1"/>
    <xf numFmtId="0" fontId="81" fillId="0" borderId="16" xfId="11" applyFont="1" applyBorder="1"/>
    <xf numFmtId="173" fontId="17" fillId="0" borderId="16" xfId="11" applyNumberFormat="1" applyFont="1" applyBorder="1"/>
    <xf numFmtId="173" fontId="5" fillId="4" borderId="16" xfId="11" applyNumberFormat="1" applyFont="1" applyFill="1" applyBorder="1"/>
    <xf numFmtId="186" fontId="5" fillId="29" borderId="16" xfId="16" applyNumberFormat="1" applyFont="1" applyFill="1" applyBorder="1" applyAlignment="1">
      <alignment horizontal="right"/>
    </xf>
    <xf numFmtId="222" fontId="5" fillId="0" borderId="0" xfId="4" applyNumberFormat="1" applyFont="1"/>
    <xf numFmtId="175" fontId="5" fillId="26" borderId="20" xfId="4" applyNumberFormat="1" applyFont="1" applyFill="1" applyBorder="1" applyAlignment="1">
      <alignment horizontal="center"/>
    </xf>
    <xf numFmtId="0" fontId="5" fillId="0" borderId="12" xfId="0" applyFont="1" applyBorder="1"/>
    <xf numFmtId="213" fontId="5" fillId="17" borderId="13" xfId="4" applyNumberFormat="1" applyFont="1" applyFill="1" applyBorder="1" applyAlignment="1">
      <alignment horizontal="center"/>
    </xf>
    <xf numFmtId="213" fontId="5" fillId="17" borderId="11" xfId="4" applyNumberFormat="1" applyFont="1" applyFill="1" applyBorder="1" applyAlignment="1">
      <alignment horizontal="center"/>
    </xf>
    <xf numFmtId="0" fontId="34" fillId="0" borderId="8" xfId="23" applyFont="1" applyBorder="1"/>
    <xf numFmtId="208" fontId="5" fillId="8" borderId="13" xfId="4" applyNumberFormat="1" applyFont="1" applyFill="1" applyBorder="1" applyAlignment="1">
      <alignment horizontal="left"/>
    </xf>
    <xf numFmtId="208" fontId="5" fillId="8" borderId="8" xfId="4" applyNumberFormat="1" applyFont="1" applyFill="1" applyBorder="1" applyAlignment="1">
      <alignment horizontal="left"/>
    </xf>
    <xf numFmtId="0" fontId="5" fillId="0" borderId="14" xfId="0" applyFont="1" applyBorder="1"/>
    <xf numFmtId="186" fontId="4" fillId="18" borderId="3" xfId="4" applyNumberFormat="1" applyFont="1" applyFill="1" applyBorder="1"/>
    <xf numFmtId="3" fontId="17" fillId="2" borderId="28" xfId="25" applyNumberFormat="1" applyFont="1" applyFill="1" applyBorder="1" applyAlignment="1">
      <alignment horizontal="center"/>
    </xf>
    <xf numFmtId="3" fontId="5" fillId="8" borderId="23" xfId="4" applyNumberFormat="1" applyFont="1" applyFill="1" applyBorder="1" applyAlignment="1">
      <alignment horizontal="center"/>
    </xf>
    <xf numFmtId="177" fontId="5" fillId="8" borderId="61" xfId="4" applyNumberFormat="1" applyFont="1" applyFill="1" applyBorder="1" applyAlignment="1">
      <alignment horizontal="left"/>
    </xf>
    <xf numFmtId="173" fontId="17" fillId="2" borderId="28" xfId="4" applyNumberFormat="1" applyFont="1" applyFill="1" applyBorder="1" applyAlignment="1">
      <alignment horizontal="center"/>
    </xf>
    <xf numFmtId="0" fontId="5" fillId="0" borderId="14" xfId="4" applyFont="1" applyBorder="1" applyAlignment="1">
      <alignment horizontal="center"/>
    </xf>
    <xf numFmtId="0" fontId="5" fillId="0" borderId="12" xfId="4" applyFont="1" applyBorder="1" applyAlignment="1">
      <alignment horizontal="center"/>
    </xf>
    <xf numFmtId="0" fontId="101" fillId="0" borderId="0" xfId="11" applyFont="1" applyAlignment="1">
      <alignment horizontal="left"/>
    </xf>
    <xf numFmtId="170" fontId="4" fillId="0" borderId="0" xfId="4" applyNumberFormat="1" applyFont="1"/>
    <xf numFmtId="173" fontId="4" fillId="26" borderId="1" xfId="4" applyNumberFormat="1" applyFont="1" applyFill="1" applyBorder="1"/>
    <xf numFmtId="173" fontId="5" fillId="26" borderId="1" xfId="4" applyNumberFormat="1" applyFont="1" applyFill="1" applyBorder="1"/>
    <xf numFmtId="224" fontId="26" fillId="0" borderId="22" xfId="4" applyNumberFormat="1" applyFont="1" applyBorder="1" applyAlignment="1">
      <alignment horizontal="right"/>
    </xf>
    <xf numFmtId="224" fontId="26" fillId="4" borderId="22" xfId="4" applyNumberFormat="1" applyFont="1" applyFill="1" applyBorder="1" applyAlignment="1">
      <alignment horizontal="right"/>
    </xf>
    <xf numFmtId="224" fontId="26" fillId="4" borderId="70" xfId="4" applyNumberFormat="1" applyFont="1" applyFill="1" applyBorder="1" applyAlignment="1">
      <alignment horizontal="right"/>
    </xf>
    <xf numFmtId="173" fontId="5" fillId="26" borderId="0" xfId="11" applyNumberFormat="1" applyFont="1" applyFill="1"/>
    <xf numFmtId="173" fontId="32" fillId="26" borderId="0" xfId="11" applyNumberFormat="1" applyFont="1" applyFill="1"/>
    <xf numFmtId="180" fontId="5" fillId="17" borderId="0" xfId="16" applyNumberFormat="1" applyFont="1" applyFill="1" applyBorder="1" applyAlignment="1">
      <alignment vertical="center"/>
    </xf>
    <xf numFmtId="186" fontId="5" fillId="17" borderId="0" xfId="16" applyNumberFormat="1" applyFont="1" applyFill="1" applyAlignment="1">
      <alignment horizontal="right"/>
    </xf>
    <xf numFmtId="186" fontId="5" fillId="17" borderId="9" xfId="16" applyNumberFormat="1" applyFont="1" applyFill="1" applyBorder="1" applyAlignment="1">
      <alignment horizontal="right"/>
    </xf>
    <xf numFmtId="186" fontId="4" fillId="28" borderId="1" xfId="4" applyNumberFormat="1" applyFont="1" applyFill="1" applyBorder="1"/>
    <xf numFmtId="220" fontId="5" fillId="17" borderId="16" xfId="4" applyNumberFormat="1" applyFont="1" applyFill="1" applyBorder="1"/>
    <xf numFmtId="0" fontId="83" fillId="4" borderId="0" xfId="4" applyFont="1" applyFill="1" applyProtection="1">
      <protection locked="0"/>
    </xf>
    <xf numFmtId="0" fontId="8" fillId="4" borderId="0" xfId="4" applyFont="1" applyFill="1" applyAlignment="1" applyProtection="1">
      <alignment horizontal="right"/>
      <protection locked="0"/>
    </xf>
    <xf numFmtId="180" fontId="32" fillId="17" borderId="0" xfId="16" applyNumberFormat="1" applyFont="1" applyFill="1" applyBorder="1" applyAlignment="1">
      <alignment vertical="center"/>
    </xf>
    <xf numFmtId="173" fontId="3" fillId="4" borderId="0" xfId="4" applyNumberFormat="1" applyFont="1" applyFill="1" applyProtection="1">
      <protection locked="0"/>
    </xf>
    <xf numFmtId="224" fontId="13" fillId="2" borderId="0" xfId="4" applyNumberFormat="1" applyFont="1" applyFill="1" applyAlignment="1" applyProtection="1">
      <alignment horizontal="right"/>
      <protection locked="0"/>
    </xf>
    <xf numFmtId="224" fontId="5" fillId="9" borderId="21" xfId="4" applyNumberFormat="1" applyFont="1" applyFill="1" applyBorder="1" applyAlignment="1" applyProtection="1">
      <alignment horizontal="center" vertical="center"/>
      <protection locked="0"/>
    </xf>
    <xf numFmtId="224" fontId="5" fillId="9" borderId="28" xfId="4" applyNumberFormat="1" applyFont="1" applyFill="1" applyBorder="1" applyAlignment="1" applyProtection="1">
      <alignment horizontal="center" vertical="center"/>
      <protection locked="0"/>
    </xf>
    <xf numFmtId="224" fontId="5" fillId="9" borderId="0" xfId="4" applyNumberFormat="1" applyFont="1" applyFill="1"/>
    <xf numFmtId="224" fontId="4" fillId="4" borderId="49" xfId="4" applyNumberFormat="1" applyFont="1" applyFill="1" applyBorder="1" applyAlignment="1">
      <alignment horizontal="center"/>
    </xf>
    <xf numFmtId="224" fontId="4" fillId="4" borderId="48" xfId="4" applyNumberFormat="1" applyFont="1" applyFill="1" applyBorder="1" applyAlignment="1">
      <alignment horizontal="center"/>
    </xf>
    <xf numFmtId="224" fontId="4" fillId="4" borderId="47" xfId="4" applyNumberFormat="1" applyFont="1" applyFill="1" applyBorder="1" applyAlignment="1">
      <alignment horizontal="center"/>
    </xf>
    <xf numFmtId="173" fontId="32" fillId="0" borderId="0" xfId="12" applyNumberFormat="1" applyFont="1" applyBorder="1" applyAlignment="1">
      <alignment horizontal="right"/>
    </xf>
    <xf numFmtId="173" fontId="32" fillId="0" borderId="0" xfId="12" applyNumberFormat="1" applyFont="1" applyFill="1" applyBorder="1" applyAlignment="1">
      <alignment horizontal="right"/>
    </xf>
    <xf numFmtId="173" fontId="32" fillId="4" borderId="0" xfId="14" applyNumberFormat="1" applyFont="1" applyFill="1" applyBorder="1" applyAlignment="1">
      <alignment horizontal="right"/>
    </xf>
    <xf numFmtId="186" fontId="4" fillId="8" borderId="0" xfId="4" applyNumberFormat="1" applyFont="1" applyFill="1"/>
    <xf numFmtId="0" fontId="51" fillId="0" borderId="1" xfId="4" applyFont="1" applyBorder="1"/>
    <xf numFmtId="221" fontId="17" fillId="2" borderId="0" xfId="4" applyNumberFormat="1" applyFont="1" applyFill="1"/>
    <xf numFmtId="175" fontId="5" fillId="0" borderId="0" xfId="7" applyNumberFormat="1" applyFont="1"/>
    <xf numFmtId="175" fontId="5" fillId="0" borderId="0" xfId="9" applyNumberFormat="1" applyFont="1" applyAlignment="1">
      <alignment horizontal="right"/>
    </xf>
    <xf numFmtId="173" fontId="5" fillId="0" borderId="0" xfId="7" applyNumberFormat="1" applyFont="1"/>
    <xf numFmtId="0" fontId="4" fillId="2" borderId="1" xfId="7" applyFont="1" applyFill="1" applyBorder="1"/>
    <xf numFmtId="176" fontId="4" fillId="2" borderId="1" xfId="8" applyFont="1" applyFill="1" applyBorder="1"/>
    <xf numFmtId="0" fontId="4" fillId="2" borderId="1" xfId="4" applyFont="1" applyFill="1" applyBorder="1"/>
    <xf numFmtId="177" fontId="5" fillId="0" borderId="0" xfId="9" applyNumberFormat="1" applyFont="1" applyAlignment="1" applyProtection="1">
      <alignment horizontal="right"/>
      <protection locked="0"/>
    </xf>
    <xf numFmtId="173" fontId="5" fillId="26" borderId="0" xfId="7" applyNumberFormat="1" applyFont="1" applyFill="1"/>
    <xf numFmtId="0" fontId="5" fillId="0" borderId="0" xfId="5" applyFont="1" applyAlignment="1"/>
    <xf numFmtId="0" fontId="5" fillId="9" borderId="0" xfId="5" applyFont="1" applyFill="1" applyAlignment="1"/>
    <xf numFmtId="0" fontId="4" fillId="2" borderId="1" xfId="5" applyFont="1" applyFill="1" applyBorder="1" applyAlignment="1"/>
    <xf numFmtId="192" fontId="4" fillId="2" borderId="1" xfId="4" applyNumberFormat="1" applyFont="1" applyFill="1" applyBorder="1" applyProtection="1">
      <protection locked="0"/>
    </xf>
    <xf numFmtId="197" fontId="8" fillId="0" borderId="3" xfId="4" applyNumberFormat="1" applyFont="1" applyBorder="1" applyAlignment="1" applyProtection="1">
      <alignment horizontal="right"/>
      <protection locked="0"/>
    </xf>
    <xf numFmtId="15" fontId="5" fillId="0" borderId="1" xfId="4" applyNumberFormat="1" applyFont="1" applyBorder="1"/>
    <xf numFmtId="0" fontId="5" fillId="0" borderId="1" xfId="5" applyFont="1" applyBorder="1">
      <alignment vertical="top"/>
    </xf>
    <xf numFmtId="0" fontId="0" fillId="0" borderId="1" xfId="0" applyBorder="1"/>
    <xf numFmtId="0" fontId="0" fillId="0" borderId="18" xfId="0" applyBorder="1"/>
    <xf numFmtId="0" fontId="0" fillId="0" borderId="15" xfId="0" applyBorder="1"/>
    <xf numFmtId="168" fontId="32" fillId="0" borderId="0" xfId="23" applyNumberFormat="1" applyFont="1"/>
    <xf numFmtId="0" fontId="103" fillId="0" borderId="0" xfId="4" applyFont="1"/>
    <xf numFmtId="173" fontId="17" fillId="8" borderId="0" xfId="0" applyNumberFormat="1" applyFont="1" applyFill="1" applyAlignment="1">
      <alignment horizontal="right"/>
    </xf>
    <xf numFmtId="173" fontId="17" fillId="0" borderId="0" xfId="0" applyNumberFormat="1" applyFont="1" applyAlignment="1">
      <alignment horizontal="right"/>
    </xf>
    <xf numFmtId="173" fontId="5" fillId="8" borderId="0" xfId="0" applyNumberFormat="1" applyFont="1" applyFill="1" applyAlignment="1">
      <alignment horizontal="right"/>
    </xf>
    <xf numFmtId="164" fontId="39" fillId="0" borderId="0" xfId="4" applyNumberFormat="1" applyFont="1" applyAlignment="1">
      <alignment horizontal="center" readingOrder="1"/>
    </xf>
    <xf numFmtId="9" fontId="39" fillId="0" borderId="0" xfId="4" applyNumberFormat="1" applyFont="1"/>
    <xf numFmtId="9" fontId="39" fillId="8" borderId="0" xfId="10" applyFont="1" applyFill="1" applyAlignment="1">
      <alignment horizontal="center"/>
    </xf>
    <xf numFmtId="9" fontId="5" fillId="0" borderId="0" xfId="0" applyNumberFormat="1" applyFont="1"/>
    <xf numFmtId="9" fontId="2" fillId="0" borderId="0" xfId="4" applyNumberFormat="1"/>
    <xf numFmtId="177" fontId="5" fillId="4" borderId="0" xfId="4" applyNumberFormat="1" applyFont="1" applyFill="1" applyAlignment="1">
      <alignment horizontal="center"/>
    </xf>
    <xf numFmtId="0" fontId="104" fillId="0" borderId="0" xfId="4" applyFont="1" applyAlignment="1">
      <alignment horizontal="right" indent="1"/>
    </xf>
    <xf numFmtId="0" fontId="2" fillId="0" borderId="0" xfId="4" applyAlignment="1">
      <alignment horizontal="right" indent="1"/>
    </xf>
    <xf numFmtId="0" fontId="5" fillId="9" borderId="0" xfId="4" applyFont="1" applyFill="1" applyAlignment="1">
      <alignment horizontal="right" indent="1"/>
    </xf>
    <xf numFmtId="0" fontId="105" fillId="0" borderId="0" xfId="21" applyFont="1" applyAlignment="1">
      <alignment horizontal="left"/>
    </xf>
    <xf numFmtId="225" fontId="5" fillId="8" borderId="0" xfId="0" applyNumberFormat="1" applyFont="1" applyFill="1" applyAlignment="1">
      <alignment horizontal="right"/>
    </xf>
    <xf numFmtId="225" fontId="4" fillId="0" borderId="0" xfId="4" applyNumberFormat="1" applyFont="1" applyAlignment="1">
      <alignment horizontal="center"/>
    </xf>
    <xf numFmtId="225" fontId="2" fillId="0" borderId="0" xfId="4" applyNumberFormat="1"/>
    <xf numFmtId="225" fontId="5" fillId="0" borderId="0" xfId="0" applyNumberFormat="1" applyFont="1"/>
    <xf numFmtId="225" fontId="17" fillId="8" borderId="0" xfId="0" applyNumberFormat="1" applyFont="1" applyFill="1" applyAlignment="1">
      <alignment horizontal="right"/>
    </xf>
    <xf numFmtId="225" fontId="17" fillId="0" borderId="0" xfId="0" applyNumberFormat="1" applyFont="1"/>
    <xf numFmtId="180" fontId="17" fillId="2" borderId="1" xfId="4" applyNumberFormat="1" applyFont="1" applyFill="1" applyBorder="1"/>
    <xf numFmtId="180" fontId="17" fillId="2" borderId="18" xfId="4" applyNumberFormat="1" applyFont="1" applyFill="1" applyBorder="1"/>
    <xf numFmtId="1" fontId="5" fillId="2" borderId="0" xfId="20" applyNumberFormat="1" applyFont="1" applyFill="1" applyAlignment="1">
      <alignment horizontal="center"/>
    </xf>
    <xf numFmtId="37" fontId="17" fillId="2" borderId="0" xfId="4" applyNumberFormat="1" applyFont="1" applyFill="1" applyAlignment="1">
      <alignment horizontal="center"/>
    </xf>
    <xf numFmtId="1" fontId="5" fillId="2" borderId="46" xfId="4" applyNumberFormat="1" applyFont="1" applyFill="1" applyBorder="1" applyAlignment="1">
      <alignment horizontal="center"/>
    </xf>
    <xf numFmtId="0" fontId="4" fillId="26" borderId="59" xfId="4" applyFont="1" applyFill="1" applyBorder="1"/>
    <xf numFmtId="0" fontId="4" fillId="26" borderId="58" xfId="4" applyFont="1" applyFill="1" applyBorder="1"/>
    <xf numFmtId="209" fontId="5" fillId="26" borderId="58" xfId="4" applyNumberFormat="1" applyFont="1" applyFill="1" applyBorder="1" applyAlignment="1">
      <alignment horizontal="center"/>
    </xf>
    <xf numFmtId="209" fontId="5" fillId="26" borderId="57" xfId="4" applyNumberFormat="1" applyFont="1" applyFill="1" applyBorder="1" applyAlignment="1">
      <alignment horizontal="center"/>
    </xf>
    <xf numFmtId="0" fontId="32" fillId="2" borderId="1" xfId="0" applyFont="1" applyFill="1" applyBorder="1"/>
    <xf numFmtId="2" fontId="4" fillId="2" borderId="1" xfId="0" applyNumberFormat="1" applyFont="1" applyFill="1" applyBorder="1"/>
    <xf numFmtId="175" fontId="4" fillId="2" borderId="1" xfId="0" applyNumberFormat="1" applyFont="1" applyFill="1" applyBorder="1"/>
    <xf numFmtId="2" fontId="4" fillId="2" borderId="0" xfId="0" applyNumberFormat="1" applyFont="1" applyFill="1"/>
    <xf numFmtId="0" fontId="83" fillId="0" borderId="85" xfId="4" applyFont="1" applyBorder="1" applyProtection="1">
      <protection locked="0"/>
    </xf>
    <xf numFmtId="0" fontId="34" fillId="9" borderId="0" xfId="23" applyFont="1" applyFill="1"/>
    <xf numFmtId="0" fontId="32" fillId="0" borderId="85" xfId="4" applyFont="1" applyBorder="1" applyProtection="1">
      <protection locked="0"/>
    </xf>
    <xf numFmtId="3" fontId="5" fillId="8" borderId="28" xfId="4" applyNumberFormat="1" applyFont="1" applyFill="1" applyBorder="1" applyAlignment="1">
      <alignment horizontal="center"/>
    </xf>
    <xf numFmtId="0" fontId="38" fillId="23" borderId="0" xfId="4" applyFont="1" applyFill="1" applyAlignment="1">
      <alignment horizontal="center"/>
    </xf>
    <xf numFmtId="0" fontId="32" fillId="0" borderId="86" xfId="23" applyFont="1" applyBorder="1"/>
    <xf numFmtId="0" fontId="32" fillId="0" borderId="87" xfId="23" applyFont="1" applyBorder="1"/>
    <xf numFmtId="0" fontId="34" fillId="0" borderId="88" xfId="23" applyFont="1" applyBorder="1"/>
    <xf numFmtId="0" fontId="38" fillId="16" borderId="88" xfId="4" applyFont="1" applyFill="1" applyBorder="1" applyAlignment="1">
      <alignment horizontal="centerContinuous"/>
    </xf>
    <xf numFmtId="0" fontId="19" fillId="16" borderId="88" xfId="4" applyFont="1" applyFill="1" applyBorder="1" applyAlignment="1">
      <alignment horizontal="centerContinuous"/>
    </xf>
    <xf numFmtId="0" fontId="34" fillId="16" borderId="88" xfId="23" applyFont="1" applyFill="1" applyBorder="1" applyAlignment="1">
      <alignment horizontal="centerContinuous"/>
    </xf>
    <xf numFmtId="0" fontId="32" fillId="0" borderId="89" xfId="23" applyFont="1" applyBorder="1"/>
    <xf numFmtId="0" fontId="63" fillId="23" borderId="90" xfId="4" applyFont="1" applyFill="1" applyBorder="1" applyAlignment="1">
      <alignment horizontal="center"/>
    </xf>
    <xf numFmtId="2" fontId="38" fillId="23" borderId="86" xfId="4" applyNumberFormat="1" applyFont="1" applyFill="1" applyBorder="1"/>
    <xf numFmtId="0" fontId="63" fillId="23" borderId="86" xfId="4" applyFont="1" applyFill="1" applyBorder="1" applyAlignment="1">
      <alignment horizontal="center"/>
    </xf>
    <xf numFmtId="0" fontId="3" fillId="0" borderId="90" xfId="4" applyFont="1" applyBorder="1"/>
    <xf numFmtId="0" fontId="32" fillId="0" borderId="90" xfId="23" applyFont="1" applyBorder="1"/>
    <xf numFmtId="0" fontId="5" fillId="0" borderId="91" xfId="4" applyFont="1" applyBorder="1"/>
    <xf numFmtId="177" fontId="5" fillId="8" borderId="92" xfId="4" applyNumberFormat="1" applyFont="1" applyFill="1" applyBorder="1" applyAlignment="1">
      <alignment horizontal="left"/>
    </xf>
    <xf numFmtId="0" fontId="5" fillId="0" borderId="93" xfId="4" applyFont="1" applyBorder="1"/>
    <xf numFmtId="177" fontId="5" fillId="8" borderId="94" xfId="4" applyNumberFormat="1" applyFont="1" applyFill="1" applyBorder="1" applyAlignment="1">
      <alignment horizontal="left"/>
    </xf>
    <xf numFmtId="0" fontId="5" fillId="8" borderId="94" xfId="4" applyFont="1" applyFill="1" applyBorder="1" applyAlignment="1">
      <alignment horizontal="left"/>
    </xf>
    <xf numFmtId="208" fontId="5" fillId="0" borderId="95" xfId="4" applyNumberFormat="1" applyFont="1" applyBorder="1" applyAlignment="1">
      <alignment horizontal="left"/>
    </xf>
    <xf numFmtId="177" fontId="5" fillId="8" borderId="96" xfId="4" applyNumberFormat="1" applyFont="1" applyFill="1" applyBorder="1" applyAlignment="1">
      <alignment horizontal="left"/>
    </xf>
    <xf numFmtId="0" fontId="5" fillId="4" borderId="97" xfId="4" applyFont="1" applyFill="1" applyBorder="1"/>
    <xf numFmtId="0" fontId="5" fillId="0" borderId="98" xfId="4" applyFont="1" applyBorder="1"/>
    <xf numFmtId="0" fontId="5" fillId="0" borderId="99" xfId="4" applyFont="1" applyBorder="1"/>
    <xf numFmtId="0" fontId="4" fillId="4" borderId="100" xfId="4" applyFont="1" applyFill="1" applyBorder="1"/>
    <xf numFmtId="208" fontId="5" fillId="0" borderId="98" xfId="20" applyFont="1" applyBorder="1" applyAlignment="1">
      <alignment horizontal="left" indent="1"/>
    </xf>
    <xf numFmtId="208" fontId="5" fillId="0" borderId="98" xfId="20" quotePrefix="1" applyFont="1" applyBorder="1" applyAlignment="1">
      <alignment horizontal="left" indent="1"/>
    </xf>
    <xf numFmtId="0" fontId="4" fillId="4" borderId="101" xfId="4" applyFont="1" applyFill="1" applyBorder="1"/>
    <xf numFmtId="0" fontId="4" fillId="0" borderId="101" xfId="4" applyFont="1" applyBorder="1"/>
    <xf numFmtId="0" fontId="4" fillId="4" borderId="98" xfId="4" applyFont="1" applyFill="1" applyBorder="1"/>
    <xf numFmtId="0" fontId="4" fillId="8" borderId="102" xfId="4" applyFont="1" applyFill="1" applyBorder="1"/>
    <xf numFmtId="0" fontId="4" fillId="0" borderId="103" xfId="4" applyFont="1" applyBorder="1"/>
    <xf numFmtId="0" fontId="34" fillId="0" borderId="104" xfId="23" applyFont="1" applyBorder="1"/>
    <xf numFmtId="223" fontId="4" fillId="0" borderId="104" xfId="4" applyNumberFormat="1" applyFont="1" applyBorder="1" applyAlignment="1">
      <alignment horizontal="center"/>
    </xf>
    <xf numFmtId="0" fontId="32" fillId="0" borderId="105" xfId="23" applyFont="1" applyBorder="1"/>
    <xf numFmtId="0" fontId="63" fillId="23" borderId="88" xfId="4" applyFont="1" applyFill="1" applyBorder="1" applyAlignment="1">
      <alignment horizontal="centerContinuous"/>
    </xf>
    <xf numFmtId="0" fontId="63" fillId="23" borderId="88" xfId="4" applyFont="1" applyFill="1" applyBorder="1" applyAlignment="1">
      <alignment horizontal="center"/>
    </xf>
    <xf numFmtId="0" fontId="70" fillId="23" borderId="0" xfId="23" applyFont="1" applyFill="1"/>
    <xf numFmtId="0" fontId="5" fillId="0" borderId="86" xfId="4" applyFont="1" applyBorder="1" applyAlignment="1">
      <alignment horizontal="center"/>
    </xf>
    <xf numFmtId="0" fontId="5" fillId="0" borderId="106" xfId="4" applyFont="1" applyBorder="1"/>
    <xf numFmtId="213" fontId="5" fillId="17" borderId="107" xfId="4" applyNumberFormat="1" applyFont="1" applyFill="1" applyBorder="1" applyAlignment="1">
      <alignment horizontal="center"/>
    </xf>
    <xf numFmtId="208" fontId="5" fillId="0" borderId="90" xfId="4" applyNumberFormat="1" applyFont="1" applyBorder="1" applyAlignment="1">
      <alignment horizontal="left"/>
    </xf>
    <xf numFmtId="208" fontId="5" fillId="8" borderId="0" xfId="4" applyNumberFormat="1" applyFont="1" applyFill="1" applyAlignment="1">
      <alignment horizontal="left"/>
    </xf>
    <xf numFmtId="213" fontId="5" fillId="17" borderId="86" xfId="4" applyNumberFormat="1" applyFont="1" applyFill="1" applyBorder="1" applyAlignment="1">
      <alignment horizontal="center"/>
    </xf>
    <xf numFmtId="0" fontId="5" fillId="0" borderId="90" xfId="4" applyFont="1" applyBorder="1"/>
    <xf numFmtId="0" fontId="32" fillId="0" borderId="108" xfId="23" applyFont="1" applyBorder="1"/>
    <xf numFmtId="213" fontId="5" fillId="17" borderId="109" xfId="4" applyNumberFormat="1" applyFont="1" applyFill="1" applyBorder="1" applyAlignment="1">
      <alignment horizontal="center"/>
    </xf>
    <xf numFmtId="208" fontId="5" fillId="0" borderId="0" xfId="4" applyNumberFormat="1" applyFont="1" applyAlignment="1">
      <alignment horizontal="left"/>
    </xf>
    <xf numFmtId="208" fontId="5" fillId="0" borderId="0" xfId="4" applyNumberFormat="1" applyFont="1" applyAlignment="1">
      <alignment horizontal="center"/>
    </xf>
    <xf numFmtId="213" fontId="5" fillId="0" borderId="0" xfId="4" applyNumberFormat="1" applyFont="1" applyAlignment="1">
      <alignment horizontal="center"/>
    </xf>
    <xf numFmtId="213" fontId="5" fillId="0" borderId="86" xfId="4" applyNumberFormat="1" applyFont="1" applyBorder="1" applyAlignment="1">
      <alignment horizontal="center"/>
    </xf>
    <xf numFmtId="0" fontId="4" fillId="18" borderId="110" xfId="4" applyFont="1" applyFill="1" applyBorder="1"/>
    <xf numFmtId="213" fontId="4" fillId="17" borderId="111" xfId="4" applyNumberFormat="1" applyFont="1" applyFill="1" applyBorder="1" applyAlignment="1">
      <alignment horizontal="center"/>
    </xf>
    <xf numFmtId="0" fontId="5" fillId="0" borderId="113" xfId="4" applyFont="1" applyBorder="1"/>
    <xf numFmtId="186" fontId="17" fillId="30" borderId="11" xfId="27" applyNumberFormat="1" applyFont="1" applyFill="1" applyBorder="1" applyAlignment="1">
      <alignment horizontal="center"/>
    </xf>
    <xf numFmtId="213" fontId="5" fillId="31" borderId="86" xfId="4" applyNumberFormat="1" applyFont="1" applyFill="1" applyBorder="1" applyAlignment="1">
      <alignment horizontal="center"/>
    </xf>
    <xf numFmtId="0" fontId="63" fillId="23" borderId="90" xfId="4" applyFont="1" applyFill="1" applyBorder="1" applyAlignment="1">
      <alignment horizontal="centerContinuous"/>
    </xf>
    <xf numFmtId="0" fontId="63" fillId="23" borderId="0" xfId="4" applyFont="1" applyFill="1" applyAlignment="1">
      <alignment horizontal="centerContinuous"/>
    </xf>
    <xf numFmtId="0" fontId="38" fillId="23" borderId="0" xfId="4" applyFont="1" applyFill="1" applyAlignment="1">
      <alignment horizontal="centerContinuous"/>
    </xf>
    <xf numFmtId="0" fontId="106" fillId="0" borderId="0" xfId="0" applyFont="1" applyAlignment="1">
      <alignment horizontal="left" vertical="center" wrapText="1"/>
    </xf>
    <xf numFmtId="0" fontId="104" fillId="0" borderId="0" xfId="0" applyFont="1" applyAlignment="1">
      <alignment horizontal="center" vertical="top" wrapText="1"/>
    </xf>
    <xf numFmtId="0" fontId="104" fillId="0" borderId="0" xfId="0" applyFont="1" applyAlignment="1">
      <alignment vertical="top" wrapText="1"/>
    </xf>
    <xf numFmtId="226" fontId="5" fillId="0" borderId="0" xfId="4" applyNumberFormat="1" applyFont="1"/>
    <xf numFmtId="9" fontId="17" fillId="0" borderId="0" xfId="4" applyNumberFormat="1" applyFont="1"/>
    <xf numFmtId="186" fontId="4" fillId="28" borderId="0" xfId="16" applyNumberFormat="1" applyFont="1" applyFill="1" applyBorder="1" applyAlignment="1">
      <alignment horizontal="right"/>
    </xf>
    <xf numFmtId="186" fontId="4" fillId="17" borderId="1" xfId="16" applyNumberFormat="1" applyFont="1" applyFill="1" applyBorder="1" applyAlignment="1">
      <alignment horizontal="right"/>
    </xf>
    <xf numFmtId="177" fontId="4" fillId="26" borderId="0" xfId="4" applyNumberFormat="1" applyFont="1" applyFill="1" applyAlignment="1">
      <alignment horizontal="right"/>
    </xf>
    <xf numFmtId="9" fontId="4" fillId="0" borderId="0" xfId="3" applyFont="1"/>
    <xf numFmtId="210" fontId="17" fillId="32" borderId="0" xfId="20" applyNumberFormat="1" applyFont="1" applyFill="1" applyAlignment="1">
      <alignment horizontal="center"/>
    </xf>
    <xf numFmtId="210" fontId="17" fillId="32" borderId="46" xfId="20" applyNumberFormat="1" applyFont="1" applyFill="1" applyBorder="1" applyAlignment="1">
      <alignment horizontal="center"/>
    </xf>
    <xf numFmtId="0" fontId="83" fillId="0" borderId="90" xfId="23" applyFont="1" applyBorder="1"/>
    <xf numFmtId="0" fontId="65" fillId="23" borderId="87" xfId="4" applyFont="1" applyFill="1" applyBorder="1" applyAlignment="1">
      <alignment horizontal="center"/>
    </xf>
    <xf numFmtId="0" fontId="65" fillId="23" borderId="88" xfId="4" applyFont="1" applyFill="1" applyBorder="1" applyAlignment="1">
      <alignment horizontal="center"/>
    </xf>
    <xf numFmtId="0" fontId="62" fillId="23" borderId="88" xfId="4" applyFont="1" applyFill="1" applyBorder="1" applyAlignment="1">
      <alignment horizontal="centerContinuous"/>
    </xf>
    <xf numFmtId="173" fontId="63" fillId="23" borderId="89" xfId="4" applyNumberFormat="1" applyFont="1" applyFill="1" applyBorder="1" applyAlignment="1">
      <alignment horizontal="centerContinuous"/>
    </xf>
    <xf numFmtId="0" fontId="62" fillId="23" borderId="90" xfId="4" applyFont="1" applyFill="1" applyBorder="1" applyAlignment="1">
      <alignment horizontal="center"/>
    </xf>
    <xf numFmtId="173" fontId="63" fillId="23" borderId="86" xfId="4" applyNumberFormat="1" applyFont="1" applyFill="1" applyBorder="1" applyAlignment="1">
      <alignment horizontal="center"/>
    </xf>
    <xf numFmtId="173" fontId="5" fillId="0" borderId="86" xfId="4" applyNumberFormat="1" applyFont="1" applyBorder="1"/>
    <xf numFmtId="0" fontId="14" fillId="0" borderId="90" xfId="4" applyFont="1" applyBorder="1"/>
    <xf numFmtId="0" fontId="5" fillId="0" borderId="106" xfId="21" applyFont="1" applyBorder="1" applyAlignment="1">
      <alignment horizontal="left" indent="1"/>
    </xf>
    <xf numFmtId="184" fontId="5" fillId="0" borderId="107" xfId="4" applyNumberFormat="1" applyFont="1" applyBorder="1" applyAlignment="1">
      <alignment horizontal="center"/>
    </xf>
    <xf numFmtId="0" fontId="5" fillId="0" borderId="90" xfId="21" applyFont="1" applyBorder="1" applyAlignment="1">
      <alignment horizontal="left"/>
    </xf>
    <xf numFmtId="173" fontId="5" fillId="4" borderId="0" xfId="11" applyNumberFormat="1" applyFont="1" applyFill="1" applyAlignment="1">
      <alignment horizontal="center"/>
    </xf>
    <xf numFmtId="9" fontId="5" fillId="4" borderId="86" xfId="4" applyNumberFormat="1" applyFont="1" applyFill="1" applyBorder="1" applyAlignment="1">
      <alignment horizontal="center"/>
    </xf>
    <xf numFmtId="0" fontId="5" fillId="0" borderId="90" xfId="21" applyFont="1" applyBorder="1" applyAlignment="1">
      <alignment horizontal="left" indent="1"/>
    </xf>
    <xf numFmtId="173" fontId="5" fillId="0" borderId="0" xfId="11" applyNumberFormat="1" applyFont="1" applyAlignment="1">
      <alignment horizontal="center"/>
    </xf>
    <xf numFmtId="180" fontId="5" fillId="0" borderId="0" xfId="4" applyNumberFormat="1" applyFont="1" applyAlignment="1">
      <alignment horizontal="center"/>
    </xf>
    <xf numFmtId="9" fontId="5" fillId="0" borderId="86" xfId="4" applyNumberFormat="1" applyFont="1" applyBorder="1" applyAlignment="1">
      <alignment horizontal="center"/>
    </xf>
    <xf numFmtId="0" fontId="4" fillId="4" borderId="90" xfId="4" applyFont="1" applyFill="1" applyBorder="1"/>
    <xf numFmtId="9" fontId="5" fillId="0" borderId="86" xfId="4" applyNumberFormat="1" applyFont="1" applyBorder="1"/>
    <xf numFmtId="0" fontId="14" fillId="0" borderId="108" xfId="4" applyFont="1" applyBorder="1"/>
    <xf numFmtId="173" fontId="5" fillId="0" borderId="109" xfId="4" applyNumberFormat="1" applyFont="1" applyBorder="1"/>
    <xf numFmtId="9" fontId="5" fillId="0" borderId="109" xfId="4" applyNumberFormat="1" applyFont="1" applyBorder="1"/>
    <xf numFmtId="215" fontId="5" fillId="0" borderId="86" xfId="4" applyNumberFormat="1" applyFont="1" applyBorder="1"/>
    <xf numFmtId="0" fontId="4" fillId="14" borderId="90" xfId="4" applyFont="1" applyFill="1" applyBorder="1"/>
    <xf numFmtId="215" fontId="5" fillId="14" borderId="86" xfId="4" applyNumberFormat="1" applyFont="1" applyFill="1" applyBorder="1" applyAlignment="1">
      <alignment horizontal="center"/>
    </xf>
    <xf numFmtId="0" fontId="4" fillId="4" borderId="115" xfId="4" applyFont="1" applyFill="1" applyBorder="1"/>
    <xf numFmtId="215" fontId="5" fillId="4" borderId="116" xfId="4" applyNumberFormat="1" applyFont="1" applyFill="1" applyBorder="1" applyAlignment="1">
      <alignment horizontal="center"/>
    </xf>
    <xf numFmtId="0" fontId="5" fillId="0" borderId="112" xfId="4" applyFont="1" applyBorder="1"/>
    <xf numFmtId="0" fontId="5" fillId="0" borderId="113" xfId="4" applyFont="1" applyBorder="1" applyAlignment="1">
      <alignment horizontal="center"/>
    </xf>
    <xf numFmtId="173" fontId="5" fillId="0" borderId="114" xfId="4" applyNumberFormat="1" applyFont="1" applyBorder="1" applyAlignment="1">
      <alignment horizontal="center"/>
    </xf>
    <xf numFmtId="0" fontId="2" fillId="0" borderId="16" xfId="4" applyBorder="1"/>
    <xf numFmtId="174" fontId="5" fillId="2" borderId="0" xfId="1" applyNumberFormat="1" applyFont="1" applyFill="1" applyAlignment="1">
      <alignment horizontal="center"/>
    </xf>
    <xf numFmtId="1" fontId="4" fillId="2" borderId="51" xfId="4" applyNumberFormat="1" applyFont="1" applyFill="1" applyBorder="1"/>
    <xf numFmtId="1" fontId="4" fillId="2" borderId="0" xfId="4" applyNumberFormat="1" applyFont="1" applyFill="1"/>
    <xf numFmtId="0" fontId="73" fillId="9" borderId="0" xfId="28" applyFill="1" applyAlignment="1">
      <alignment vertical="center"/>
    </xf>
    <xf numFmtId="0" fontId="5" fillId="33" borderId="0" xfId="21" applyFont="1" applyFill="1" applyAlignment="1">
      <alignment horizontal="left" indent="1"/>
    </xf>
    <xf numFmtId="9" fontId="0" fillId="0" borderId="0" xfId="3" applyFont="1"/>
    <xf numFmtId="170" fontId="34" fillId="0" borderId="0" xfId="3" applyNumberFormat="1" applyFont="1"/>
    <xf numFmtId="0" fontId="5" fillId="0" borderId="0" xfId="4" applyFont="1" applyAlignment="1">
      <alignment horizontal="left" vertical="top" wrapText="1"/>
    </xf>
    <xf numFmtId="0" fontId="62" fillId="23" borderId="59" xfId="4" applyFont="1" applyFill="1" applyBorder="1" applyAlignment="1">
      <alignment horizontal="center"/>
    </xf>
    <xf numFmtId="0" fontId="62" fillId="23" borderId="58" xfId="4" applyFont="1" applyFill="1" applyBorder="1" applyAlignment="1">
      <alignment horizontal="center"/>
    </xf>
    <xf numFmtId="0" fontId="63" fillId="23" borderId="0" xfId="4" applyFont="1" applyFill="1" applyAlignment="1">
      <alignment horizontal="center"/>
    </xf>
    <xf numFmtId="0" fontId="63" fillId="23" borderId="86" xfId="4" applyFont="1" applyFill="1" applyBorder="1" applyAlignment="1">
      <alignment horizontal="center"/>
    </xf>
    <xf numFmtId="170" fontId="17" fillId="2" borderId="0" xfId="3" applyNumberFormat="1" applyFont="1" applyFill="1"/>
    <xf numFmtId="170" fontId="17" fillId="2" borderId="42" xfId="3" applyNumberFormat="1" applyFont="1" applyFill="1" applyBorder="1"/>
    <xf numFmtId="170" fontId="17" fillId="2" borderId="16" xfId="3" applyNumberFormat="1" applyFont="1" applyFill="1" applyBorder="1"/>
    <xf numFmtId="170" fontId="17" fillId="2" borderId="15" xfId="3" applyNumberFormat="1" applyFont="1" applyFill="1" applyBorder="1"/>
    <xf numFmtId="180" fontId="17" fillId="2" borderId="85" xfId="4" applyNumberFormat="1" applyFont="1" applyFill="1" applyBorder="1"/>
    <xf numFmtId="180" fontId="5" fillId="4" borderId="1" xfId="4" applyNumberFormat="1" applyFont="1" applyFill="1" applyBorder="1"/>
    <xf numFmtId="180" fontId="5" fillId="4" borderId="18" xfId="4" applyNumberFormat="1" applyFont="1" applyFill="1" applyBorder="1"/>
    <xf numFmtId="180" fontId="17" fillId="2" borderId="0" xfId="4" applyNumberFormat="1" applyFont="1" applyFill="1" applyBorder="1"/>
    <xf numFmtId="2" fontId="17" fillId="22" borderId="0" xfId="4" applyNumberFormat="1" applyFont="1" applyFill="1"/>
    <xf numFmtId="224" fontId="5" fillId="14" borderId="0" xfId="4" applyNumberFormat="1" applyFont="1" applyFill="1" applyAlignment="1">
      <alignment horizontal="center"/>
    </xf>
    <xf numFmtId="232" fontId="5" fillId="14" borderId="45" xfId="4" applyNumberFormat="1" applyFont="1" applyFill="1" applyBorder="1" applyAlignment="1">
      <alignment horizontal="center"/>
    </xf>
    <xf numFmtId="224" fontId="4" fillId="4" borderId="28" xfId="4" applyNumberFormat="1" applyFont="1" applyFill="1" applyBorder="1" applyAlignment="1">
      <alignment horizontal="center"/>
    </xf>
    <xf numFmtId="232" fontId="4" fillId="8" borderId="23" xfId="4" applyNumberFormat="1" applyFont="1" applyFill="1" applyBorder="1" applyAlignment="1">
      <alignment horizontal="center"/>
    </xf>
  </cellXfs>
  <cellStyles count="34">
    <cellStyle name="Border Thin" xfId="12" xr:uid="{00000000-0005-0000-0000-000000000000}"/>
    <cellStyle name="Border Thin 2" xfId="14" xr:uid="{00000000-0005-0000-0000-000001000000}"/>
    <cellStyle name="Comma" xfId="1" builtinId="3"/>
    <cellStyle name="Comma 2" xfId="16" xr:uid="{00000000-0005-0000-0000-000003000000}"/>
    <cellStyle name="Comma 2 2" xfId="24" xr:uid="{00000000-0005-0000-0000-000004000000}"/>
    <cellStyle name="Comma 3" xfId="27" xr:uid="{00000000-0005-0000-0000-000005000000}"/>
    <cellStyle name="Comma 4" xfId="19" xr:uid="{00000000-0005-0000-0000-000006000000}"/>
    <cellStyle name="Currency" xfId="2" builtinId="4"/>
    <cellStyle name="Currency 2" xfId="13" xr:uid="{00000000-0005-0000-0000-000008000000}"/>
    <cellStyle name="Currency 2 2" xfId="25" xr:uid="{00000000-0005-0000-0000-000009000000}"/>
    <cellStyle name="Currency 4 2" xfId="22" xr:uid="{00000000-0005-0000-0000-00000A000000}"/>
    <cellStyle name="fa_data_bold_1_grouped" xfId="32" xr:uid="{50221900-D622-44EE-B7C7-D9C9898B855A}"/>
    <cellStyle name="fa_data_standard_1_grouped" xfId="33" xr:uid="{0247D89B-D4E9-486F-BCB2-1F148DC92D17}"/>
    <cellStyle name="Hyperlink" xfId="28" builtinId="8"/>
    <cellStyle name="Hyperlink 2" xfId="26" xr:uid="{00000000-0005-0000-0000-00000C000000}"/>
    <cellStyle name="Input 2" xfId="6" xr:uid="{00000000-0005-0000-0000-00000D000000}"/>
    <cellStyle name="Normal" xfId="0" builtinId="0"/>
    <cellStyle name="Normal 10" xfId="4" xr:uid="{00000000-0005-0000-0000-00000F000000}"/>
    <cellStyle name="Normal 10 2" xfId="20" xr:uid="{00000000-0005-0000-0000-000010000000}"/>
    <cellStyle name="Normal 11" xfId="23" xr:uid="{00000000-0005-0000-0000-000011000000}"/>
    <cellStyle name="Normal 19" xfId="29" xr:uid="{00000000-0005-0000-0000-000012000000}"/>
    <cellStyle name="Normal 2" xfId="21" xr:uid="{00000000-0005-0000-0000-000013000000}"/>
    <cellStyle name="Normal 3 3 2" xfId="17" xr:uid="{00000000-0005-0000-0000-000014000000}"/>
    <cellStyle name="Normal 4" xfId="31" xr:uid="{00000000-0005-0000-0000-000015000000}"/>
    <cellStyle name="Normal 9" xfId="30" xr:uid="{00000000-0005-0000-0000-000016000000}"/>
    <cellStyle name="Normal_Ahold3-backup" xfId="8" xr:uid="{00000000-0005-0000-0000-000017000000}"/>
    <cellStyle name="Normal_BasicFCFModel" xfId="9" xr:uid="{00000000-0005-0000-0000-000018000000}"/>
    <cellStyle name="Normal_Copy of GAPValuationModelFullForecast2008" xfId="7" xr:uid="{00000000-0005-0000-0000-000019000000}"/>
    <cellStyle name="Normal_Sheet" xfId="5" xr:uid="{00000000-0005-0000-0000-00001A000000}"/>
    <cellStyle name="Normal_Sheet2" xfId="11" xr:uid="{00000000-0005-0000-0000-00001B000000}"/>
    <cellStyle name="Percent" xfId="3" builtinId="5"/>
    <cellStyle name="Percent 2" xfId="10" xr:uid="{00000000-0005-0000-0000-00001D000000}"/>
    <cellStyle name="Percent 2 2" xfId="18" xr:uid="{00000000-0005-0000-0000-00001E000000}"/>
    <cellStyle name="Table Sub Head" xfId="15" xr:uid="{00000000-0005-0000-0000-00001F000000}"/>
  </cellStyles>
  <dxfs count="87">
    <dxf>
      <font>
        <b/>
        <i val="0"/>
        <color theme="0"/>
      </font>
      <fill>
        <patternFill>
          <bgColor rgb="FFFF0000"/>
        </patternFill>
      </fill>
    </dxf>
    <dxf>
      <font>
        <b/>
        <i val="0"/>
        <color theme="0"/>
      </font>
      <fill>
        <patternFill>
          <bgColor rgb="FFFF0000"/>
        </patternFill>
      </fill>
    </dxf>
    <dxf>
      <font>
        <b/>
        <i val="0"/>
        <condense val="0"/>
        <extend val="0"/>
        <color indexed="12"/>
      </font>
      <border>
        <top style="thin">
          <color indexed="64"/>
        </top>
      </border>
    </dxf>
    <dxf>
      <font>
        <b/>
        <i val="0"/>
        <condense val="0"/>
        <extend val="0"/>
        <color indexed="12"/>
      </font>
      <border>
        <top style="thin">
          <color indexed="64"/>
        </top>
      </border>
    </dxf>
    <dxf>
      <font>
        <b/>
        <i val="0"/>
        <condense val="0"/>
        <extend val="0"/>
        <color indexed="12"/>
      </font>
      <border>
        <top style="thin">
          <color indexed="64"/>
        </top>
      </border>
    </dxf>
    <dxf>
      <font>
        <b/>
        <i val="0"/>
        <condense val="0"/>
        <extend val="0"/>
        <color indexed="12"/>
      </font>
      <border>
        <top style="thin">
          <color indexed="64"/>
        </top>
      </border>
    </dxf>
    <dxf>
      <font>
        <b/>
        <i val="0"/>
        <condense val="0"/>
        <extend val="0"/>
        <color indexed="12"/>
      </font>
      <border>
        <top style="thin">
          <color indexed="64"/>
        </top>
      </border>
    </dxf>
    <dxf>
      <font>
        <b/>
        <i val="0"/>
        <condense val="0"/>
        <extend val="0"/>
        <color indexed="12"/>
      </font>
      <border>
        <top style="thin">
          <color indexed="64"/>
        </top>
      </border>
    </dxf>
    <dxf>
      <font>
        <b/>
        <i val="0"/>
        <condense val="0"/>
        <extend val="0"/>
        <color indexed="12"/>
      </font>
      <border>
        <top style="thin">
          <color indexed="64"/>
        </top>
      </border>
    </dxf>
    <dxf>
      <font>
        <b/>
        <i val="0"/>
        <condense val="0"/>
        <extend val="0"/>
        <color indexed="12"/>
      </font>
      <border>
        <top style="thin">
          <color indexed="64"/>
        </top>
      </border>
    </dxf>
    <dxf>
      <font>
        <b/>
        <i val="0"/>
        <condense val="0"/>
        <extend val="0"/>
        <color indexed="12"/>
      </font>
      <border>
        <top style="thin">
          <color indexed="64"/>
        </top>
      </border>
    </dxf>
    <dxf>
      <font>
        <b/>
        <i val="0"/>
        <color theme="0"/>
      </font>
      <fill>
        <patternFill>
          <bgColor rgb="FFFF0000"/>
        </patternFill>
      </fill>
    </dxf>
    <dxf>
      <font>
        <b/>
        <i val="0"/>
        <color theme="0"/>
      </font>
      <fill>
        <patternFill>
          <bgColor rgb="FFFF0000"/>
        </patternFill>
      </fill>
    </dxf>
    <dxf>
      <font>
        <b/>
        <i val="0"/>
        <condense val="0"/>
        <extend val="0"/>
        <color indexed="12"/>
      </font>
      <border>
        <top style="thin">
          <color indexed="64"/>
        </top>
      </border>
    </dxf>
    <dxf>
      <font>
        <b/>
        <i val="0"/>
        <condense val="0"/>
        <extend val="0"/>
        <color indexed="12"/>
      </font>
      <border>
        <top style="thin">
          <color indexed="64"/>
        </top>
      </border>
    </dxf>
    <dxf>
      <font>
        <b/>
        <i val="0"/>
        <condense val="0"/>
        <extend val="0"/>
        <color indexed="12"/>
      </font>
      <border>
        <top style="thin">
          <color indexed="64"/>
        </top>
      </border>
    </dxf>
    <dxf>
      <font>
        <b/>
        <i val="0"/>
        <condense val="0"/>
        <extend val="0"/>
        <color indexed="12"/>
      </font>
      <border>
        <top style="thin">
          <color indexed="64"/>
        </top>
      </border>
    </dxf>
    <dxf>
      <font>
        <b/>
        <i val="0"/>
        <color theme="0"/>
      </font>
      <fill>
        <patternFill>
          <bgColor rgb="FFFF0000"/>
        </patternFill>
      </fill>
    </dxf>
    <dxf>
      <font>
        <color theme="0" tint="-0.499984740745262"/>
      </font>
      <numFmt numFmtId="2" formatCode="0.00"/>
    </dxf>
    <dxf>
      <font>
        <color theme="0" tint="-0.499984740745262"/>
      </font>
      <numFmt numFmtId="177" formatCode="0.0\x"/>
    </dxf>
    <dxf>
      <font>
        <color theme="0" tint="-0.499984740745262"/>
      </font>
      <numFmt numFmtId="177" formatCode="0.0\x"/>
    </dxf>
    <dxf>
      <font>
        <color theme="0" tint="-0.499984740745262"/>
      </font>
      <numFmt numFmtId="2" formatCode="0.00"/>
    </dxf>
    <dxf>
      <font>
        <color theme="0" tint="-0.499984740745262"/>
      </font>
      <numFmt numFmtId="2" formatCode="0.00"/>
    </dxf>
    <dxf>
      <font>
        <color theme="0" tint="-0.499984740745262"/>
      </font>
      <numFmt numFmtId="177" formatCode="0.0\x"/>
    </dxf>
    <dxf>
      <font>
        <color theme="0" tint="-0.499984740745262"/>
      </font>
      <numFmt numFmtId="2" formatCode="0.00"/>
    </dxf>
    <dxf>
      <font>
        <color theme="0" tint="-0.499984740745262"/>
      </font>
      <numFmt numFmtId="2" formatCode="0.00"/>
    </dxf>
    <dxf>
      <font>
        <color theme="0" tint="-0.499984740745262"/>
      </font>
      <numFmt numFmtId="177" formatCode="0.0\x"/>
    </dxf>
    <dxf>
      <font>
        <color theme="0" tint="-0.499984740745262"/>
      </font>
      <numFmt numFmtId="177" formatCode="0.0\x"/>
    </dxf>
    <dxf>
      <font>
        <color theme="0" tint="-0.499984740745262"/>
      </font>
      <numFmt numFmtId="2" formatCode="0.00"/>
    </dxf>
    <dxf>
      <font>
        <color theme="0" tint="-0.499984740745262"/>
      </font>
      <numFmt numFmtId="177" formatCode="0.0\x"/>
    </dxf>
    <dxf>
      <font>
        <color theme="0" tint="-0.499984740745262"/>
      </font>
      <numFmt numFmtId="2" formatCode="0.00"/>
    </dxf>
    <dxf>
      <font>
        <color theme="0" tint="-0.499984740745262"/>
      </font>
      <numFmt numFmtId="177" formatCode="0.0\x"/>
    </dxf>
    <dxf>
      <font>
        <color theme="0" tint="-0.499984740745262"/>
      </font>
      <numFmt numFmtId="2" formatCode="0.00"/>
    </dxf>
    <dxf>
      <font>
        <color theme="0" tint="-0.499984740745262"/>
      </font>
    </dxf>
    <dxf>
      <font>
        <color theme="0" tint="-0.499984740745262"/>
      </font>
      <numFmt numFmtId="177" formatCode="0.0\x"/>
    </dxf>
    <dxf>
      <font>
        <color theme="0" tint="-0.499984740745262"/>
      </font>
      <numFmt numFmtId="2" formatCode="0.00"/>
    </dxf>
    <dxf>
      <font>
        <color theme="0" tint="-0.499984740745262"/>
      </font>
      <numFmt numFmtId="177" formatCode="0.0\x"/>
    </dxf>
    <dxf>
      <font>
        <color theme="0" tint="-0.499984740745262"/>
      </font>
      <numFmt numFmtId="2" formatCode="0.00"/>
    </dxf>
    <dxf>
      <font>
        <color theme="0" tint="-0.499984740745262"/>
      </font>
    </dxf>
    <dxf>
      <font>
        <condense val="0"/>
        <extend val="0"/>
        <color indexed="12"/>
      </font>
    </dxf>
    <dxf>
      <font>
        <condense val="0"/>
        <extend val="0"/>
        <color indexed="12"/>
      </font>
    </dxf>
    <dxf>
      <font>
        <condense val="0"/>
        <extend val="0"/>
        <color indexed="12"/>
      </font>
    </dxf>
    <dxf>
      <font>
        <condense val="0"/>
        <extend val="0"/>
        <color indexed="12"/>
      </font>
    </dxf>
    <dxf>
      <font>
        <color theme="0" tint="-0.499984740745262"/>
      </font>
    </dxf>
    <dxf>
      <font>
        <color theme="0" tint="-0.499984740745262"/>
      </font>
    </dxf>
    <dxf>
      <font>
        <color theme="0" tint="-0.499984740745262"/>
      </font>
    </dxf>
    <dxf>
      <font>
        <color theme="0" tint="-0.499984740745262"/>
      </font>
    </dxf>
    <dxf>
      <font>
        <color theme="0" tint="-0.499984740745262"/>
      </font>
    </dxf>
    <dxf>
      <font>
        <color theme="0" tint="-0.499984740745262"/>
      </font>
    </dxf>
    <dxf>
      <font>
        <color theme="0" tint="-0.499984740745262"/>
      </font>
    </dxf>
    <dxf>
      <font>
        <color theme="0" tint="-0.499984740745262"/>
      </font>
    </dxf>
    <dxf>
      <font>
        <b/>
        <i val="0"/>
        <color theme="0"/>
      </font>
      <fill>
        <patternFill>
          <bgColor rgb="FFFF0000"/>
        </patternFill>
      </fill>
    </dxf>
    <dxf>
      <font>
        <b/>
        <i val="0"/>
        <color theme="0"/>
      </font>
      <fill>
        <patternFill>
          <bgColor rgb="FFFF0000"/>
        </patternFill>
      </fill>
    </dxf>
    <dxf>
      <font>
        <b/>
        <i val="0"/>
        <condense val="0"/>
        <extend val="0"/>
        <color indexed="12"/>
      </font>
      <border>
        <top style="thin">
          <color indexed="64"/>
        </top>
      </border>
    </dxf>
    <dxf>
      <font>
        <b/>
        <i val="0"/>
        <color theme="0"/>
      </font>
      <fill>
        <patternFill>
          <bgColor rgb="FFFF0000"/>
        </patternFill>
      </fill>
    </dxf>
    <dxf>
      <font>
        <b/>
        <i val="0"/>
        <color theme="0"/>
      </font>
      <fill>
        <patternFill>
          <bgColor rgb="FFFF000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12"/>
      </font>
      <border>
        <top style="thin">
          <color indexed="64"/>
        </top>
      </border>
    </dxf>
    <dxf>
      <font>
        <b/>
        <i val="0"/>
        <condense val="0"/>
        <extend val="0"/>
        <color indexed="12"/>
      </font>
      <border>
        <top style="thin">
          <color indexed="64"/>
        </top>
      </border>
    </dxf>
    <dxf>
      <font>
        <condense val="0"/>
        <extend val="0"/>
        <color indexed="12"/>
      </font>
    </dxf>
    <dxf>
      <font>
        <condense val="0"/>
        <extend val="0"/>
        <color indexed="12"/>
      </font>
    </dxf>
    <dxf>
      <font>
        <condense val="0"/>
        <extend val="0"/>
        <color indexed="12"/>
      </font>
    </dxf>
    <dxf>
      <font>
        <b/>
        <i val="0"/>
        <color theme="0"/>
      </font>
      <fill>
        <patternFill>
          <bgColor rgb="FFFF0000"/>
        </patternFill>
      </fill>
    </dxf>
    <dxf>
      <font>
        <b/>
        <i val="0"/>
        <condense val="0"/>
        <extend val="0"/>
        <color indexed="12"/>
      </font>
      <border>
        <top style="thin">
          <color indexed="64"/>
        </top>
      </border>
    </dxf>
    <dxf>
      <font>
        <b/>
        <i val="0"/>
        <color theme="0"/>
      </font>
      <fill>
        <patternFill>
          <bgColor rgb="FFFF0000"/>
        </patternFill>
      </fill>
    </dxf>
    <dxf>
      <font>
        <condense val="0"/>
        <extend val="0"/>
        <color indexed="12"/>
      </font>
    </dxf>
    <dxf>
      <font>
        <condense val="0"/>
        <extend val="0"/>
        <color indexed="12"/>
      </font>
    </dxf>
    <dxf>
      <font>
        <condense val="0"/>
        <extend val="0"/>
        <color indexed="12"/>
      </font>
    </dxf>
    <dxf>
      <font>
        <condense val="0"/>
        <extend val="0"/>
        <color indexed="12"/>
      </font>
    </dxf>
    <dxf>
      <font>
        <condense val="0"/>
        <extend val="0"/>
        <color indexed="12"/>
      </font>
    </dxf>
    <dxf>
      <font>
        <condense val="0"/>
        <extend val="0"/>
        <color indexed="12"/>
      </font>
    </dxf>
    <dxf>
      <font>
        <condense val="0"/>
        <extend val="0"/>
        <color indexed="12"/>
      </font>
    </dxf>
    <dxf>
      <font>
        <b/>
        <i val="0"/>
        <condense val="0"/>
        <extend val="0"/>
        <color indexed="12"/>
      </font>
      <border>
        <top style="thin">
          <color indexed="64"/>
        </top>
      </border>
    </dxf>
    <dxf>
      <font>
        <condense val="0"/>
        <extend val="0"/>
        <color indexed="12"/>
      </font>
    </dxf>
    <dxf>
      <font>
        <condense val="0"/>
        <extend val="0"/>
        <color indexed="12"/>
      </font>
    </dxf>
    <dxf>
      <font>
        <condense val="0"/>
        <extend val="0"/>
        <color indexed="12"/>
      </font>
    </dxf>
    <dxf>
      <font>
        <condense val="0"/>
        <extend val="0"/>
        <color indexed="12"/>
      </font>
    </dxf>
    <dxf>
      <font>
        <condense val="0"/>
        <extend val="0"/>
        <color indexed="12"/>
      </font>
    </dxf>
    <dxf>
      <font>
        <condense val="0"/>
        <extend val="0"/>
        <color indexed="12"/>
      </font>
    </dxf>
    <dxf>
      <font>
        <b/>
        <i val="0"/>
        <color theme="0"/>
      </font>
      <fill>
        <patternFill>
          <bgColor rgb="FFFF0000"/>
        </patternFill>
      </fill>
    </dxf>
    <dxf>
      <font>
        <condense val="0"/>
        <extend val="0"/>
        <color indexed="12"/>
      </font>
    </dxf>
    <dxf>
      <font>
        <condense val="0"/>
        <extend val="0"/>
        <color indexed="12"/>
      </font>
    </dxf>
    <dxf>
      <font>
        <b/>
        <i val="0"/>
        <color theme="0"/>
      </font>
      <fill>
        <patternFill>
          <bgColor rgb="FFFF0000"/>
        </patternFill>
      </fill>
    </dxf>
    <dxf>
      <font>
        <condense val="0"/>
        <extend val="0"/>
        <color indexed="12"/>
      </font>
    </dxf>
    <dxf>
      <font>
        <b/>
        <i val="0"/>
        <condense val="0"/>
        <extend val="0"/>
        <color indexed="9"/>
      </font>
      <fill>
        <patternFill>
          <bgColor indexed="10"/>
        </patternFill>
      </fill>
    </dxf>
    <dxf>
      <font>
        <condense val="0"/>
        <extend val="0"/>
        <color indexed="9"/>
      </font>
      <fill>
        <patternFill>
          <bgColor indexed="10"/>
        </patternFill>
      </fill>
    </dxf>
  </dxfs>
  <tableStyles count="0" defaultTableStyle="TableStyleMedium2" defaultPivotStyle="PivotStyleLight16"/>
  <colors>
    <mruColors>
      <color rgb="FFD9D9D9"/>
      <color rgb="FF0000FF"/>
      <color rgb="FFF2F2F2"/>
      <color rgb="FF2E576A"/>
      <color rgb="FF800000"/>
      <color rgb="FF86654A"/>
      <color rgb="FF452727"/>
      <color rgb="FF736985"/>
      <color rgb="FF887F99"/>
      <color rgb="FF5C7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273395</xdr:colOff>
      <xdr:row>0</xdr:row>
      <xdr:rowOff>76200</xdr:rowOff>
    </xdr:from>
    <xdr:to>
      <xdr:col>7</xdr:col>
      <xdr:colOff>358141</xdr:colOff>
      <xdr:row>3</xdr:row>
      <xdr:rowOff>57150</xdr:rowOff>
    </xdr:to>
    <xdr:pic>
      <xdr:nvPicPr>
        <xdr:cNvPr id="30" name="Picture 29" descr="NIBC Logo Full (White).png">
          <a:extLst>
            <a:ext uri="{FF2B5EF4-FFF2-40B4-BE49-F238E27FC236}">
              <a16:creationId xmlns:a16="http://schemas.microsoft.com/office/drawing/2014/main" id="{F8C8ADC0-07D8-43DD-8DEE-72F33E8E14B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2580"/>
        <a:stretch/>
      </xdr:blipFill>
      <xdr:spPr>
        <a:xfrm>
          <a:off x="4830155" y="76200"/>
          <a:ext cx="1768766" cy="358140"/>
        </a:xfrm>
        <a:prstGeom prst="rect">
          <a:avLst/>
        </a:prstGeom>
      </xdr:spPr>
    </xdr:pic>
    <xdr:clientData/>
  </xdr:twoCellAnchor>
  <xdr:twoCellAnchor editAs="oneCell">
    <xdr:from>
      <xdr:col>0</xdr:col>
      <xdr:colOff>0</xdr:colOff>
      <xdr:row>3</xdr:row>
      <xdr:rowOff>87086</xdr:rowOff>
    </xdr:from>
    <xdr:to>
      <xdr:col>9</xdr:col>
      <xdr:colOff>0</xdr:colOff>
      <xdr:row>17</xdr:row>
      <xdr:rowOff>16012</xdr:rowOff>
    </xdr:to>
    <xdr:pic>
      <xdr:nvPicPr>
        <xdr:cNvPr id="5" name="Picture 4" descr="Johnnie Walker owner Diageo toasts surging sales amid spirits boost | The  Independent">
          <a:extLst>
            <a:ext uri="{FF2B5EF4-FFF2-40B4-BE49-F238E27FC236}">
              <a16:creationId xmlns:a16="http://schemas.microsoft.com/office/drawing/2014/main" id="{0008557F-0D4D-B511-D44A-5888D0CDC332}"/>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4903" b="11895"/>
        <a:stretch/>
      </xdr:blipFill>
      <xdr:spPr bwMode="auto">
        <a:xfrm>
          <a:off x="0" y="470788"/>
          <a:ext cx="6887723" cy="3433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ZKFIOYA/AppData/Local/Microsoft/Windows/Temporary%20Internet%20Files/Content.Outlook/VPKHRR0B/NIBC%202014%20-%20Lions%20Gate%20DCF%20v19%20-%2011%20Oct%20201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E/Users/HP/AppData/Local/Temp/NIBC%202013%20-%20Wynn%20DCF%20Solution%20-%2030%20Sep%202012%20-%20v3.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ZKFIOYA/AppData/Local/Microsoft/Windows/Temporary%20Internet%20Files/Content.Outlook/VPKHRR0B/NIBC%202014%20-%20Lions%20Gate%20DCF%20v19%20-%2011%20Oct%202013.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nibcglobal-my.sharepoint.com/Users/Karsten/AppData/Local/Microsoft/Windows/INetCache/Content.Outlook/1L3OERPN/Current%20NIBC/NIBC%202015%20-%20Comps%20PPT%20Output%20-%2007%20Sep%202014.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Karsten/AppData/Local/Microsoft/Windows/INetCache/Content.Outlook/1L3OERPN/Current%20NIBC/NIBC%202015%20-%20Comps%20PPT%20Output%20-%2007%20Sep%202014.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Users/Karsten/AppData/Local/Microsoft/Windows/INetCache/Content.Outlook/1L3OERPN/Current%20NIBC/NIBC%202015%20-%20Comps%20PPT%20Output%20-%2007%20Sep%202014.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dlam6/AppData/Local/Temp/tmp0069.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Users/dlam6/AppData/Local/Temp/tmp006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nibcglobal-my.sharepoint.com/Users/dlam6/AppData/Local/Temp/tmp006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Users/pchua1/AppData/Roaming/Microsoft/Excel/NIBC%202013%20-%20Wynn%20-%20LBO%20Build%20-%2011%20Nov%202012%20-%20015am%20(PC%20Edit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E/Users/pchua1/AppData/Roaming/Microsoft/Excel/NIBC%202013%20-%20Wynn%20-%20LBO%20Build%20-%2011%20Nov%202012%20-%20015am%20(PC%20Edit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nibcglobal-my.sharepoint.com/E/Users/pchua1/AppData/Roaming/Microsoft/Excel/NIBC%202013%20-%20Wynn%20-%20LBO%20Build%20-%2011%20Nov%202012%20-%20015am%20(PC%20Edi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GF Assumptions"/>
      <sheetName val="LGF Financial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BO Assumptions"/>
      <sheetName val="Wynn Assumptions"/>
      <sheetName val="Wynn Financials"/>
      <sheetName val="DCF Solution"/>
      <sheetName val="&gt;&gt;&gt; Original Data"/>
      <sheetName val="Cashflow Statement"/>
      <sheetName val="Income Statement"/>
      <sheetName val="Balance Sheet"/>
    </sheetNames>
    <sheetDataSet>
      <sheetData sheetId="0" refreshError="1"/>
      <sheetData sheetId="1">
        <row r="68">
          <cell r="B68" t="str">
            <v>Tax Rate</v>
          </cell>
          <cell r="C68" t="str">
            <v>[%]</v>
          </cell>
          <cell r="D68" t="str">
            <v>[calc], [input]</v>
          </cell>
          <cell r="F68">
            <v>0.15422358348733722</v>
          </cell>
          <cell r="G68">
            <v>-0.41338857626344699</v>
          </cell>
          <cell r="H68">
            <v>7.1225003562437661E-2</v>
          </cell>
          <cell r="I68">
            <v>6.0665849758042741E-2</v>
          </cell>
          <cell r="J68">
            <v>-2.4263655288759345E-2</v>
          </cell>
          <cell r="M68">
            <v>0.05</v>
          </cell>
          <cell r="N68">
            <v>0.05</v>
          </cell>
          <cell r="O68">
            <v>0.05</v>
          </cell>
          <cell r="P68">
            <v>0.05</v>
          </cell>
          <cell r="Q68">
            <v>0.05</v>
          </cell>
        </row>
        <row r="74">
          <cell r="B74" t="str">
            <v>Accounts receivable (% of sales)</v>
          </cell>
          <cell r="C74" t="str">
            <v>[%]</v>
          </cell>
          <cell r="D74" t="str">
            <v>[calc],[input]</v>
          </cell>
          <cell r="F74">
            <v>6.6626133619892544E-2</v>
          </cell>
          <cell r="G74">
            <v>4.1909079831983408E-2</v>
          </cell>
          <cell r="H74">
            <v>5.0196495875540245E-2</v>
          </cell>
          <cell r="I74">
            <v>4.4797497931750391E-2</v>
          </cell>
          <cell r="J74">
            <v>4.5256055646978099E-2</v>
          </cell>
          <cell r="M74">
            <v>4.9757052581228936E-2</v>
          </cell>
          <cell r="N74">
            <v>4.9757052581228936E-2</v>
          </cell>
          <cell r="O74">
            <v>4.9757052581228936E-2</v>
          </cell>
          <cell r="P74">
            <v>4.9757052581228936E-2</v>
          </cell>
          <cell r="Q74">
            <v>4.9757052581228936E-2</v>
          </cell>
          <cell r="R74">
            <v>4.9757052581228936E-2</v>
          </cell>
          <cell r="S74">
            <v>4.9757052581228936E-2</v>
          </cell>
        </row>
        <row r="75">
          <cell r="B75" t="str">
            <v>Inventory (% of COGS)</v>
          </cell>
          <cell r="C75" t="str">
            <v>[%]</v>
          </cell>
          <cell r="D75" t="str">
            <v>[calc],[input]</v>
          </cell>
          <cell r="F75">
            <v>4.5100349832160561E-2</v>
          </cell>
          <cell r="G75">
            <v>6.2396688245624533E-2</v>
          </cell>
          <cell r="H75">
            <v>5.3743026916966884E-2</v>
          </cell>
          <cell r="I75">
            <v>3.2170142779618577E-2</v>
          </cell>
          <cell r="J75">
            <v>2.1770477816988532E-2</v>
          </cell>
          <cell r="M75">
            <v>4.3036137118271825E-2</v>
          </cell>
          <cell r="N75">
            <v>4.3036137118271825E-2</v>
          </cell>
          <cell r="O75">
            <v>4.3036137118271825E-2</v>
          </cell>
          <cell r="P75">
            <v>4.3036137118271825E-2</v>
          </cell>
          <cell r="Q75">
            <v>4.3036137118271825E-2</v>
          </cell>
          <cell r="R75">
            <v>4.3036137118271825E-2</v>
          </cell>
          <cell r="S75">
            <v>4.3036137118271825E-2</v>
          </cell>
        </row>
        <row r="77">
          <cell r="B77" t="str">
            <v>Accounts payable and accrued liabilities(% of COGS)</v>
          </cell>
          <cell r="C77" t="str">
            <v>[%]</v>
          </cell>
          <cell r="D77" t="str">
            <v>[calc],[input]</v>
          </cell>
          <cell r="F77">
            <v>0.16972551867156083</v>
          </cell>
          <cell r="G77">
            <v>0.16402914294322676</v>
          </cell>
          <cell r="H77">
            <v>0.10312453385125127</v>
          </cell>
          <cell r="I77">
            <v>8.8519659284749863E-2</v>
          </cell>
          <cell r="J77">
            <v>7.5626134240957724E-2</v>
          </cell>
          <cell r="M77">
            <v>0.1202049977983493</v>
          </cell>
          <cell r="N77">
            <v>0.1202049977983493</v>
          </cell>
          <cell r="O77">
            <v>0.1202049977983493</v>
          </cell>
          <cell r="P77">
            <v>0.1202049977983493</v>
          </cell>
          <cell r="Q77">
            <v>0.1202049977983493</v>
          </cell>
          <cell r="R77">
            <v>0.1202049977983493</v>
          </cell>
          <cell r="S77">
            <v>0.1202049977983493</v>
          </cell>
        </row>
        <row r="78">
          <cell r="B78" t="str">
            <v>Other current liab. (% of COGS)</v>
          </cell>
          <cell r="C78" t="str">
            <v>[%]</v>
          </cell>
          <cell r="D78" t="str">
            <v>[calc],[input]</v>
          </cell>
          <cell r="F78">
            <v>0.17318876475710202</v>
          </cell>
          <cell r="G78">
            <v>0.1019848238773198</v>
          </cell>
          <cell r="H78">
            <v>9.9861429829200585E-2</v>
          </cell>
          <cell r="I78">
            <v>0.13133168988911381</v>
          </cell>
          <cell r="J78">
            <v>0.12081964137517662</v>
          </cell>
          <cell r="M78">
            <v>0.12543726994558257</v>
          </cell>
          <cell r="N78">
            <v>0.12543726994558257</v>
          </cell>
          <cell r="O78">
            <v>0.12543726994558257</v>
          </cell>
          <cell r="P78">
            <v>0.12543726994558257</v>
          </cell>
          <cell r="Q78">
            <v>0.12543726994558257</v>
          </cell>
          <cell r="R78">
            <v>0.12543726994558257</v>
          </cell>
          <cell r="S78">
            <v>0.12543726994558257</v>
          </cell>
        </row>
        <row r="97">
          <cell r="B97" t="str">
            <v>Interest income from customers as % of revenues</v>
          </cell>
          <cell r="C97" t="str">
            <v>[%]</v>
          </cell>
          <cell r="D97" t="str">
            <v>[input], [calc]</v>
          </cell>
          <cell r="F97">
            <v>3.6469470641300579E-2</v>
          </cell>
          <cell r="G97">
            <v>1.9562847591261315E-2</v>
          </cell>
          <cell r="H97">
            <v>1.4144961467173933E-3</v>
          </cell>
          <cell r="I97">
            <v>1.9266425823489305E-3</v>
          </cell>
          <cell r="J97">
            <v>5.1650083170535028E-3</v>
          </cell>
          <cell r="M97">
            <v>2.8353823487066092E-3</v>
          </cell>
          <cell r="N97">
            <v>2.8353823487066092E-3</v>
          </cell>
          <cell r="O97">
            <v>2.8353823487066092E-3</v>
          </cell>
          <cell r="P97">
            <v>2.8353823487066092E-3</v>
          </cell>
          <cell r="Q97">
            <v>2.8353823487066092E-3</v>
          </cell>
          <cell r="R97">
            <v>2.8353823487066092E-3</v>
          </cell>
          <cell r="S97">
            <v>2.8353823487066092E-3</v>
          </cell>
        </row>
      </sheetData>
      <sheetData sheetId="2">
        <row r="10">
          <cell r="B10" t="str">
            <v>Total Revenues</v>
          </cell>
          <cell r="F10">
            <v>2687519</v>
          </cell>
          <cell r="G10">
            <v>2987324</v>
          </cell>
          <cell r="H10">
            <v>3045611</v>
          </cell>
          <cell r="I10">
            <v>4184698</v>
          </cell>
          <cell r="J10">
            <v>5269792</v>
          </cell>
          <cell r="M10">
            <v>5284961.7899999991</v>
          </cell>
          <cell r="N10">
            <v>5481847.5230999999</v>
          </cell>
          <cell r="O10">
            <v>5871205.2589470008</v>
          </cell>
          <cell r="P10">
            <v>6249825.9045261918</v>
          </cell>
          <cell r="Q10">
            <v>7593369.7673262469</v>
          </cell>
          <cell r="R10">
            <v>9112087.8747950904</v>
          </cell>
          <cell r="S10">
            <v>9385450.5110389441</v>
          </cell>
        </row>
        <row r="12">
          <cell r="B12" t="str">
            <v>Cost of goods sold</v>
          </cell>
          <cell r="F12">
            <v>-1625065</v>
          </cell>
          <cell r="G12">
            <v>-1938308</v>
          </cell>
          <cell r="H12">
            <v>-1991049</v>
          </cell>
          <cell r="I12">
            <v>-2699615</v>
          </cell>
          <cell r="J12">
            <v>-3310033</v>
          </cell>
          <cell r="M12">
            <v>-3223826.6918999995</v>
          </cell>
          <cell r="N12">
            <v>-3343926.9890910001</v>
          </cell>
          <cell r="O12">
            <v>-3581435.2079576706</v>
          </cell>
          <cell r="P12">
            <v>-3812393.8017609776</v>
          </cell>
          <cell r="Q12">
            <v>-4631955.5580690112</v>
          </cell>
          <cell r="R12">
            <v>-5558373.603625006</v>
          </cell>
          <cell r="S12">
            <v>-5725124.8117337571</v>
          </cell>
        </row>
        <row r="15">
          <cell r="B15" t="str">
            <v>SG&amp;A and Other</v>
          </cell>
          <cell r="F15">
            <v>-414849</v>
          </cell>
          <cell r="G15">
            <v>-473667</v>
          </cell>
          <cell r="H15">
            <v>-409052</v>
          </cell>
          <cell r="I15">
            <v>-454273</v>
          </cell>
          <cell r="J15">
            <v>-553480</v>
          </cell>
          <cell r="M15">
            <v>-581345.79689999996</v>
          </cell>
          <cell r="N15">
            <v>-603003.227541</v>
          </cell>
          <cell r="O15">
            <v>-587120.52589470008</v>
          </cell>
          <cell r="P15">
            <v>-666648.0964827938</v>
          </cell>
          <cell r="Q15">
            <v>-809959.44184813311</v>
          </cell>
        </row>
        <row r="19">
          <cell r="B19" t="str">
            <v>EBIT</v>
          </cell>
          <cell r="F19">
            <v>427355</v>
          </cell>
          <cell r="G19">
            <v>312136</v>
          </cell>
          <cell r="H19">
            <v>234963</v>
          </cell>
          <cell r="I19">
            <v>625252</v>
          </cell>
          <cell r="J19">
            <v>1008240</v>
          </cell>
          <cell r="M19">
            <v>1082801.5781999996</v>
          </cell>
          <cell r="N19">
            <v>1161790.901784067</v>
          </cell>
          <cell r="O19">
            <v>1365787.5476710135</v>
          </cell>
          <cell r="P19">
            <v>1388070.9382885792</v>
          </cell>
          <cell r="Q19">
            <v>1725224.7879811297</v>
          </cell>
        </row>
        <row r="50">
          <cell r="B50" t="str">
            <v>Depreciation of PP&amp;E</v>
          </cell>
          <cell r="F50">
            <v>220250</v>
          </cell>
          <cell r="G50">
            <v>263213</v>
          </cell>
          <cell r="H50">
            <v>410547</v>
          </cell>
          <cell r="I50">
            <v>405558</v>
          </cell>
          <cell r="J50">
            <v>398039</v>
          </cell>
          <cell r="M50">
            <v>396987.723</v>
          </cell>
          <cell r="N50">
            <v>373126.4046839326</v>
          </cell>
          <cell r="O50">
            <v>336861.97742361663</v>
          </cell>
          <cell r="P50">
            <v>382713.06799384119</v>
          </cell>
          <cell r="Q50">
            <v>426229.97942797281</v>
          </cell>
        </row>
        <row r="63">
          <cell r="B63" t="str">
            <v>Change in working capital</v>
          </cell>
          <cell r="F63">
            <v>243988</v>
          </cell>
          <cell r="G63">
            <v>49491</v>
          </cell>
          <cell r="H63">
            <v>144302</v>
          </cell>
          <cell r="I63">
            <v>335158</v>
          </cell>
          <cell r="J63">
            <v>292683</v>
          </cell>
          <cell r="M63">
            <v>77891.783553139801</v>
          </cell>
          <cell r="N63">
            <v>183983.52975411748</v>
          </cell>
          <cell r="O63">
            <v>213427.45711998371</v>
          </cell>
          <cell r="P63">
            <v>211784.92157479242</v>
          </cell>
          <cell r="Q63">
            <v>359396.6714189233</v>
          </cell>
        </row>
        <row r="75">
          <cell r="B75" t="str">
            <v>Cash flow from investing activities</v>
          </cell>
          <cell r="F75">
            <v>-824073</v>
          </cell>
          <cell r="G75">
            <v>-1338999</v>
          </cell>
          <cell r="H75">
            <v>-551080</v>
          </cell>
          <cell r="I75">
            <v>-296123</v>
          </cell>
          <cell r="J75">
            <v>-459100</v>
          </cell>
          <cell r="M75">
            <v>-279576.57792221307</v>
          </cell>
          <cell r="N75">
            <v>-401768.51295624336</v>
          </cell>
          <cell r="O75">
            <v>-991877.55699825264</v>
          </cell>
          <cell r="P75">
            <v>-1004383.2313385782</v>
          </cell>
          <cell r="Q75">
            <v>-1090540.2690413683</v>
          </cell>
        </row>
      </sheetData>
      <sheetData sheetId="3" refreshError="1"/>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GF Assumptions"/>
      <sheetName val="LGF Financials"/>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GRs - Data Pull (BB)"/>
      <sheetName val="CAGRs - Pasted (BB)"/>
      <sheetName val="Comps - Data Pull (BB)"/>
      <sheetName val="__FDSCACHE__"/>
      <sheetName val="PPT (Output)"/>
      <sheetName val="Bar Chart"/>
      <sheetName val="Comps (Manual)"/>
      <sheetName val="Comps - Pasted (BB)"/>
    </sheetNames>
    <sheetDataSet>
      <sheetData sheetId="0" refreshError="1"/>
      <sheetData sheetId="1" refreshError="1"/>
      <sheetData sheetId="2" refreshError="1"/>
      <sheetData sheetId="3" refreshError="1"/>
      <sheetData sheetId="4"/>
      <sheetData sheetId="5" refreshError="1"/>
      <sheetData sheetId="6"/>
      <sheetData sheetId="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PPT (Output)"/>
      <sheetName val="Bar Chart"/>
      <sheetName val="Comps (Manual)"/>
      <sheetName val="Comps - Data Pull (BB)"/>
      <sheetName val="Comps - Pasted (BB)"/>
      <sheetName val="CAGRs - Data Pull (BB)"/>
      <sheetName val="CAGRs - Pasted (BB)"/>
    </sheetNames>
    <sheetDataSet>
      <sheetData sheetId="0" refreshError="1"/>
      <sheetData sheetId="1"/>
      <sheetData sheetId="2" refreshError="1"/>
      <sheetData sheetId="3">
        <row r="6">
          <cell r="B6" t="str">
            <v>Take Two Interactive</v>
          </cell>
        </row>
      </sheetData>
      <sheetData sheetId="4">
        <row r="6">
          <cell r="AF6" t="e">
            <v>#NAME?</v>
          </cell>
          <cell r="AG6" t="e">
            <v>#NAME?</v>
          </cell>
          <cell r="AI6" t="e">
            <v>#NAME?</v>
          </cell>
          <cell r="AL6" t="e">
            <v>#NAME?</v>
          </cell>
          <cell r="AM6" t="e">
            <v>#NAME?</v>
          </cell>
          <cell r="AN6" t="e">
            <v>#NAME?</v>
          </cell>
          <cell r="AO6" t="e">
            <v>#NAME?</v>
          </cell>
          <cell r="AP6" t="e">
            <v>#NAME?</v>
          </cell>
          <cell r="AQ6" t="e">
            <v>#NAME?</v>
          </cell>
          <cell r="AR6" t="e">
            <v>#NAME?</v>
          </cell>
          <cell r="AS6" t="e">
            <v>#NAME?</v>
          </cell>
          <cell r="AT6" t="e">
            <v>#NAME?</v>
          </cell>
          <cell r="AU6" t="e">
            <v>#NAME?</v>
          </cell>
          <cell r="BE6" t="e">
            <v>#NAME?</v>
          </cell>
          <cell r="BH6" t="e">
            <v>#NAME?</v>
          </cell>
          <cell r="BI6" t="e">
            <v>#NAME?</v>
          </cell>
          <cell r="BJ6" t="e">
            <v>#NAME?</v>
          </cell>
          <cell r="BK6" t="e">
            <v>#NAME?</v>
          </cell>
          <cell r="BL6" t="e">
            <v>#NAME?</v>
          </cell>
          <cell r="BM6" t="e">
            <v>#NAME?</v>
          </cell>
          <cell r="BN6" t="e">
            <v>#NAME?</v>
          </cell>
          <cell r="BO6" t="e">
            <v>#NAME?</v>
          </cell>
          <cell r="BP6" t="e">
            <v>#NAME?</v>
          </cell>
          <cell r="BQ6" t="e">
            <v>#NAME?</v>
          </cell>
          <cell r="BR6" t="e">
            <v>#NAME?</v>
          </cell>
          <cell r="BS6" t="e">
            <v>#NAME?</v>
          </cell>
          <cell r="BT6" t="e">
            <v>#NAME?</v>
          </cell>
          <cell r="BU6" t="e">
            <v>#NAME?</v>
          </cell>
          <cell r="BV6" t="e">
            <v>#NAME?</v>
          </cell>
          <cell r="BW6" t="e">
            <v>#NAME?</v>
          </cell>
        </row>
        <row r="7">
          <cell r="AF7" t="e">
            <v>#NAME?</v>
          </cell>
          <cell r="AG7" t="e">
            <v>#NAME?</v>
          </cell>
          <cell r="AI7" t="e">
            <v>#NAME?</v>
          </cell>
          <cell r="AL7" t="e">
            <v>#NAME?</v>
          </cell>
          <cell r="AM7" t="e">
            <v>#NAME?</v>
          </cell>
          <cell r="AN7" t="e">
            <v>#NAME?</v>
          </cell>
          <cell r="AO7" t="e">
            <v>#NAME?</v>
          </cell>
          <cell r="AP7" t="e">
            <v>#NAME?</v>
          </cell>
          <cell r="AQ7" t="e">
            <v>#NAME?</v>
          </cell>
          <cell r="AR7" t="e">
            <v>#NAME?</v>
          </cell>
          <cell r="AS7" t="e">
            <v>#NAME?</v>
          </cell>
          <cell r="AT7" t="e">
            <v>#NAME?</v>
          </cell>
          <cell r="AU7" t="e">
            <v>#NAME?</v>
          </cell>
          <cell r="BE7" t="e">
            <v>#NAME?</v>
          </cell>
          <cell r="BH7" t="e">
            <v>#NAME?</v>
          </cell>
          <cell r="BI7" t="e">
            <v>#NAME?</v>
          </cell>
          <cell r="BJ7" t="e">
            <v>#NAME?</v>
          </cell>
          <cell r="BK7" t="e">
            <v>#NAME?</v>
          </cell>
          <cell r="BL7" t="e">
            <v>#NAME?</v>
          </cell>
          <cell r="BM7" t="e">
            <v>#NAME?</v>
          </cell>
          <cell r="BN7" t="e">
            <v>#NAME?</v>
          </cell>
          <cell r="BO7" t="e">
            <v>#NAME?</v>
          </cell>
          <cell r="BP7" t="e">
            <v>#NAME?</v>
          </cell>
          <cell r="BQ7" t="e">
            <v>#NAME?</v>
          </cell>
          <cell r="BR7" t="e">
            <v>#NAME?</v>
          </cell>
          <cell r="BS7" t="e">
            <v>#NAME?</v>
          </cell>
          <cell r="BT7" t="e">
            <v>#NAME?</v>
          </cell>
          <cell r="BU7" t="e">
            <v>#NAME?</v>
          </cell>
          <cell r="BV7" t="e">
            <v>#NAME?</v>
          </cell>
          <cell r="BW7" t="e">
            <v>#NAME?</v>
          </cell>
        </row>
        <row r="8">
          <cell r="AF8" t="e">
            <v>#NAME?</v>
          </cell>
          <cell r="AG8" t="e">
            <v>#NAME?</v>
          </cell>
          <cell r="AI8" t="e">
            <v>#NAME?</v>
          </cell>
          <cell r="AL8" t="e">
            <v>#NAME?</v>
          </cell>
          <cell r="AM8" t="e">
            <v>#NAME?</v>
          </cell>
          <cell r="AN8" t="e">
            <v>#NAME?</v>
          </cell>
          <cell r="AO8" t="e">
            <v>#NAME?</v>
          </cell>
          <cell r="AP8" t="e">
            <v>#NAME?</v>
          </cell>
          <cell r="AQ8" t="e">
            <v>#NAME?</v>
          </cell>
          <cell r="AR8" t="e">
            <v>#NAME?</v>
          </cell>
          <cell r="AS8" t="e">
            <v>#NAME?</v>
          </cell>
          <cell r="AT8" t="e">
            <v>#NAME?</v>
          </cell>
          <cell r="AU8" t="e">
            <v>#NAME?</v>
          </cell>
          <cell r="BE8" t="e">
            <v>#NAME?</v>
          </cell>
          <cell r="BH8" t="e">
            <v>#NAME?</v>
          </cell>
          <cell r="BI8" t="e">
            <v>#NAME?</v>
          </cell>
          <cell r="BJ8" t="e">
            <v>#NAME?</v>
          </cell>
          <cell r="BK8" t="e">
            <v>#NAME?</v>
          </cell>
          <cell r="BL8" t="e">
            <v>#NAME?</v>
          </cell>
          <cell r="BM8" t="e">
            <v>#NAME?</v>
          </cell>
          <cell r="BN8" t="e">
            <v>#NAME?</v>
          </cell>
          <cell r="BO8" t="e">
            <v>#NAME?</v>
          </cell>
          <cell r="BP8" t="e">
            <v>#NAME?</v>
          </cell>
          <cell r="BQ8" t="e">
            <v>#NAME?</v>
          </cell>
          <cell r="BR8" t="e">
            <v>#NAME?</v>
          </cell>
          <cell r="BS8" t="e">
            <v>#NAME?</v>
          </cell>
          <cell r="BT8" t="e">
            <v>#NAME?</v>
          </cell>
          <cell r="BU8" t="e">
            <v>#NAME?</v>
          </cell>
          <cell r="BV8" t="e">
            <v>#NAME?</v>
          </cell>
          <cell r="BW8" t="e">
            <v>#NAME?</v>
          </cell>
        </row>
        <row r="9">
          <cell r="AF9" t="e">
            <v>#NAME?</v>
          </cell>
          <cell r="AG9" t="e">
            <v>#NAME?</v>
          </cell>
          <cell r="AI9" t="e">
            <v>#NAME?</v>
          </cell>
          <cell r="AL9" t="e">
            <v>#NAME?</v>
          </cell>
          <cell r="AM9" t="e">
            <v>#NAME?</v>
          </cell>
          <cell r="AN9" t="e">
            <v>#NAME?</v>
          </cell>
          <cell r="AO9" t="e">
            <v>#NAME?</v>
          </cell>
          <cell r="AP9" t="e">
            <v>#NAME?</v>
          </cell>
          <cell r="AQ9" t="e">
            <v>#NAME?</v>
          </cell>
          <cell r="AR9" t="e">
            <v>#NAME?</v>
          </cell>
          <cell r="AS9" t="e">
            <v>#NAME?</v>
          </cell>
          <cell r="AT9" t="e">
            <v>#NAME?</v>
          </cell>
          <cell r="AU9" t="e">
            <v>#NAME?</v>
          </cell>
          <cell r="BE9" t="e">
            <v>#NAME?</v>
          </cell>
          <cell r="BH9" t="e">
            <v>#NAME?</v>
          </cell>
          <cell r="BI9" t="e">
            <v>#NAME?</v>
          </cell>
          <cell r="BJ9" t="e">
            <v>#NAME?</v>
          </cell>
          <cell r="BK9" t="e">
            <v>#NAME?</v>
          </cell>
          <cell r="BL9" t="e">
            <v>#NAME?</v>
          </cell>
          <cell r="BM9" t="e">
            <v>#NAME?</v>
          </cell>
          <cell r="BN9" t="e">
            <v>#NAME?</v>
          </cell>
          <cell r="BO9" t="e">
            <v>#NAME?</v>
          </cell>
          <cell r="BP9" t="e">
            <v>#NAME?</v>
          </cell>
          <cell r="BQ9" t="e">
            <v>#NAME?</v>
          </cell>
          <cell r="BR9" t="e">
            <v>#NAME?</v>
          </cell>
          <cell r="BS9" t="e">
            <v>#NAME?</v>
          </cell>
          <cell r="BT9" t="e">
            <v>#NAME?</v>
          </cell>
          <cell r="BU9" t="e">
            <v>#NAME?</v>
          </cell>
          <cell r="BV9" t="e">
            <v>#NAME?</v>
          </cell>
          <cell r="BW9" t="e">
            <v>#NAME?</v>
          </cell>
        </row>
        <row r="10">
          <cell r="AF10" t="e">
            <v>#NAME?</v>
          </cell>
          <cell r="AG10" t="e">
            <v>#NAME?</v>
          </cell>
          <cell r="AI10" t="e">
            <v>#NAME?</v>
          </cell>
          <cell r="AL10" t="e">
            <v>#NAME?</v>
          </cell>
          <cell r="AM10" t="e">
            <v>#NAME?</v>
          </cell>
          <cell r="AN10" t="e">
            <v>#NAME?</v>
          </cell>
          <cell r="AO10" t="e">
            <v>#NAME?</v>
          </cell>
          <cell r="AP10" t="e">
            <v>#NAME?</v>
          </cell>
          <cell r="AQ10" t="e">
            <v>#NAME?</v>
          </cell>
          <cell r="AR10" t="e">
            <v>#NAME?</v>
          </cell>
          <cell r="AS10" t="e">
            <v>#NAME?</v>
          </cell>
          <cell r="AT10" t="e">
            <v>#NAME?</v>
          </cell>
          <cell r="AU10" t="e">
            <v>#NAME?</v>
          </cell>
          <cell r="BE10" t="e">
            <v>#NAME?</v>
          </cell>
          <cell r="BH10" t="e">
            <v>#NAME?</v>
          </cell>
          <cell r="BI10" t="e">
            <v>#NAME?</v>
          </cell>
          <cell r="BJ10" t="e">
            <v>#NAME?</v>
          </cell>
          <cell r="BK10" t="e">
            <v>#NAME?</v>
          </cell>
          <cell r="BL10" t="e">
            <v>#NAME?</v>
          </cell>
          <cell r="BM10" t="e">
            <v>#NAME?</v>
          </cell>
          <cell r="BN10" t="e">
            <v>#NAME?</v>
          </cell>
          <cell r="BO10" t="e">
            <v>#NAME?</v>
          </cell>
          <cell r="BP10" t="e">
            <v>#NAME?</v>
          </cell>
          <cell r="BQ10" t="e">
            <v>#NAME?</v>
          </cell>
          <cell r="BR10" t="e">
            <v>#NAME?</v>
          </cell>
          <cell r="BS10" t="e">
            <v>#NAME?</v>
          </cell>
          <cell r="BT10" t="e">
            <v>#NAME?</v>
          </cell>
          <cell r="BU10" t="e">
            <v>#NAME?</v>
          </cell>
          <cell r="BV10" t="e">
            <v>#NAME?</v>
          </cell>
          <cell r="BW10" t="e">
            <v>#NAME?</v>
          </cell>
        </row>
        <row r="11">
          <cell r="AF11" t="e">
            <v>#NAME?</v>
          </cell>
          <cell r="AG11" t="e">
            <v>#NAME?</v>
          </cell>
          <cell r="AI11" t="e">
            <v>#NAME?</v>
          </cell>
          <cell r="AL11" t="e">
            <v>#NAME?</v>
          </cell>
          <cell r="AM11" t="e">
            <v>#NAME?</v>
          </cell>
          <cell r="AN11" t="e">
            <v>#NAME?</v>
          </cell>
          <cell r="AO11" t="e">
            <v>#NAME?</v>
          </cell>
          <cell r="AP11" t="e">
            <v>#NAME?</v>
          </cell>
          <cell r="AQ11" t="e">
            <v>#NAME?</v>
          </cell>
          <cell r="AR11" t="e">
            <v>#NAME?</v>
          </cell>
          <cell r="AS11" t="e">
            <v>#NAME?</v>
          </cell>
          <cell r="AT11" t="e">
            <v>#NAME?</v>
          </cell>
          <cell r="AU11" t="e">
            <v>#NAME?</v>
          </cell>
          <cell r="BE11" t="e">
            <v>#NAME?</v>
          </cell>
          <cell r="BH11" t="e">
            <v>#NAME?</v>
          </cell>
          <cell r="BI11" t="e">
            <v>#NAME?</v>
          </cell>
          <cell r="BJ11" t="e">
            <v>#NAME?</v>
          </cell>
          <cell r="BK11" t="e">
            <v>#NAME?</v>
          </cell>
          <cell r="BL11" t="e">
            <v>#NAME?</v>
          </cell>
          <cell r="BM11" t="e">
            <v>#NAME?</v>
          </cell>
          <cell r="BN11" t="e">
            <v>#NAME?</v>
          </cell>
          <cell r="BO11" t="e">
            <v>#NAME?</v>
          </cell>
          <cell r="BP11" t="e">
            <v>#NAME?</v>
          </cell>
          <cell r="BQ11" t="e">
            <v>#NAME?</v>
          </cell>
          <cell r="BR11" t="e">
            <v>#NAME?</v>
          </cell>
          <cell r="BS11" t="e">
            <v>#NAME?</v>
          </cell>
          <cell r="BT11" t="e">
            <v>#NAME?</v>
          </cell>
          <cell r="BU11" t="e">
            <v>#NAME?</v>
          </cell>
          <cell r="BV11" t="e">
            <v>#NAME?</v>
          </cell>
          <cell r="BW11" t="e">
            <v>#NAME?</v>
          </cell>
        </row>
        <row r="12">
          <cell r="AF12" t="e">
            <v>#NAME?</v>
          </cell>
          <cell r="AG12" t="e">
            <v>#NAME?</v>
          </cell>
          <cell r="AI12" t="e">
            <v>#NAME?</v>
          </cell>
          <cell r="AL12" t="e">
            <v>#NAME?</v>
          </cell>
          <cell r="AM12" t="e">
            <v>#NAME?</v>
          </cell>
          <cell r="AN12" t="e">
            <v>#NAME?</v>
          </cell>
          <cell r="AO12" t="e">
            <v>#NAME?</v>
          </cell>
          <cell r="AP12" t="e">
            <v>#NAME?</v>
          </cell>
          <cell r="AQ12" t="e">
            <v>#NAME?</v>
          </cell>
          <cell r="AR12" t="e">
            <v>#NAME?</v>
          </cell>
          <cell r="AS12" t="e">
            <v>#NAME?</v>
          </cell>
          <cell r="AT12" t="e">
            <v>#NAME?</v>
          </cell>
          <cell r="AU12" t="e">
            <v>#NAME?</v>
          </cell>
          <cell r="BE12" t="e">
            <v>#NAME?</v>
          </cell>
          <cell r="BH12" t="e">
            <v>#NAME?</v>
          </cell>
          <cell r="BI12" t="e">
            <v>#NAME?</v>
          </cell>
          <cell r="BJ12" t="e">
            <v>#NAME?</v>
          </cell>
          <cell r="BK12" t="e">
            <v>#NAME?</v>
          </cell>
          <cell r="BL12" t="e">
            <v>#NAME?</v>
          </cell>
          <cell r="BM12" t="e">
            <v>#NAME?</v>
          </cell>
          <cell r="BN12" t="e">
            <v>#NAME?</v>
          </cell>
          <cell r="BO12" t="e">
            <v>#NAME?</v>
          </cell>
          <cell r="BP12" t="e">
            <v>#NAME?</v>
          </cell>
          <cell r="BQ12" t="e">
            <v>#NAME?</v>
          </cell>
          <cell r="BR12" t="e">
            <v>#NAME?</v>
          </cell>
          <cell r="BS12" t="e">
            <v>#NAME?</v>
          </cell>
          <cell r="BT12" t="e">
            <v>#NAME?</v>
          </cell>
          <cell r="BU12" t="e">
            <v>#NAME?</v>
          </cell>
          <cell r="BV12" t="e">
            <v>#NAME?</v>
          </cell>
          <cell r="BW12" t="e">
            <v>#NAME?</v>
          </cell>
        </row>
        <row r="14">
          <cell r="AF14" t="e">
            <v>#NAME?</v>
          </cell>
          <cell r="AG14" t="e">
            <v>#NAME?</v>
          </cell>
          <cell r="AI14" t="e">
            <v>#NAME?</v>
          </cell>
          <cell r="AL14" t="e">
            <v>#NAME?</v>
          </cell>
          <cell r="AM14" t="e">
            <v>#NAME?</v>
          </cell>
          <cell r="AN14" t="e">
            <v>#NAME?</v>
          </cell>
          <cell r="AO14" t="e">
            <v>#NAME?</v>
          </cell>
          <cell r="AP14" t="e">
            <v>#NAME?</v>
          </cell>
          <cell r="AQ14" t="e">
            <v>#NAME?</v>
          </cell>
          <cell r="AR14" t="e">
            <v>#NAME?</v>
          </cell>
          <cell r="AS14" t="e">
            <v>#NAME?</v>
          </cell>
          <cell r="AT14" t="e">
            <v>#NAME?</v>
          </cell>
          <cell r="AU14" t="e">
            <v>#NAME?</v>
          </cell>
          <cell r="BE14" t="e">
            <v>#NAME?</v>
          </cell>
          <cell r="BH14" t="e">
            <v>#NAME?</v>
          </cell>
          <cell r="BI14" t="e">
            <v>#NAME?</v>
          </cell>
          <cell r="BJ14" t="e">
            <v>#NAME?</v>
          </cell>
          <cell r="BK14" t="e">
            <v>#NAME?</v>
          </cell>
          <cell r="BL14" t="e">
            <v>#NAME?</v>
          </cell>
          <cell r="BM14" t="e">
            <v>#NAME?</v>
          </cell>
          <cell r="BN14" t="e">
            <v>#NAME?</v>
          </cell>
          <cell r="BO14" t="e">
            <v>#NAME?</v>
          </cell>
          <cell r="BP14" t="e">
            <v>#NAME?</v>
          </cell>
          <cell r="BQ14" t="e">
            <v>#NAME?</v>
          </cell>
          <cell r="BR14" t="e">
            <v>#NAME?</v>
          </cell>
          <cell r="BS14" t="e">
            <v>#NAME?</v>
          </cell>
          <cell r="BT14" t="e">
            <v>#NAME?</v>
          </cell>
          <cell r="BU14" t="e">
            <v>#NAME?</v>
          </cell>
          <cell r="BV14" t="e">
            <v>#NAME?</v>
          </cell>
          <cell r="BW14" t="e">
            <v>#NAME?</v>
          </cell>
        </row>
        <row r="15">
          <cell r="AF15" t="e">
            <v>#NAME?</v>
          </cell>
          <cell r="AG15" t="e">
            <v>#NAME?</v>
          </cell>
          <cell r="AI15" t="e">
            <v>#NAME?</v>
          </cell>
          <cell r="AL15" t="e">
            <v>#NAME?</v>
          </cell>
          <cell r="AM15" t="e">
            <v>#NAME?</v>
          </cell>
          <cell r="AN15" t="e">
            <v>#NAME?</v>
          </cell>
          <cell r="AO15" t="e">
            <v>#NAME?</v>
          </cell>
          <cell r="AP15" t="e">
            <v>#NAME?</v>
          </cell>
          <cell r="AQ15" t="e">
            <v>#NAME?</v>
          </cell>
          <cell r="AR15" t="e">
            <v>#NAME?</v>
          </cell>
          <cell r="AS15" t="e">
            <v>#NAME?</v>
          </cell>
          <cell r="AT15" t="e">
            <v>#NAME?</v>
          </cell>
          <cell r="AU15" t="e">
            <v>#NAME?</v>
          </cell>
          <cell r="BE15" t="e">
            <v>#NAME?</v>
          </cell>
          <cell r="BH15" t="e">
            <v>#NAME?</v>
          </cell>
          <cell r="BI15" t="e">
            <v>#NAME?</v>
          </cell>
          <cell r="BJ15" t="e">
            <v>#NAME?</v>
          </cell>
          <cell r="BK15" t="e">
            <v>#NAME?</v>
          </cell>
          <cell r="BL15" t="e">
            <v>#NAME?</v>
          </cell>
          <cell r="BM15" t="e">
            <v>#NAME?</v>
          </cell>
          <cell r="BN15" t="e">
            <v>#NAME?</v>
          </cell>
          <cell r="BO15" t="e">
            <v>#NAME?</v>
          </cell>
          <cell r="BP15" t="e">
            <v>#NAME?</v>
          </cell>
          <cell r="BQ15" t="e">
            <v>#NAME?</v>
          </cell>
          <cell r="BR15" t="e">
            <v>#NAME?</v>
          </cell>
          <cell r="BS15" t="e">
            <v>#NAME?</v>
          </cell>
          <cell r="BT15" t="e">
            <v>#NAME?</v>
          </cell>
          <cell r="BU15" t="e">
            <v>#NAME?</v>
          </cell>
          <cell r="BV15" t="e">
            <v>#NAME?</v>
          </cell>
          <cell r="BW15" t="e">
            <v>#NAME?</v>
          </cell>
        </row>
        <row r="16">
          <cell r="AF16" t="e">
            <v>#NAME?</v>
          </cell>
          <cell r="AG16" t="e">
            <v>#NAME?</v>
          </cell>
          <cell r="AI16" t="e">
            <v>#NAME?</v>
          </cell>
          <cell r="AL16" t="e">
            <v>#NAME?</v>
          </cell>
          <cell r="AM16" t="e">
            <v>#NAME?</v>
          </cell>
          <cell r="AN16" t="e">
            <v>#NAME?</v>
          </cell>
          <cell r="AO16" t="e">
            <v>#NAME?</v>
          </cell>
          <cell r="AP16" t="e">
            <v>#NAME?</v>
          </cell>
          <cell r="AQ16" t="e">
            <v>#NAME?</v>
          </cell>
          <cell r="AR16" t="e">
            <v>#NAME?</v>
          </cell>
          <cell r="AS16" t="e">
            <v>#NAME?</v>
          </cell>
          <cell r="AT16" t="e">
            <v>#NAME?</v>
          </cell>
          <cell r="AU16" t="e">
            <v>#NAME?</v>
          </cell>
          <cell r="BE16" t="e">
            <v>#NAME?</v>
          </cell>
          <cell r="BH16" t="e">
            <v>#NAME?</v>
          </cell>
          <cell r="BI16" t="e">
            <v>#NAME?</v>
          </cell>
          <cell r="BJ16" t="e">
            <v>#NAME?</v>
          </cell>
          <cell r="BK16" t="e">
            <v>#NAME?</v>
          </cell>
          <cell r="BL16" t="e">
            <v>#NAME?</v>
          </cell>
          <cell r="BM16" t="e">
            <v>#NAME?</v>
          </cell>
          <cell r="BN16" t="e">
            <v>#NAME?</v>
          </cell>
          <cell r="BO16" t="e">
            <v>#NAME?</v>
          </cell>
          <cell r="BP16" t="e">
            <v>#NAME?</v>
          </cell>
          <cell r="BQ16" t="e">
            <v>#NAME?</v>
          </cell>
          <cell r="BR16" t="e">
            <v>#NAME?</v>
          </cell>
          <cell r="BS16" t="e">
            <v>#NAME?</v>
          </cell>
          <cell r="BT16" t="e">
            <v>#NAME?</v>
          </cell>
          <cell r="BU16" t="e">
            <v>#NAME?</v>
          </cell>
          <cell r="BV16" t="e">
            <v>#NAME?</v>
          </cell>
          <cell r="BW16" t="e">
            <v>#NAME?</v>
          </cell>
        </row>
        <row r="17">
          <cell r="AF17" t="e">
            <v>#NAME?</v>
          </cell>
          <cell r="AG17" t="e">
            <v>#NAME?</v>
          </cell>
          <cell r="AI17" t="e">
            <v>#NAME?</v>
          </cell>
          <cell r="AL17" t="e">
            <v>#NAME?</v>
          </cell>
          <cell r="AM17" t="e">
            <v>#NAME?</v>
          </cell>
          <cell r="AN17" t="e">
            <v>#NAME?</v>
          </cell>
          <cell r="AO17" t="e">
            <v>#NAME?</v>
          </cell>
          <cell r="AP17" t="e">
            <v>#NAME?</v>
          </cell>
          <cell r="AQ17" t="e">
            <v>#NAME?</v>
          </cell>
          <cell r="AR17" t="e">
            <v>#NAME?</v>
          </cell>
          <cell r="AS17" t="e">
            <v>#NAME?</v>
          </cell>
          <cell r="AT17" t="e">
            <v>#NAME?</v>
          </cell>
          <cell r="AU17" t="e">
            <v>#NAME?</v>
          </cell>
          <cell r="BE17" t="e">
            <v>#NAME?</v>
          </cell>
          <cell r="BH17" t="e">
            <v>#NAME?</v>
          </cell>
          <cell r="BI17" t="e">
            <v>#NAME?</v>
          </cell>
          <cell r="BJ17" t="e">
            <v>#NAME?</v>
          </cell>
          <cell r="BK17" t="e">
            <v>#NAME?</v>
          </cell>
          <cell r="BL17" t="e">
            <v>#NAME?</v>
          </cell>
          <cell r="BM17" t="e">
            <v>#NAME?</v>
          </cell>
          <cell r="BN17" t="e">
            <v>#NAME?</v>
          </cell>
          <cell r="BO17" t="e">
            <v>#NAME?</v>
          </cell>
          <cell r="BP17" t="e">
            <v>#NAME?</v>
          </cell>
          <cell r="BQ17" t="e">
            <v>#NAME?</v>
          </cell>
          <cell r="BR17" t="e">
            <v>#NAME?</v>
          </cell>
          <cell r="BS17" t="e">
            <v>#NAME?</v>
          </cell>
          <cell r="BT17" t="e">
            <v>#NAME?</v>
          </cell>
          <cell r="BU17" t="e">
            <v>#NAME?</v>
          </cell>
          <cell r="BV17" t="e">
            <v>#NAME?</v>
          </cell>
          <cell r="BW17" t="e">
            <v>#NAME?</v>
          </cell>
        </row>
        <row r="18">
          <cell r="AF18" t="e">
            <v>#NAME?</v>
          </cell>
          <cell r="AG18" t="e">
            <v>#NAME?</v>
          </cell>
          <cell r="AI18" t="e">
            <v>#NAME?</v>
          </cell>
          <cell r="AL18" t="e">
            <v>#NAME?</v>
          </cell>
          <cell r="AM18" t="e">
            <v>#NAME?</v>
          </cell>
          <cell r="AN18" t="e">
            <v>#NAME?</v>
          </cell>
          <cell r="AO18" t="e">
            <v>#NAME?</v>
          </cell>
          <cell r="AP18" t="e">
            <v>#NAME?</v>
          </cell>
          <cell r="AQ18" t="e">
            <v>#NAME?</v>
          </cell>
          <cell r="AR18" t="e">
            <v>#NAME?</v>
          </cell>
          <cell r="AS18" t="e">
            <v>#NAME?</v>
          </cell>
          <cell r="AT18" t="e">
            <v>#NAME?</v>
          </cell>
          <cell r="AU18" t="e">
            <v>#NAME?</v>
          </cell>
          <cell r="BE18" t="e">
            <v>#NAME?</v>
          </cell>
          <cell r="BH18" t="e">
            <v>#NAME?</v>
          </cell>
          <cell r="BI18" t="e">
            <v>#NAME?</v>
          </cell>
          <cell r="BJ18" t="e">
            <v>#NAME?</v>
          </cell>
          <cell r="BK18" t="e">
            <v>#NAME?</v>
          </cell>
          <cell r="BL18" t="e">
            <v>#NAME?</v>
          </cell>
          <cell r="BM18" t="e">
            <v>#NAME?</v>
          </cell>
          <cell r="BN18" t="e">
            <v>#NAME?</v>
          </cell>
          <cell r="BO18" t="e">
            <v>#NAME?</v>
          </cell>
          <cell r="BP18" t="e">
            <v>#NAME?</v>
          </cell>
          <cell r="BQ18" t="e">
            <v>#NAME?</v>
          </cell>
          <cell r="BR18" t="e">
            <v>#NAME?</v>
          </cell>
          <cell r="BS18" t="e">
            <v>#NAME?</v>
          </cell>
          <cell r="BT18" t="e">
            <v>#NAME?</v>
          </cell>
          <cell r="BU18" t="e">
            <v>#NAME?</v>
          </cell>
          <cell r="BV18" t="e">
            <v>#NAME?</v>
          </cell>
          <cell r="BW18" t="e">
            <v>#NAME?</v>
          </cell>
        </row>
        <row r="19">
          <cell r="AF19" t="e">
            <v>#NAME?</v>
          </cell>
          <cell r="AG19" t="e">
            <v>#NAME?</v>
          </cell>
          <cell r="AI19" t="e">
            <v>#NAME?</v>
          </cell>
          <cell r="AL19" t="e">
            <v>#NAME?</v>
          </cell>
          <cell r="AM19" t="e">
            <v>#NAME?</v>
          </cell>
          <cell r="AN19" t="e">
            <v>#NAME?</v>
          </cell>
          <cell r="AO19" t="e">
            <v>#NAME?</v>
          </cell>
          <cell r="AP19" t="e">
            <v>#NAME?</v>
          </cell>
          <cell r="AQ19" t="e">
            <v>#NAME?</v>
          </cell>
          <cell r="AR19" t="e">
            <v>#NAME?</v>
          </cell>
          <cell r="AS19" t="e">
            <v>#NAME?</v>
          </cell>
          <cell r="AT19" t="e">
            <v>#NAME?</v>
          </cell>
          <cell r="AU19" t="e">
            <v>#NAME?</v>
          </cell>
          <cell r="BE19" t="e">
            <v>#NAME?</v>
          </cell>
          <cell r="BH19" t="e">
            <v>#NAME?</v>
          </cell>
          <cell r="BI19" t="e">
            <v>#NAME?</v>
          </cell>
          <cell r="BJ19" t="e">
            <v>#NAME?</v>
          </cell>
          <cell r="BK19" t="e">
            <v>#NAME?</v>
          </cell>
          <cell r="BL19" t="e">
            <v>#NAME?</v>
          </cell>
          <cell r="BM19" t="e">
            <v>#NAME?</v>
          </cell>
          <cell r="BN19" t="e">
            <v>#NAME?</v>
          </cell>
          <cell r="BO19" t="e">
            <v>#NAME?</v>
          </cell>
          <cell r="BP19" t="e">
            <v>#NAME?</v>
          </cell>
          <cell r="BQ19" t="e">
            <v>#NAME?</v>
          </cell>
          <cell r="BR19" t="e">
            <v>#NAME?</v>
          </cell>
          <cell r="BS19" t="e">
            <v>#NAME?</v>
          </cell>
          <cell r="BT19" t="e">
            <v>#NAME?</v>
          </cell>
          <cell r="BU19" t="e">
            <v>#NAME?</v>
          </cell>
          <cell r="BV19" t="e">
            <v>#NAME?</v>
          </cell>
          <cell r="BW19" t="e">
            <v>#NAME?</v>
          </cell>
        </row>
        <row r="21">
          <cell r="AF21" t="e">
            <v>#NAME?</v>
          </cell>
          <cell r="AG21" t="e">
            <v>#NAME?</v>
          </cell>
          <cell r="AI21" t="e">
            <v>#NAME?</v>
          </cell>
          <cell r="AL21" t="e">
            <v>#NAME?</v>
          </cell>
          <cell r="AM21" t="e">
            <v>#NAME?</v>
          </cell>
          <cell r="AN21" t="e">
            <v>#NAME?</v>
          </cell>
          <cell r="AO21" t="e">
            <v>#NAME?</v>
          </cell>
          <cell r="AP21" t="e">
            <v>#NAME?</v>
          </cell>
          <cell r="AQ21" t="e">
            <v>#NAME?</v>
          </cell>
          <cell r="AR21" t="e">
            <v>#NAME?</v>
          </cell>
          <cell r="AS21" t="e">
            <v>#NAME?</v>
          </cell>
          <cell r="AT21" t="e">
            <v>#NAME?</v>
          </cell>
          <cell r="AU21" t="e">
            <v>#NAME?</v>
          </cell>
          <cell r="BE21" t="e">
            <v>#NAME?</v>
          </cell>
          <cell r="BH21" t="e">
            <v>#NAME?</v>
          </cell>
          <cell r="BI21" t="e">
            <v>#NAME?</v>
          </cell>
          <cell r="BJ21" t="e">
            <v>#NAME?</v>
          </cell>
          <cell r="BK21" t="e">
            <v>#NAME?</v>
          </cell>
          <cell r="BL21" t="e">
            <v>#NAME?</v>
          </cell>
          <cell r="BM21" t="e">
            <v>#NAME?</v>
          </cell>
          <cell r="BN21" t="e">
            <v>#NAME?</v>
          </cell>
          <cell r="BO21" t="e">
            <v>#NAME?</v>
          </cell>
          <cell r="BP21" t="e">
            <v>#NAME?</v>
          </cell>
          <cell r="BQ21" t="e">
            <v>#NAME?</v>
          </cell>
          <cell r="BR21" t="e">
            <v>#NAME?</v>
          </cell>
          <cell r="BS21" t="e">
            <v>#NAME?</v>
          </cell>
          <cell r="BT21" t="e">
            <v>#NAME?</v>
          </cell>
          <cell r="BU21" t="e">
            <v>#NAME?</v>
          </cell>
          <cell r="BV21" t="e">
            <v>#NAME?</v>
          </cell>
          <cell r="BW21" t="e">
            <v>#NAME?</v>
          </cell>
        </row>
        <row r="22">
          <cell r="AF22" t="e">
            <v>#NAME?</v>
          </cell>
          <cell r="AG22" t="e">
            <v>#NAME?</v>
          </cell>
          <cell r="AI22" t="e">
            <v>#NAME?</v>
          </cell>
          <cell r="AL22" t="e">
            <v>#NAME?</v>
          </cell>
          <cell r="AM22" t="e">
            <v>#NAME?</v>
          </cell>
          <cell r="AN22" t="e">
            <v>#NAME?</v>
          </cell>
          <cell r="AO22" t="e">
            <v>#NAME?</v>
          </cell>
          <cell r="AP22" t="e">
            <v>#NAME?</v>
          </cell>
          <cell r="AQ22" t="e">
            <v>#NAME?</v>
          </cell>
          <cell r="AR22" t="e">
            <v>#NAME?</v>
          </cell>
          <cell r="AS22" t="e">
            <v>#NAME?</v>
          </cell>
          <cell r="AT22" t="e">
            <v>#NAME?</v>
          </cell>
          <cell r="AU22" t="e">
            <v>#NAME?</v>
          </cell>
          <cell r="BE22" t="e">
            <v>#NAME?</v>
          </cell>
          <cell r="BH22" t="e">
            <v>#NAME?</v>
          </cell>
          <cell r="BI22" t="e">
            <v>#NAME?</v>
          </cell>
          <cell r="BJ22" t="e">
            <v>#NAME?</v>
          </cell>
          <cell r="BK22" t="e">
            <v>#NAME?</v>
          </cell>
          <cell r="BL22" t="e">
            <v>#NAME?</v>
          </cell>
          <cell r="BM22" t="e">
            <v>#NAME?</v>
          </cell>
          <cell r="BN22" t="e">
            <v>#NAME?</v>
          </cell>
          <cell r="BO22" t="e">
            <v>#NAME?</v>
          </cell>
          <cell r="BP22" t="e">
            <v>#NAME?</v>
          </cell>
          <cell r="BQ22" t="e">
            <v>#NAME?</v>
          </cell>
          <cell r="BR22" t="e">
            <v>#NAME?</v>
          </cell>
          <cell r="BS22" t="e">
            <v>#NAME?</v>
          </cell>
          <cell r="BT22" t="e">
            <v>#NAME?</v>
          </cell>
          <cell r="BU22" t="e">
            <v>#NAME?</v>
          </cell>
          <cell r="BV22" t="e">
            <v>#NAME?</v>
          </cell>
          <cell r="BW22" t="e">
            <v>#NAME?</v>
          </cell>
        </row>
        <row r="23">
          <cell r="AF23" t="e">
            <v>#NAME?</v>
          </cell>
          <cell r="AG23" t="e">
            <v>#NAME?</v>
          </cell>
          <cell r="AI23" t="e">
            <v>#NAME?</v>
          </cell>
          <cell r="AL23" t="e">
            <v>#NAME?</v>
          </cell>
          <cell r="AM23" t="e">
            <v>#NAME?</v>
          </cell>
          <cell r="AN23" t="e">
            <v>#NAME?</v>
          </cell>
          <cell r="AO23" t="e">
            <v>#NAME?</v>
          </cell>
          <cell r="AP23" t="e">
            <v>#NAME?</v>
          </cell>
          <cell r="AQ23" t="e">
            <v>#NAME?</v>
          </cell>
          <cell r="AR23" t="e">
            <v>#NAME?</v>
          </cell>
          <cell r="AS23" t="e">
            <v>#NAME?</v>
          </cell>
          <cell r="AT23" t="e">
            <v>#NAME?</v>
          </cell>
          <cell r="AU23" t="e">
            <v>#NAME?</v>
          </cell>
          <cell r="BE23" t="e">
            <v>#NAME?</v>
          </cell>
          <cell r="BH23" t="e">
            <v>#NAME?</v>
          </cell>
          <cell r="BI23" t="e">
            <v>#NAME?</v>
          </cell>
          <cell r="BJ23" t="e">
            <v>#NAME?</v>
          </cell>
          <cell r="BK23" t="e">
            <v>#NAME?</v>
          </cell>
          <cell r="BL23" t="e">
            <v>#NAME?</v>
          </cell>
          <cell r="BM23" t="e">
            <v>#NAME?</v>
          </cell>
          <cell r="BN23" t="e">
            <v>#NAME?</v>
          </cell>
          <cell r="BO23" t="e">
            <v>#NAME?</v>
          </cell>
          <cell r="BP23" t="e">
            <v>#NAME?</v>
          </cell>
          <cell r="BQ23" t="e">
            <v>#NAME?</v>
          </cell>
          <cell r="BR23" t="e">
            <v>#NAME?</v>
          </cell>
          <cell r="BS23" t="e">
            <v>#NAME?</v>
          </cell>
          <cell r="BT23" t="e">
            <v>#NAME?</v>
          </cell>
          <cell r="BU23" t="e">
            <v>#NAME?</v>
          </cell>
          <cell r="BV23" t="e">
            <v>#NAME?</v>
          </cell>
          <cell r="BW23" t="e">
            <v>#NAME?</v>
          </cell>
        </row>
        <row r="24">
          <cell r="AF24" t="e">
            <v>#NAME?</v>
          </cell>
          <cell r="AG24" t="e">
            <v>#NAME?</v>
          </cell>
          <cell r="AI24" t="e">
            <v>#NAME?</v>
          </cell>
          <cell r="AL24" t="e">
            <v>#NAME?</v>
          </cell>
          <cell r="AM24" t="e">
            <v>#NAME?</v>
          </cell>
          <cell r="AN24" t="e">
            <v>#NAME?</v>
          </cell>
          <cell r="AO24" t="e">
            <v>#NAME?</v>
          </cell>
          <cell r="AP24" t="e">
            <v>#NAME?</v>
          </cell>
          <cell r="AQ24" t="e">
            <v>#NAME?</v>
          </cell>
          <cell r="AR24" t="e">
            <v>#NAME?</v>
          </cell>
          <cell r="AS24" t="e">
            <v>#NAME?</v>
          </cell>
          <cell r="AT24" t="e">
            <v>#NAME?</v>
          </cell>
          <cell r="AU24" t="e">
            <v>#NAME?</v>
          </cell>
          <cell r="BE24" t="e">
            <v>#NAME?</v>
          </cell>
          <cell r="BH24" t="e">
            <v>#NAME?</v>
          </cell>
          <cell r="BI24" t="e">
            <v>#NAME?</v>
          </cell>
          <cell r="BJ24" t="e">
            <v>#NAME?</v>
          </cell>
          <cell r="BK24" t="e">
            <v>#NAME?</v>
          </cell>
          <cell r="BL24" t="e">
            <v>#NAME?</v>
          </cell>
          <cell r="BM24" t="e">
            <v>#NAME?</v>
          </cell>
          <cell r="BN24" t="e">
            <v>#NAME?</v>
          </cell>
          <cell r="BO24" t="e">
            <v>#NAME?</v>
          </cell>
          <cell r="BP24" t="e">
            <v>#NAME?</v>
          </cell>
          <cell r="BQ24" t="e">
            <v>#NAME?</v>
          </cell>
          <cell r="BR24" t="e">
            <v>#NAME?</v>
          </cell>
          <cell r="BS24" t="e">
            <v>#NAME?</v>
          </cell>
          <cell r="BT24" t="e">
            <v>#NAME?</v>
          </cell>
          <cell r="BU24" t="e">
            <v>#NAME?</v>
          </cell>
          <cell r="BV24" t="e">
            <v>#NAME?</v>
          </cell>
          <cell r="BW24" t="e">
            <v>#NAME?</v>
          </cell>
        </row>
        <row r="26">
          <cell r="AF26" t="e">
            <v>#NAME?</v>
          </cell>
          <cell r="AG26" t="e">
            <v>#NAME?</v>
          </cell>
          <cell r="AI26" t="e">
            <v>#NAME?</v>
          </cell>
          <cell r="AL26" t="e">
            <v>#NAME?</v>
          </cell>
          <cell r="AM26" t="e">
            <v>#NAME?</v>
          </cell>
          <cell r="AN26" t="e">
            <v>#NAME?</v>
          </cell>
          <cell r="AO26" t="e">
            <v>#NAME?</v>
          </cell>
          <cell r="AP26" t="e">
            <v>#NAME?</v>
          </cell>
          <cell r="AQ26" t="e">
            <v>#NAME?</v>
          </cell>
          <cell r="AR26" t="e">
            <v>#NAME?</v>
          </cell>
          <cell r="AS26" t="e">
            <v>#NAME?</v>
          </cell>
          <cell r="AT26" t="e">
            <v>#NAME?</v>
          </cell>
          <cell r="AU26" t="e">
            <v>#NAME?</v>
          </cell>
          <cell r="BE26" t="e">
            <v>#NAME?</v>
          </cell>
          <cell r="BH26" t="e">
            <v>#NAME?</v>
          </cell>
          <cell r="BI26" t="e">
            <v>#NAME?</v>
          </cell>
          <cell r="BJ26" t="e">
            <v>#NAME?</v>
          </cell>
          <cell r="BK26" t="e">
            <v>#NAME?</v>
          </cell>
          <cell r="BL26" t="e">
            <v>#NAME?</v>
          </cell>
          <cell r="BM26" t="e">
            <v>#NAME?</v>
          </cell>
          <cell r="BN26" t="e">
            <v>#NAME?</v>
          </cell>
          <cell r="BO26" t="e">
            <v>#NAME?</v>
          </cell>
          <cell r="BP26" t="e">
            <v>#NAME?</v>
          </cell>
          <cell r="BQ26" t="e">
            <v>#NAME?</v>
          </cell>
          <cell r="BR26" t="e">
            <v>#NAME?</v>
          </cell>
          <cell r="BS26" t="e">
            <v>#NAME?</v>
          </cell>
          <cell r="BT26" t="e">
            <v>#NAME?</v>
          </cell>
          <cell r="BU26" t="e">
            <v>#NAME?</v>
          </cell>
          <cell r="BV26" t="e">
            <v>#NAME?</v>
          </cell>
          <cell r="BW26" t="e">
            <v>#NAME?</v>
          </cell>
        </row>
        <row r="27">
          <cell r="AF27" t="e">
            <v>#NAME?</v>
          </cell>
          <cell r="AG27" t="e">
            <v>#NAME?</v>
          </cell>
          <cell r="AI27" t="e">
            <v>#NAME?</v>
          </cell>
          <cell r="AL27" t="e">
            <v>#NAME?</v>
          </cell>
          <cell r="AM27" t="e">
            <v>#NAME?</v>
          </cell>
          <cell r="AN27" t="e">
            <v>#NAME?</v>
          </cell>
          <cell r="AO27" t="e">
            <v>#NAME?</v>
          </cell>
          <cell r="AP27" t="e">
            <v>#NAME?</v>
          </cell>
          <cell r="AQ27" t="e">
            <v>#NAME?</v>
          </cell>
          <cell r="AR27" t="e">
            <v>#NAME?</v>
          </cell>
          <cell r="AS27" t="e">
            <v>#NAME?</v>
          </cell>
          <cell r="AT27" t="e">
            <v>#NAME?</v>
          </cell>
          <cell r="AU27" t="e">
            <v>#NAME?</v>
          </cell>
          <cell r="BE27" t="e">
            <v>#NAME?</v>
          </cell>
          <cell r="BH27" t="e">
            <v>#NAME?</v>
          </cell>
          <cell r="BI27" t="e">
            <v>#NAME?</v>
          </cell>
          <cell r="BJ27" t="e">
            <v>#NAME?</v>
          </cell>
          <cell r="BK27" t="e">
            <v>#NAME?</v>
          </cell>
          <cell r="BL27" t="e">
            <v>#NAME?</v>
          </cell>
          <cell r="BM27" t="e">
            <v>#NAME?</v>
          </cell>
          <cell r="BN27" t="e">
            <v>#NAME?</v>
          </cell>
          <cell r="BO27" t="e">
            <v>#NAME?</v>
          </cell>
          <cell r="BP27" t="e">
            <v>#NAME?</v>
          </cell>
          <cell r="BQ27" t="e">
            <v>#NAME?</v>
          </cell>
          <cell r="BR27" t="e">
            <v>#NAME?</v>
          </cell>
          <cell r="BS27" t="e">
            <v>#NAME?</v>
          </cell>
          <cell r="BT27" t="e">
            <v>#NAME?</v>
          </cell>
          <cell r="BU27" t="e">
            <v>#NAME?</v>
          </cell>
          <cell r="BV27" t="e">
            <v>#NAME?</v>
          </cell>
          <cell r="BW27" t="e">
            <v>#NAME?</v>
          </cell>
        </row>
        <row r="28">
          <cell r="AF28" t="e">
            <v>#NAME?</v>
          </cell>
          <cell r="AG28" t="e">
            <v>#NAME?</v>
          </cell>
          <cell r="AI28" t="e">
            <v>#NAME?</v>
          </cell>
          <cell r="AL28" t="e">
            <v>#NAME?</v>
          </cell>
          <cell r="AM28" t="e">
            <v>#NAME?</v>
          </cell>
          <cell r="AN28" t="e">
            <v>#NAME?</v>
          </cell>
          <cell r="AO28" t="e">
            <v>#NAME?</v>
          </cell>
          <cell r="AP28" t="e">
            <v>#NAME?</v>
          </cell>
          <cell r="AQ28" t="e">
            <v>#NAME?</v>
          </cell>
          <cell r="AR28" t="e">
            <v>#NAME?</v>
          </cell>
          <cell r="AS28" t="e">
            <v>#NAME?</v>
          </cell>
          <cell r="AT28" t="e">
            <v>#NAME?</v>
          </cell>
          <cell r="AU28" t="e">
            <v>#NAME?</v>
          </cell>
          <cell r="BE28" t="e">
            <v>#NAME?</v>
          </cell>
          <cell r="BH28" t="e">
            <v>#NAME?</v>
          </cell>
          <cell r="BI28" t="e">
            <v>#NAME?</v>
          </cell>
          <cell r="BJ28" t="e">
            <v>#NAME?</v>
          </cell>
          <cell r="BK28" t="e">
            <v>#NAME?</v>
          </cell>
          <cell r="BL28" t="e">
            <v>#NAME?</v>
          </cell>
          <cell r="BM28" t="e">
            <v>#NAME?</v>
          </cell>
          <cell r="BN28" t="e">
            <v>#NAME?</v>
          </cell>
          <cell r="BO28" t="e">
            <v>#NAME?</v>
          </cell>
          <cell r="BP28" t="e">
            <v>#NAME?</v>
          </cell>
          <cell r="BQ28" t="e">
            <v>#NAME?</v>
          </cell>
          <cell r="BR28" t="e">
            <v>#NAME?</v>
          </cell>
          <cell r="BS28" t="e">
            <v>#NAME?</v>
          </cell>
          <cell r="BT28" t="e">
            <v>#NAME?</v>
          </cell>
          <cell r="BU28" t="e">
            <v>#NAME?</v>
          </cell>
          <cell r="BV28" t="e">
            <v>#NAME?</v>
          </cell>
          <cell r="BW28" t="e">
            <v>#NAME?</v>
          </cell>
        </row>
        <row r="29">
          <cell r="AF29" t="e">
            <v>#NAME?</v>
          </cell>
          <cell r="AG29" t="e">
            <v>#NAME?</v>
          </cell>
          <cell r="AI29" t="e">
            <v>#NAME?</v>
          </cell>
          <cell r="AL29" t="e">
            <v>#NAME?</v>
          </cell>
          <cell r="AM29" t="e">
            <v>#NAME?</v>
          </cell>
          <cell r="AN29" t="e">
            <v>#NAME?</v>
          </cell>
          <cell r="AO29" t="e">
            <v>#NAME?</v>
          </cell>
          <cell r="AP29" t="e">
            <v>#NAME?</v>
          </cell>
          <cell r="AQ29" t="e">
            <v>#NAME?</v>
          </cell>
          <cell r="AR29" t="e">
            <v>#NAME?</v>
          </cell>
          <cell r="AS29" t="e">
            <v>#NAME?</v>
          </cell>
          <cell r="AT29" t="e">
            <v>#NAME?</v>
          </cell>
          <cell r="AU29" t="e">
            <v>#NAME?</v>
          </cell>
          <cell r="BE29" t="e">
            <v>#NAME?</v>
          </cell>
          <cell r="BH29" t="e">
            <v>#NAME?</v>
          </cell>
          <cell r="BI29" t="e">
            <v>#NAME?</v>
          </cell>
          <cell r="BJ29" t="e">
            <v>#NAME?</v>
          </cell>
          <cell r="BK29" t="e">
            <v>#NAME?</v>
          </cell>
          <cell r="BL29" t="e">
            <v>#NAME?</v>
          </cell>
          <cell r="BM29" t="e">
            <v>#NAME?</v>
          </cell>
          <cell r="BN29" t="e">
            <v>#NAME?</v>
          </cell>
          <cell r="BO29" t="e">
            <v>#NAME?</v>
          </cell>
          <cell r="BP29" t="e">
            <v>#NAME?</v>
          </cell>
          <cell r="BQ29" t="e">
            <v>#NAME?</v>
          </cell>
          <cell r="BR29" t="e">
            <v>#NAME?</v>
          </cell>
          <cell r="BS29" t="e">
            <v>#NAME?</v>
          </cell>
          <cell r="BT29" t="e">
            <v>#NAME?</v>
          </cell>
          <cell r="BU29" t="e">
            <v>#NAME?</v>
          </cell>
          <cell r="BV29" t="e">
            <v>#NAME?</v>
          </cell>
          <cell r="BW29" t="e">
            <v>#NAME?</v>
          </cell>
        </row>
      </sheetData>
      <sheetData sheetId="5"/>
      <sheetData sheetId="6">
        <row r="4">
          <cell r="D4" t="e">
            <v>#NAME?</v>
          </cell>
          <cell r="E4" t="e">
            <v>#NAME?</v>
          </cell>
          <cell r="F4" t="e">
            <v>#NAME?</v>
          </cell>
          <cell r="G4" t="e">
            <v>#NAME?</v>
          </cell>
          <cell r="H4" t="e">
            <v>#NAME?</v>
          </cell>
          <cell r="I4" t="e">
            <v>#NAME?</v>
          </cell>
          <cell r="J4" t="e">
            <v>#NAME?</v>
          </cell>
          <cell r="K4" t="e">
            <v>#NAME?</v>
          </cell>
          <cell r="L4" t="e">
            <v>#NAME?</v>
          </cell>
          <cell r="M4" t="e">
            <v>#NAME?</v>
          </cell>
          <cell r="N4" t="e">
            <v>#NAME?</v>
          </cell>
          <cell r="Q4" t="e">
            <v>#NAME?</v>
          </cell>
          <cell r="R4" t="e">
            <v>#NAME?</v>
          </cell>
          <cell r="S4" t="e">
            <v>#NAME?</v>
          </cell>
          <cell r="T4" t="e">
            <v>#NAME?</v>
          </cell>
          <cell r="U4" t="e">
            <v>#NAME?</v>
          </cell>
          <cell r="V4" t="e">
            <v>#NAME?</v>
          </cell>
          <cell r="W4" t="e">
            <v>#NAME?</v>
          </cell>
          <cell r="X4" t="e">
            <v>#NAME?</v>
          </cell>
          <cell r="Y4" t="e">
            <v>#NAME?</v>
          </cell>
          <cell r="Z4" t="e">
            <v>#NAME?</v>
          </cell>
          <cell r="AA4" t="e">
            <v>#NAME?</v>
          </cell>
          <cell r="AE4" t="e">
            <v>#NAME?</v>
          </cell>
          <cell r="AF4" t="e">
            <v>#NAME?</v>
          </cell>
          <cell r="AG4" t="e">
            <v>#NAME?</v>
          </cell>
        </row>
        <row r="5">
          <cell r="D5" t="e">
            <v>#NAME?</v>
          </cell>
          <cell r="E5" t="e">
            <v>#NAME?</v>
          </cell>
          <cell r="F5" t="e">
            <v>#NAME?</v>
          </cell>
          <cell r="G5" t="e">
            <v>#NAME?</v>
          </cell>
          <cell r="H5" t="e">
            <v>#NAME?</v>
          </cell>
          <cell r="I5" t="e">
            <v>#NAME?</v>
          </cell>
          <cell r="J5" t="e">
            <v>#NAME?</v>
          </cell>
          <cell r="K5" t="e">
            <v>#NAME?</v>
          </cell>
          <cell r="L5" t="e">
            <v>#NAME?</v>
          </cell>
          <cell r="M5" t="e">
            <v>#NAME?</v>
          </cell>
          <cell r="N5" t="e">
            <v>#NAME?</v>
          </cell>
          <cell r="Q5" t="e">
            <v>#NAME?</v>
          </cell>
          <cell r="R5" t="e">
            <v>#NAME?</v>
          </cell>
          <cell r="S5" t="e">
            <v>#NAME?</v>
          </cell>
          <cell r="T5" t="e">
            <v>#NAME?</v>
          </cell>
          <cell r="U5" t="e">
            <v>#NAME?</v>
          </cell>
          <cell r="V5" t="e">
            <v>#NAME?</v>
          </cell>
          <cell r="W5" t="e">
            <v>#NAME?</v>
          </cell>
          <cell r="X5" t="e">
            <v>#NAME?</v>
          </cell>
          <cell r="Y5" t="e">
            <v>#NAME?</v>
          </cell>
          <cell r="Z5" t="e">
            <v>#NAME?</v>
          </cell>
          <cell r="AA5" t="e">
            <v>#NAME?</v>
          </cell>
          <cell r="AE5" t="e">
            <v>#NAME?</v>
          </cell>
          <cell r="AF5" t="e">
            <v>#NAME?</v>
          </cell>
          <cell r="AG5" t="e">
            <v>#NAME?</v>
          </cell>
        </row>
        <row r="6">
          <cell r="D6" t="e">
            <v>#NAME?</v>
          </cell>
          <cell r="E6" t="e">
            <v>#NAME?</v>
          </cell>
          <cell r="F6" t="e">
            <v>#NAME?</v>
          </cell>
          <cell r="G6" t="e">
            <v>#NAME?</v>
          </cell>
          <cell r="H6" t="e">
            <v>#NAME?</v>
          </cell>
          <cell r="I6" t="e">
            <v>#NAME?</v>
          </cell>
          <cell r="J6" t="e">
            <v>#NAME?</v>
          </cell>
          <cell r="K6" t="e">
            <v>#NAME?</v>
          </cell>
          <cell r="L6" t="e">
            <v>#NAME?</v>
          </cell>
          <cell r="M6" t="e">
            <v>#NAME?</v>
          </cell>
          <cell r="N6" t="e">
            <v>#NAME?</v>
          </cell>
          <cell r="Q6" t="e">
            <v>#NAME?</v>
          </cell>
          <cell r="R6" t="e">
            <v>#NAME?</v>
          </cell>
          <cell r="S6" t="e">
            <v>#NAME?</v>
          </cell>
          <cell r="T6" t="e">
            <v>#NAME?</v>
          </cell>
          <cell r="U6" t="e">
            <v>#NAME?</v>
          </cell>
          <cell r="V6" t="e">
            <v>#NAME?</v>
          </cell>
          <cell r="W6" t="e">
            <v>#NAME?</v>
          </cell>
          <cell r="X6" t="e">
            <v>#NAME?</v>
          </cell>
          <cell r="Y6" t="e">
            <v>#NAME?</v>
          </cell>
          <cell r="Z6" t="e">
            <v>#NAME?</v>
          </cell>
          <cell r="AA6" t="e">
            <v>#NAME?</v>
          </cell>
          <cell r="AE6" t="e">
            <v>#NAME?</v>
          </cell>
          <cell r="AF6" t="e">
            <v>#NAME?</v>
          </cell>
          <cell r="AG6" t="e">
            <v>#NAME?</v>
          </cell>
        </row>
        <row r="7">
          <cell r="D7" t="e">
            <v>#NAME?</v>
          </cell>
          <cell r="E7" t="e">
            <v>#NAME?</v>
          </cell>
          <cell r="F7" t="e">
            <v>#NAME?</v>
          </cell>
          <cell r="G7" t="e">
            <v>#NAME?</v>
          </cell>
          <cell r="H7" t="e">
            <v>#NAME?</v>
          </cell>
          <cell r="I7" t="e">
            <v>#NAME?</v>
          </cell>
          <cell r="J7" t="e">
            <v>#NAME?</v>
          </cell>
          <cell r="K7" t="e">
            <v>#NAME?</v>
          </cell>
          <cell r="L7" t="e">
            <v>#NAME?</v>
          </cell>
          <cell r="M7" t="e">
            <v>#NAME?</v>
          </cell>
          <cell r="N7" t="e">
            <v>#NAME?</v>
          </cell>
          <cell r="Q7" t="e">
            <v>#NAME?</v>
          </cell>
          <cell r="R7" t="e">
            <v>#NAME?</v>
          </cell>
          <cell r="S7" t="e">
            <v>#NAME?</v>
          </cell>
          <cell r="T7" t="e">
            <v>#NAME?</v>
          </cell>
          <cell r="U7" t="e">
            <v>#NAME?</v>
          </cell>
          <cell r="V7" t="e">
            <v>#NAME?</v>
          </cell>
          <cell r="W7" t="e">
            <v>#NAME?</v>
          </cell>
          <cell r="X7" t="e">
            <v>#NAME?</v>
          </cell>
          <cell r="Y7" t="e">
            <v>#NAME?</v>
          </cell>
          <cell r="Z7" t="e">
            <v>#NAME?</v>
          </cell>
          <cell r="AA7" t="e">
            <v>#NAME?</v>
          </cell>
          <cell r="AE7" t="e">
            <v>#NAME?</v>
          </cell>
          <cell r="AF7" t="e">
            <v>#NAME?</v>
          </cell>
          <cell r="AG7" t="e">
            <v>#NAME?</v>
          </cell>
        </row>
        <row r="8">
          <cell r="D8" t="e">
            <v>#NAME?</v>
          </cell>
          <cell r="E8" t="e">
            <v>#NAME?</v>
          </cell>
          <cell r="F8" t="e">
            <v>#NAME?</v>
          </cell>
          <cell r="G8" t="e">
            <v>#NAME?</v>
          </cell>
          <cell r="H8" t="e">
            <v>#NAME?</v>
          </cell>
          <cell r="I8" t="e">
            <v>#NAME?</v>
          </cell>
          <cell r="J8" t="e">
            <v>#NAME?</v>
          </cell>
          <cell r="K8" t="e">
            <v>#NAME?</v>
          </cell>
          <cell r="L8" t="e">
            <v>#NAME?</v>
          </cell>
          <cell r="M8" t="e">
            <v>#NAME?</v>
          </cell>
          <cell r="N8" t="e">
            <v>#NAME?</v>
          </cell>
          <cell r="Q8" t="e">
            <v>#NAME?</v>
          </cell>
          <cell r="R8" t="e">
            <v>#NAME?</v>
          </cell>
          <cell r="S8" t="e">
            <v>#NAME?</v>
          </cell>
          <cell r="T8" t="e">
            <v>#NAME?</v>
          </cell>
          <cell r="U8" t="e">
            <v>#NAME?</v>
          </cell>
          <cell r="V8" t="e">
            <v>#NAME?</v>
          </cell>
          <cell r="W8" t="e">
            <v>#NAME?</v>
          </cell>
          <cell r="X8" t="e">
            <v>#NAME?</v>
          </cell>
          <cell r="Y8" t="e">
            <v>#NAME?</v>
          </cell>
          <cell r="Z8" t="e">
            <v>#NAME?</v>
          </cell>
          <cell r="AA8" t="e">
            <v>#NAME?</v>
          </cell>
          <cell r="AE8" t="e">
            <v>#NAME?</v>
          </cell>
          <cell r="AF8" t="e">
            <v>#NAME?</v>
          </cell>
          <cell r="AG8" t="e">
            <v>#NAME?</v>
          </cell>
        </row>
        <row r="9">
          <cell r="D9" t="e">
            <v>#NAME?</v>
          </cell>
          <cell r="E9" t="e">
            <v>#NAME?</v>
          </cell>
          <cell r="F9" t="e">
            <v>#NAME?</v>
          </cell>
          <cell r="G9" t="e">
            <v>#NAME?</v>
          </cell>
          <cell r="H9" t="e">
            <v>#NAME?</v>
          </cell>
          <cell r="I9" t="e">
            <v>#NAME?</v>
          </cell>
          <cell r="J9" t="e">
            <v>#NAME?</v>
          </cell>
          <cell r="K9" t="e">
            <v>#NAME?</v>
          </cell>
          <cell r="L9" t="e">
            <v>#NAME?</v>
          </cell>
          <cell r="M9" t="e">
            <v>#NAME?</v>
          </cell>
          <cell r="N9" t="e">
            <v>#NAME?</v>
          </cell>
          <cell r="Q9" t="e">
            <v>#NAME?</v>
          </cell>
          <cell r="R9" t="e">
            <v>#NAME?</v>
          </cell>
          <cell r="S9" t="e">
            <v>#NAME?</v>
          </cell>
          <cell r="T9" t="e">
            <v>#NAME?</v>
          </cell>
          <cell r="U9" t="e">
            <v>#NAME?</v>
          </cell>
          <cell r="V9" t="e">
            <v>#NAME?</v>
          </cell>
          <cell r="W9" t="e">
            <v>#NAME?</v>
          </cell>
          <cell r="X9" t="e">
            <v>#NAME?</v>
          </cell>
          <cell r="Y9" t="e">
            <v>#NAME?</v>
          </cell>
          <cell r="Z9" t="e">
            <v>#NAME?</v>
          </cell>
          <cell r="AA9" t="e">
            <v>#NAME?</v>
          </cell>
          <cell r="AE9" t="e">
            <v>#NAME?</v>
          </cell>
          <cell r="AF9" t="e">
            <v>#NAME?</v>
          </cell>
          <cell r="AG9" t="e">
            <v>#NAME?</v>
          </cell>
        </row>
        <row r="10">
          <cell r="D10" t="e">
            <v>#NAME?</v>
          </cell>
          <cell r="E10" t="e">
            <v>#NAME?</v>
          </cell>
          <cell r="F10" t="e">
            <v>#NAME?</v>
          </cell>
          <cell r="G10" t="e">
            <v>#NAME?</v>
          </cell>
          <cell r="H10" t="e">
            <v>#NAME?</v>
          </cell>
          <cell r="I10" t="e">
            <v>#NAME?</v>
          </cell>
          <cell r="J10" t="e">
            <v>#NAME?</v>
          </cell>
          <cell r="K10" t="e">
            <v>#NAME?</v>
          </cell>
          <cell r="L10" t="e">
            <v>#NAME?</v>
          </cell>
          <cell r="M10" t="e">
            <v>#NAME?</v>
          </cell>
          <cell r="N10" t="e">
            <v>#NAME?</v>
          </cell>
          <cell r="Q10" t="e">
            <v>#NAME?</v>
          </cell>
          <cell r="R10" t="e">
            <v>#NAME?</v>
          </cell>
          <cell r="S10" t="e">
            <v>#NAME?</v>
          </cell>
          <cell r="T10" t="e">
            <v>#NAME?</v>
          </cell>
          <cell r="U10" t="e">
            <v>#NAME?</v>
          </cell>
          <cell r="V10" t="e">
            <v>#NAME?</v>
          </cell>
          <cell r="W10" t="e">
            <v>#NAME?</v>
          </cell>
          <cell r="X10" t="e">
            <v>#NAME?</v>
          </cell>
          <cell r="Y10" t="e">
            <v>#NAME?</v>
          </cell>
          <cell r="Z10" t="e">
            <v>#NAME?</v>
          </cell>
          <cell r="AA10" t="e">
            <v>#NAME?</v>
          </cell>
          <cell r="AE10" t="e">
            <v>#NAME?</v>
          </cell>
          <cell r="AF10" t="e">
            <v>#NAME?</v>
          </cell>
          <cell r="AG10" t="e">
            <v>#NAME?</v>
          </cell>
        </row>
        <row r="12">
          <cell r="D12" t="e">
            <v>#NAME?</v>
          </cell>
          <cell r="E12" t="e">
            <v>#NAME?</v>
          </cell>
          <cell r="F12" t="e">
            <v>#NAME?</v>
          </cell>
          <cell r="G12" t="e">
            <v>#NAME?</v>
          </cell>
          <cell r="H12" t="e">
            <v>#NAME?</v>
          </cell>
          <cell r="I12" t="e">
            <v>#NAME?</v>
          </cell>
          <cell r="J12" t="e">
            <v>#NAME?</v>
          </cell>
          <cell r="K12" t="e">
            <v>#NAME?</v>
          </cell>
          <cell r="L12" t="e">
            <v>#NAME?</v>
          </cell>
          <cell r="M12" t="e">
            <v>#NAME?</v>
          </cell>
          <cell r="N12" t="e">
            <v>#NAME?</v>
          </cell>
          <cell r="Q12" t="e">
            <v>#NAME?</v>
          </cell>
          <cell r="R12" t="e">
            <v>#NAME?</v>
          </cell>
          <cell r="S12" t="e">
            <v>#NAME?</v>
          </cell>
          <cell r="T12" t="e">
            <v>#NAME?</v>
          </cell>
          <cell r="U12" t="e">
            <v>#NAME?</v>
          </cell>
          <cell r="V12" t="e">
            <v>#NAME?</v>
          </cell>
          <cell r="W12" t="e">
            <v>#NAME?</v>
          </cell>
          <cell r="X12" t="e">
            <v>#NAME?</v>
          </cell>
          <cell r="Y12" t="e">
            <v>#NAME?</v>
          </cell>
          <cell r="Z12" t="e">
            <v>#NAME?</v>
          </cell>
          <cell r="AA12" t="e">
            <v>#NAME?</v>
          </cell>
          <cell r="AE12" t="e">
            <v>#NAME?</v>
          </cell>
          <cell r="AF12" t="e">
            <v>#NAME?</v>
          </cell>
          <cell r="AG12" t="e">
            <v>#NAME?</v>
          </cell>
        </row>
        <row r="13">
          <cell r="D13" t="e">
            <v>#NAME?</v>
          </cell>
          <cell r="E13" t="e">
            <v>#NAME?</v>
          </cell>
          <cell r="F13" t="e">
            <v>#NAME?</v>
          </cell>
          <cell r="G13" t="e">
            <v>#NAME?</v>
          </cell>
          <cell r="H13" t="e">
            <v>#NAME?</v>
          </cell>
          <cell r="I13" t="e">
            <v>#NAME?</v>
          </cell>
          <cell r="J13" t="e">
            <v>#NAME?</v>
          </cell>
          <cell r="K13" t="e">
            <v>#NAME?</v>
          </cell>
          <cell r="L13" t="e">
            <v>#NAME?</v>
          </cell>
          <cell r="M13" t="e">
            <v>#NAME?</v>
          </cell>
          <cell r="N13" t="e">
            <v>#NAME?</v>
          </cell>
          <cell r="Q13" t="e">
            <v>#NAME?</v>
          </cell>
          <cell r="R13" t="e">
            <v>#NAME?</v>
          </cell>
          <cell r="S13" t="e">
            <v>#NAME?</v>
          </cell>
          <cell r="T13" t="e">
            <v>#NAME?</v>
          </cell>
          <cell r="U13" t="e">
            <v>#NAME?</v>
          </cell>
          <cell r="V13" t="e">
            <v>#NAME?</v>
          </cell>
          <cell r="W13" t="e">
            <v>#NAME?</v>
          </cell>
          <cell r="X13" t="e">
            <v>#NAME?</v>
          </cell>
          <cell r="Y13" t="e">
            <v>#NAME?</v>
          </cell>
          <cell r="Z13" t="e">
            <v>#NAME?</v>
          </cell>
          <cell r="AA13" t="e">
            <v>#NAME?</v>
          </cell>
          <cell r="AE13" t="e">
            <v>#NAME?</v>
          </cell>
          <cell r="AF13" t="e">
            <v>#NAME?</v>
          </cell>
          <cell r="AG13" t="e">
            <v>#NAME?</v>
          </cell>
        </row>
        <row r="14">
          <cell r="D14" t="e">
            <v>#NAME?</v>
          </cell>
          <cell r="E14" t="e">
            <v>#NAME?</v>
          </cell>
          <cell r="F14" t="e">
            <v>#NAME?</v>
          </cell>
          <cell r="G14" t="e">
            <v>#NAME?</v>
          </cell>
          <cell r="H14" t="e">
            <v>#NAME?</v>
          </cell>
          <cell r="I14" t="e">
            <v>#NAME?</v>
          </cell>
          <cell r="J14" t="e">
            <v>#NAME?</v>
          </cell>
          <cell r="K14" t="e">
            <v>#NAME?</v>
          </cell>
          <cell r="L14" t="e">
            <v>#NAME?</v>
          </cell>
          <cell r="M14" t="e">
            <v>#NAME?</v>
          </cell>
          <cell r="N14" t="e">
            <v>#NAME?</v>
          </cell>
          <cell r="Q14" t="e">
            <v>#NAME?</v>
          </cell>
          <cell r="R14" t="e">
            <v>#NAME?</v>
          </cell>
          <cell r="S14" t="e">
            <v>#NAME?</v>
          </cell>
          <cell r="T14" t="e">
            <v>#NAME?</v>
          </cell>
          <cell r="U14" t="e">
            <v>#NAME?</v>
          </cell>
          <cell r="V14" t="e">
            <v>#NAME?</v>
          </cell>
          <cell r="W14" t="e">
            <v>#NAME?</v>
          </cell>
          <cell r="X14" t="e">
            <v>#NAME?</v>
          </cell>
          <cell r="Y14" t="e">
            <v>#NAME?</v>
          </cell>
          <cell r="Z14" t="e">
            <v>#NAME?</v>
          </cell>
          <cell r="AA14" t="e">
            <v>#NAME?</v>
          </cell>
          <cell r="AE14" t="e">
            <v>#NAME?</v>
          </cell>
          <cell r="AF14" t="e">
            <v>#NAME?</v>
          </cell>
          <cell r="AG14" t="e">
            <v>#NAME?</v>
          </cell>
        </row>
        <row r="15">
          <cell r="D15" t="e">
            <v>#NAME?</v>
          </cell>
          <cell r="E15" t="e">
            <v>#NAME?</v>
          </cell>
          <cell r="F15" t="e">
            <v>#NAME?</v>
          </cell>
          <cell r="G15" t="e">
            <v>#NAME?</v>
          </cell>
          <cell r="H15" t="e">
            <v>#NAME?</v>
          </cell>
          <cell r="I15" t="e">
            <v>#NAME?</v>
          </cell>
          <cell r="J15" t="e">
            <v>#NAME?</v>
          </cell>
          <cell r="K15" t="e">
            <v>#NAME?</v>
          </cell>
          <cell r="L15" t="e">
            <v>#NAME?</v>
          </cell>
          <cell r="M15" t="e">
            <v>#NAME?</v>
          </cell>
          <cell r="N15" t="e">
            <v>#NAME?</v>
          </cell>
          <cell r="Q15" t="e">
            <v>#NAME?</v>
          </cell>
          <cell r="R15" t="e">
            <v>#NAME?</v>
          </cell>
          <cell r="S15" t="e">
            <v>#NAME?</v>
          </cell>
          <cell r="T15" t="e">
            <v>#NAME?</v>
          </cell>
          <cell r="U15" t="e">
            <v>#NAME?</v>
          </cell>
          <cell r="V15" t="e">
            <v>#NAME?</v>
          </cell>
          <cell r="W15" t="e">
            <v>#NAME?</v>
          </cell>
          <cell r="X15" t="e">
            <v>#NAME?</v>
          </cell>
          <cell r="Y15" t="e">
            <v>#NAME?</v>
          </cell>
          <cell r="Z15" t="e">
            <v>#NAME?</v>
          </cell>
          <cell r="AA15" t="e">
            <v>#NAME?</v>
          </cell>
          <cell r="AE15" t="e">
            <v>#NAME?</v>
          </cell>
          <cell r="AF15" t="e">
            <v>#NAME?</v>
          </cell>
          <cell r="AG15" t="e">
            <v>#NAME?</v>
          </cell>
        </row>
        <row r="16">
          <cell r="D16" t="e">
            <v>#NAME?</v>
          </cell>
          <cell r="E16" t="e">
            <v>#NAME?</v>
          </cell>
          <cell r="F16" t="e">
            <v>#NAME?</v>
          </cell>
          <cell r="G16" t="e">
            <v>#NAME?</v>
          </cell>
          <cell r="H16" t="e">
            <v>#NAME?</v>
          </cell>
          <cell r="I16" t="e">
            <v>#NAME?</v>
          </cell>
          <cell r="J16" t="e">
            <v>#NAME?</v>
          </cell>
          <cell r="K16" t="e">
            <v>#NAME?</v>
          </cell>
          <cell r="L16" t="e">
            <v>#NAME?</v>
          </cell>
          <cell r="M16" t="e">
            <v>#NAME?</v>
          </cell>
          <cell r="N16" t="e">
            <v>#NAME?</v>
          </cell>
          <cell r="Q16" t="e">
            <v>#NAME?</v>
          </cell>
          <cell r="R16" t="e">
            <v>#NAME?</v>
          </cell>
          <cell r="S16" t="e">
            <v>#NAME?</v>
          </cell>
          <cell r="T16" t="e">
            <v>#NAME?</v>
          </cell>
          <cell r="U16" t="e">
            <v>#NAME?</v>
          </cell>
          <cell r="V16" t="e">
            <v>#NAME?</v>
          </cell>
          <cell r="W16" t="e">
            <v>#NAME?</v>
          </cell>
          <cell r="X16" t="e">
            <v>#NAME?</v>
          </cell>
          <cell r="Y16" t="e">
            <v>#NAME?</v>
          </cell>
          <cell r="Z16" t="e">
            <v>#NAME?</v>
          </cell>
          <cell r="AA16" t="e">
            <v>#NAME?</v>
          </cell>
          <cell r="AE16" t="e">
            <v>#NAME?</v>
          </cell>
          <cell r="AF16" t="e">
            <v>#NAME?</v>
          </cell>
          <cell r="AG16" t="e">
            <v>#NAME?</v>
          </cell>
        </row>
        <row r="17">
          <cell r="D17" t="e">
            <v>#NAME?</v>
          </cell>
          <cell r="E17" t="e">
            <v>#NAME?</v>
          </cell>
          <cell r="F17" t="e">
            <v>#NAME?</v>
          </cell>
          <cell r="G17" t="e">
            <v>#NAME?</v>
          </cell>
          <cell r="H17" t="e">
            <v>#NAME?</v>
          </cell>
          <cell r="I17" t="e">
            <v>#NAME?</v>
          </cell>
          <cell r="J17" t="e">
            <v>#NAME?</v>
          </cell>
          <cell r="K17" t="e">
            <v>#NAME?</v>
          </cell>
          <cell r="L17" t="e">
            <v>#NAME?</v>
          </cell>
          <cell r="M17" t="e">
            <v>#NAME?</v>
          </cell>
          <cell r="N17" t="e">
            <v>#NAME?</v>
          </cell>
          <cell r="Q17" t="e">
            <v>#NAME?</v>
          </cell>
          <cell r="R17" t="e">
            <v>#NAME?</v>
          </cell>
          <cell r="S17" t="e">
            <v>#NAME?</v>
          </cell>
          <cell r="T17" t="e">
            <v>#NAME?</v>
          </cell>
          <cell r="U17" t="e">
            <v>#NAME?</v>
          </cell>
          <cell r="V17" t="e">
            <v>#NAME?</v>
          </cell>
          <cell r="W17" t="e">
            <v>#NAME?</v>
          </cell>
          <cell r="X17" t="e">
            <v>#NAME?</v>
          </cell>
          <cell r="Y17" t="e">
            <v>#NAME?</v>
          </cell>
          <cell r="Z17" t="e">
            <v>#NAME?</v>
          </cell>
          <cell r="AA17" t="e">
            <v>#NAME?</v>
          </cell>
          <cell r="AE17" t="e">
            <v>#NAME?</v>
          </cell>
          <cell r="AF17" t="e">
            <v>#NAME?</v>
          </cell>
          <cell r="AG17" t="e">
            <v>#NAME?</v>
          </cell>
        </row>
        <row r="19">
          <cell r="D19" t="e">
            <v>#NAME?</v>
          </cell>
          <cell r="E19" t="e">
            <v>#NAME?</v>
          </cell>
          <cell r="F19" t="e">
            <v>#NAME?</v>
          </cell>
          <cell r="G19" t="e">
            <v>#NAME?</v>
          </cell>
          <cell r="H19" t="e">
            <v>#NAME?</v>
          </cell>
          <cell r="I19" t="e">
            <v>#NAME?</v>
          </cell>
          <cell r="J19" t="e">
            <v>#NAME?</v>
          </cell>
          <cell r="K19" t="e">
            <v>#NAME?</v>
          </cell>
          <cell r="L19" t="e">
            <v>#NAME?</v>
          </cell>
          <cell r="M19" t="e">
            <v>#NAME?</v>
          </cell>
          <cell r="N19" t="e">
            <v>#NAME?</v>
          </cell>
          <cell r="Q19" t="e">
            <v>#NAME?</v>
          </cell>
          <cell r="R19" t="e">
            <v>#NAME?</v>
          </cell>
          <cell r="S19" t="e">
            <v>#NAME?</v>
          </cell>
          <cell r="T19" t="e">
            <v>#NAME?</v>
          </cell>
          <cell r="U19" t="e">
            <v>#NAME?</v>
          </cell>
          <cell r="V19" t="e">
            <v>#NAME?</v>
          </cell>
          <cell r="W19" t="e">
            <v>#NAME?</v>
          </cell>
          <cell r="X19" t="e">
            <v>#NAME?</v>
          </cell>
          <cell r="Y19" t="e">
            <v>#NAME?</v>
          </cell>
          <cell r="Z19" t="e">
            <v>#NAME?</v>
          </cell>
          <cell r="AA19" t="e">
            <v>#NAME?</v>
          </cell>
          <cell r="AE19" t="e">
            <v>#NAME?</v>
          </cell>
          <cell r="AF19" t="e">
            <v>#NAME?</v>
          </cell>
          <cell r="AG19" t="e">
            <v>#NAME?</v>
          </cell>
        </row>
        <row r="20">
          <cell r="D20" t="e">
            <v>#NAME?</v>
          </cell>
          <cell r="E20" t="e">
            <v>#NAME?</v>
          </cell>
          <cell r="F20" t="e">
            <v>#NAME?</v>
          </cell>
          <cell r="G20" t="e">
            <v>#NAME?</v>
          </cell>
          <cell r="H20" t="e">
            <v>#NAME?</v>
          </cell>
          <cell r="I20" t="e">
            <v>#NAME?</v>
          </cell>
          <cell r="J20" t="e">
            <v>#NAME?</v>
          </cell>
          <cell r="K20" t="e">
            <v>#NAME?</v>
          </cell>
          <cell r="L20" t="e">
            <v>#NAME?</v>
          </cell>
          <cell r="M20" t="e">
            <v>#NAME?</v>
          </cell>
          <cell r="N20" t="e">
            <v>#NAME?</v>
          </cell>
          <cell r="Q20" t="e">
            <v>#NAME?</v>
          </cell>
          <cell r="R20" t="e">
            <v>#NAME?</v>
          </cell>
          <cell r="S20" t="e">
            <v>#NAME?</v>
          </cell>
          <cell r="T20" t="e">
            <v>#NAME?</v>
          </cell>
          <cell r="U20" t="e">
            <v>#NAME?</v>
          </cell>
          <cell r="V20" t="e">
            <v>#NAME?</v>
          </cell>
          <cell r="W20" t="e">
            <v>#NAME?</v>
          </cell>
          <cell r="X20" t="e">
            <v>#NAME?</v>
          </cell>
          <cell r="Y20" t="e">
            <v>#NAME?</v>
          </cell>
          <cell r="Z20" t="e">
            <v>#NAME?</v>
          </cell>
          <cell r="AA20" t="e">
            <v>#NAME?</v>
          </cell>
          <cell r="AE20" t="e">
            <v>#NAME?</v>
          </cell>
          <cell r="AF20" t="e">
            <v>#NAME?</v>
          </cell>
          <cell r="AG20" t="e">
            <v>#NAME?</v>
          </cell>
        </row>
        <row r="21">
          <cell r="D21" t="e">
            <v>#NAME?</v>
          </cell>
          <cell r="E21" t="e">
            <v>#NAME?</v>
          </cell>
          <cell r="F21" t="e">
            <v>#NAME?</v>
          </cell>
          <cell r="G21" t="e">
            <v>#NAME?</v>
          </cell>
          <cell r="H21" t="e">
            <v>#NAME?</v>
          </cell>
          <cell r="I21" t="e">
            <v>#NAME?</v>
          </cell>
          <cell r="J21" t="e">
            <v>#NAME?</v>
          </cell>
          <cell r="K21" t="e">
            <v>#NAME?</v>
          </cell>
          <cell r="L21" t="e">
            <v>#NAME?</v>
          </cell>
          <cell r="M21" t="e">
            <v>#NAME?</v>
          </cell>
          <cell r="N21" t="e">
            <v>#NAME?</v>
          </cell>
          <cell r="Q21" t="e">
            <v>#NAME?</v>
          </cell>
          <cell r="R21" t="e">
            <v>#NAME?</v>
          </cell>
          <cell r="S21" t="e">
            <v>#NAME?</v>
          </cell>
          <cell r="T21" t="e">
            <v>#NAME?</v>
          </cell>
          <cell r="U21" t="e">
            <v>#NAME?</v>
          </cell>
          <cell r="V21" t="e">
            <v>#NAME?</v>
          </cell>
          <cell r="W21" t="e">
            <v>#NAME?</v>
          </cell>
          <cell r="X21" t="e">
            <v>#NAME?</v>
          </cell>
          <cell r="Y21" t="e">
            <v>#NAME?</v>
          </cell>
          <cell r="Z21" t="e">
            <v>#NAME?</v>
          </cell>
          <cell r="AA21" t="e">
            <v>#NAME?</v>
          </cell>
          <cell r="AE21" t="e">
            <v>#NAME?</v>
          </cell>
          <cell r="AF21" t="e">
            <v>#NAME?</v>
          </cell>
          <cell r="AG21" t="e">
            <v>#NAME?</v>
          </cell>
        </row>
        <row r="22">
          <cell r="D22" t="e">
            <v>#NAME?</v>
          </cell>
          <cell r="E22" t="e">
            <v>#NAME?</v>
          </cell>
          <cell r="F22" t="e">
            <v>#NAME?</v>
          </cell>
          <cell r="G22" t="e">
            <v>#NAME?</v>
          </cell>
          <cell r="H22" t="e">
            <v>#NAME?</v>
          </cell>
          <cell r="I22" t="e">
            <v>#NAME?</v>
          </cell>
          <cell r="J22" t="e">
            <v>#NAME?</v>
          </cell>
          <cell r="K22" t="e">
            <v>#NAME?</v>
          </cell>
          <cell r="L22" t="e">
            <v>#NAME?</v>
          </cell>
          <cell r="M22" t="e">
            <v>#NAME?</v>
          </cell>
          <cell r="N22" t="e">
            <v>#NAME?</v>
          </cell>
          <cell r="Q22" t="e">
            <v>#NAME?</v>
          </cell>
          <cell r="R22" t="e">
            <v>#NAME?</v>
          </cell>
          <cell r="S22" t="e">
            <v>#NAME?</v>
          </cell>
          <cell r="T22" t="e">
            <v>#NAME?</v>
          </cell>
          <cell r="U22" t="e">
            <v>#NAME?</v>
          </cell>
          <cell r="V22" t="e">
            <v>#NAME?</v>
          </cell>
          <cell r="W22" t="e">
            <v>#NAME?</v>
          </cell>
          <cell r="X22" t="e">
            <v>#NAME?</v>
          </cell>
          <cell r="Y22" t="e">
            <v>#NAME?</v>
          </cell>
          <cell r="Z22" t="e">
            <v>#NAME?</v>
          </cell>
          <cell r="AA22" t="e">
            <v>#NAME?</v>
          </cell>
          <cell r="AE22" t="e">
            <v>#NAME?</v>
          </cell>
          <cell r="AF22" t="e">
            <v>#NAME?</v>
          </cell>
          <cell r="AG22" t="e">
            <v>#NAME?</v>
          </cell>
        </row>
        <row r="24">
          <cell r="D24" t="e">
            <v>#NAME?</v>
          </cell>
          <cell r="E24" t="e">
            <v>#NAME?</v>
          </cell>
          <cell r="F24" t="e">
            <v>#NAME?</v>
          </cell>
          <cell r="G24" t="e">
            <v>#NAME?</v>
          </cell>
          <cell r="H24" t="e">
            <v>#NAME?</v>
          </cell>
          <cell r="I24" t="e">
            <v>#NAME?</v>
          </cell>
          <cell r="J24" t="e">
            <v>#NAME?</v>
          </cell>
          <cell r="K24" t="e">
            <v>#NAME?</v>
          </cell>
          <cell r="L24" t="e">
            <v>#NAME?</v>
          </cell>
          <cell r="M24" t="e">
            <v>#NAME?</v>
          </cell>
          <cell r="N24" t="e">
            <v>#NAME?</v>
          </cell>
          <cell r="Q24" t="e">
            <v>#NAME?</v>
          </cell>
          <cell r="R24" t="e">
            <v>#NAME?</v>
          </cell>
          <cell r="S24" t="e">
            <v>#NAME?</v>
          </cell>
          <cell r="T24" t="e">
            <v>#NAME?</v>
          </cell>
          <cell r="U24" t="e">
            <v>#NAME?</v>
          </cell>
          <cell r="V24" t="e">
            <v>#NAME?</v>
          </cell>
          <cell r="W24" t="e">
            <v>#NAME?</v>
          </cell>
          <cell r="X24" t="e">
            <v>#NAME?</v>
          </cell>
          <cell r="Y24" t="e">
            <v>#NAME?</v>
          </cell>
          <cell r="Z24" t="e">
            <v>#NAME?</v>
          </cell>
          <cell r="AA24" t="e">
            <v>#NAME?</v>
          </cell>
          <cell r="AE24" t="e">
            <v>#NAME?</v>
          </cell>
          <cell r="AF24" t="e">
            <v>#NAME?</v>
          </cell>
          <cell r="AG24" t="e">
            <v>#NAME?</v>
          </cell>
        </row>
        <row r="25">
          <cell r="D25" t="e">
            <v>#NAME?</v>
          </cell>
          <cell r="E25" t="e">
            <v>#NAME?</v>
          </cell>
          <cell r="F25" t="e">
            <v>#NAME?</v>
          </cell>
          <cell r="G25" t="e">
            <v>#NAME?</v>
          </cell>
          <cell r="H25" t="e">
            <v>#NAME?</v>
          </cell>
          <cell r="I25" t="e">
            <v>#NAME?</v>
          </cell>
          <cell r="J25" t="e">
            <v>#NAME?</v>
          </cell>
          <cell r="K25" t="e">
            <v>#NAME?</v>
          </cell>
          <cell r="L25" t="e">
            <v>#NAME?</v>
          </cell>
          <cell r="M25" t="e">
            <v>#NAME?</v>
          </cell>
          <cell r="N25" t="e">
            <v>#NAME?</v>
          </cell>
          <cell r="Q25" t="e">
            <v>#NAME?</v>
          </cell>
          <cell r="R25" t="e">
            <v>#NAME?</v>
          </cell>
          <cell r="S25" t="e">
            <v>#NAME?</v>
          </cell>
          <cell r="T25" t="e">
            <v>#NAME?</v>
          </cell>
          <cell r="U25" t="e">
            <v>#NAME?</v>
          </cell>
          <cell r="V25" t="e">
            <v>#NAME?</v>
          </cell>
          <cell r="W25" t="e">
            <v>#NAME?</v>
          </cell>
          <cell r="X25" t="e">
            <v>#NAME?</v>
          </cell>
          <cell r="Y25" t="e">
            <v>#NAME?</v>
          </cell>
          <cell r="Z25" t="e">
            <v>#NAME?</v>
          </cell>
          <cell r="AA25" t="e">
            <v>#NAME?</v>
          </cell>
          <cell r="AE25" t="e">
            <v>#NAME?</v>
          </cell>
          <cell r="AF25" t="e">
            <v>#NAME?</v>
          </cell>
          <cell r="AG25" t="e">
            <v>#NAME?</v>
          </cell>
        </row>
        <row r="26">
          <cell r="D26" t="e">
            <v>#NAME?</v>
          </cell>
          <cell r="E26" t="e">
            <v>#NAME?</v>
          </cell>
          <cell r="F26" t="e">
            <v>#NAME?</v>
          </cell>
          <cell r="G26" t="e">
            <v>#NAME?</v>
          </cell>
          <cell r="H26" t="e">
            <v>#NAME?</v>
          </cell>
          <cell r="I26" t="e">
            <v>#NAME?</v>
          </cell>
          <cell r="J26" t="e">
            <v>#NAME?</v>
          </cell>
          <cell r="K26" t="e">
            <v>#NAME?</v>
          </cell>
          <cell r="L26" t="e">
            <v>#NAME?</v>
          </cell>
          <cell r="M26" t="e">
            <v>#NAME?</v>
          </cell>
          <cell r="N26" t="e">
            <v>#NAME?</v>
          </cell>
          <cell r="Q26" t="e">
            <v>#NAME?</v>
          </cell>
          <cell r="R26" t="e">
            <v>#NAME?</v>
          </cell>
          <cell r="S26" t="e">
            <v>#NAME?</v>
          </cell>
          <cell r="T26" t="e">
            <v>#NAME?</v>
          </cell>
          <cell r="U26" t="e">
            <v>#NAME?</v>
          </cell>
          <cell r="V26" t="e">
            <v>#NAME?</v>
          </cell>
          <cell r="W26" t="e">
            <v>#NAME?</v>
          </cell>
          <cell r="X26" t="e">
            <v>#NAME?</v>
          </cell>
          <cell r="Y26" t="e">
            <v>#NAME?</v>
          </cell>
          <cell r="Z26" t="e">
            <v>#NAME?</v>
          </cell>
          <cell r="AA26" t="e">
            <v>#NAME?</v>
          </cell>
          <cell r="AE26" t="e">
            <v>#NAME?</v>
          </cell>
          <cell r="AF26" t="e">
            <v>#NAME?</v>
          </cell>
          <cell r="AG26" t="e">
            <v>#NAME?</v>
          </cell>
        </row>
        <row r="27">
          <cell r="D27" t="e">
            <v>#NAME?</v>
          </cell>
          <cell r="E27" t="e">
            <v>#NAME?</v>
          </cell>
          <cell r="F27" t="e">
            <v>#NAME?</v>
          </cell>
          <cell r="G27" t="e">
            <v>#NAME?</v>
          </cell>
          <cell r="H27" t="e">
            <v>#NAME?</v>
          </cell>
          <cell r="I27" t="e">
            <v>#NAME?</v>
          </cell>
          <cell r="J27" t="e">
            <v>#NAME?</v>
          </cell>
          <cell r="K27" t="e">
            <v>#NAME?</v>
          </cell>
          <cell r="L27" t="e">
            <v>#NAME?</v>
          </cell>
          <cell r="M27" t="e">
            <v>#NAME?</v>
          </cell>
          <cell r="N27" t="e">
            <v>#NAME?</v>
          </cell>
          <cell r="Q27" t="e">
            <v>#NAME?</v>
          </cell>
          <cell r="R27" t="e">
            <v>#NAME?</v>
          </cell>
          <cell r="S27" t="e">
            <v>#NAME?</v>
          </cell>
          <cell r="T27" t="e">
            <v>#NAME?</v>
          </cell>
          <cell r="U27" t="e">
            <v>#NAME?</v>
          </cell>
          <cell r="V27" t="e">
            <v>#NAME?</v>
          </cell>
          <cell r="W27" t="e">
            <v>#NAME?</v>
          </cell>
          <cell r="X27" t="e">
            <v>#NAME?</v>
          </cell>
          <cell r="Y27" t="e">
            <v>#NAME?</v>
          </cell>
          <cell r="Z27" t="e">
            <v>#NAME?</v>
          </cell>
          <cell r="AA27" t="e">
            <v>#NAME?</v>
          </cell>
          <cell r="AE27" t="e">
            <v>#NAME?</v>
          </cell>
          <cell r="AF27" t="e">
            <v>#NAME?</v>
          </cell>
          <cell r="AG27" t="e">
            <v>#NAME?</v>
          </cell>
        </row>
      </sheetData>
      <sheetData sheetId="7">
        <row r="4">
          <cell r="D4">
            <v>1537.530029296875</v>
          </cell>
          <cell r="E4">
            <v>968.48800000000006</v>
          </cell>
          <cell r="F4">
            <v>1159.0170000000001</v>
          </cell>
          <cell r="G4">
            <v>1136.876</v>
          </cell>
          <cell r="H4">
            <v>825.82299999999998</v>
          </cell>
          <cell r="I4">
            <v>1214.4829999999999</v>
          </cell>
          <cell r="J4">
            <v>2381</v>
          </cell>
          <cell r="K4">
            <v>1436.05</v>
          </cell>
          <cell r="L4">
            <v>1436.05</v>
          </cell>
          <cell r="M4">
            <v>1655.25</v>
          </cell>
          <cell r="N4">
            <v>1.71</v>
          </cell>
          <cell r="R4">
            <v>-5.5919999999999987</v>
          </cell>
          <cell r="S4">
            <v>256.79899999999998</v>
          </cell>
          <cell r="T4">
            <v>239.87899999999999</v>
          </cell>
          <cell r="U4">
            <v>79.540000000000006</v>
          </cell>
          <cell r="V4">
            <v>253.62100000000001</v>
          </cell>
          <cell r="W4">
            <v>535.1</v>
          </cell>
          <cell r="X4">
            <v>161.49100000000001</v>
          </cell>
          <cell r="Y4">
            <v>226.45500000000001</v>
          </cell>
          <cell r="Z4">
            <v>208.5</v>
          </cell>
          <cell r="AA4">
            <v>212</v>
          </cell>
          <cell r="AB4">
            <v>-3.4229222304956259</v>
          </cell>
          <cell r="AF4">
            <v>1863547.8175999997</v>
          </cell>
          <cell r="AG4">
            <v>454.03100000000001</v>
          </cell>
          <cell r="AH4">
            <v>0.32948091636180249</v>
          </cell>
        </row>
        <row r="5">
          <cell r="D5">
            <v>3026</v>
          </cell>
          <cell r="E5">
            <v>4279</v>
          </cell>
          <cell r="F5">
            <v>4447</v>
          </cell>
          <cell r="G5">
            <v>4755</v>
          </cell>
          <cell r="H5">
            <v>4856</v>
          </cell>
          <cell r="I5">
            <v>4583</v>
          </cell>
          <cell r="J5">
            <v>4708.7269999999999</v>
          </cell>
          <cell r="K5">
            <v>4805.1900000000005</v>
          </cell>
          <cell r="L5">
            <v>4805.1900000000005</v>
          </cell>
          <cell r="M5">
            <v>5423.3330000000005</v>
          </cell>
          <cell r="N5">
            <v>5436</v>
          </cell>
          <cell r="R5">
            <v>1034</v>
          </cell>
          <cell r="S5">
            <v>1312</v>
          </cell>
          <cell r="T5">
            <v>1788</v>
          </cell>
          <cell r="U5">
            <v>1779</v>
          </cell>
          <cell r="V5">
            <v>1687</v>
          </cell>
          <cell r="W5">
            <v>1598.7860000000001</v>
          </cell>
          <cell r="X5">
            <v>1702.538</v>
          </cell>
          <cell r="Y5">
            <v>1834</v>
          </cell>
          <cell r="Z5">
            <v>1934.5</v>
          </cell>
          <cell r="AA5">
            <v>1728</v>
          </cell>
          <cell r="AB5">
            <v>0.19826204463973074</v>
          </cell>
          <cell r="AF5">
            <v>16132466.293999998</v>
          </cell>
          <cell r="AG5">
            <v>4320</v>
          </cell>
          <cell r="AH5">
            <v>0.26806714429444473</v>
          </cell>
        </row>
        <row r="6">
          <cell r="D6">
            <v>2611.2180673678913</v>
          </cell>
          <cell r="E6">
            <v>3095.1716743818047</v>
          </cell>
          <cell r="F6">
            <v>2826.8917740780853</v>
          </cell>
          <cell r="G6">
            <v>3018.7651733688517</v>
          </cell>
          <cell r="H6">
            <v>3368.1508869267614</v>
          </cell>
          <cell r="I6">
            <v>2735.0424603336828</v>
          </cell>
          <cell r="J6">
            <v>2092.596</v>
          </cell>
          <cell r="K6">
            <v>2365.3989999999999</v>
          </cell>
          <cell r="L6">
            <v>2365.3989999999999</v>
          </cell>
          <cell r="M6">
            <v>2410.9360000000001</v>
          </cell>
          <cell r="N6">
            <v>2534.5889999999999</v>
          </cell>
          <cell r="R6">
            <v>410.58328392166192</v>
          </cell>
          <cell r="S6">
            <v>340.3670694932045</v>
          </cell>
          <cell r="T6">
            <v>388.23359879996406</v>
          </cell>
          <cell r="U6">
            <v>643.16754795625832</v>
          </cell>
          <cell r="V6">
            <v>391.96688070659667</v>
          </cell>
          <cell r="W6">
            <v>211.24</v>
          </cell>
          <cell r="X6">
            <v>364.3</v>
          </cell>
          <cell r="Y6">
            <v>376.44200000000001</v>
          </cell>
          <cell r="Z6">
            <v>399.26800000000003</v>
          </cell>
          <cell r="AA6">
            <v>450.089</v>
          </cell>
          <cell r="AB6">
            <v>0.16137984921331561</v>
          </cell>
          <cell r="AF6">
            <v>344974000</v>
          </cell>
          <cell r="AG6">
            <v>59023</v>
          </cell>
          <cell r="AH6">
            <v>0.16643450111665051</v>
          </cell>
        </row>
        <row r="7">
          <cell r="D7">
            <v>1316.0502757438746</v>
          </cell>
          <cell r="E7">
            <v>1505.6390855573857</v>
          </cell>
          <cell r="F7">
            <v>1231.3290635542951</v>
          </cell>
          <cell r="G7">
            <v>1374.3616236137709</v>
          </cell>
          <cell r="H7">
            <v>1462.4516550062592</v>
          </cell>
          <cell r="I7">
            <v>1617.821822402082</v>
          </cell>
          <cell r="J7">
            <v>1391.922</v>
          </cell>
          <cell r="K7">
            <v>1984.0260000000001</v>
          </cell>
          <cell r="L7">
            <v>1984.0260000000001</v>
          </cell>
          <cell r="M7">
            <v>2371.9969999999998</v>
          </cell>
          <cell r="N7">
            <v>2301.9720000000002</v>
          </cell>
          <cell r="R7">
            <v>494.22286403333919</v>
          </cell>
          <cell r="S7">
            <v>329.54565996288619</v>
          </cell>
          <cell r="T7">
            <v>342.08814505936152</v>
          </cell>
          <cell r="U7">
            <v>566.1044505111405</v>
          </cell>
          <cell r="V7">
            <v>606.6619329429825</v>
          </cell>
          <cell r="W7">
            <v>130.03100000000001</v>
          </cell>
          <cell r="X7">
            <v>591.875</v>
          </cell>
          <cell r="Y7">
            <v>718.94500000000005</v>
          </cell>
          <cell r="Z7">
            <v>636.86599999999999</v>
          </cell>
          <cell r="AA7">
            <v>288.05700000000002</v>
          </cell>
          <cell r="AB7">
            <v>4.6304063585995259E-2</v>
          </cell>
          <cell r="AF7">
            <v>1210608.8422000001</v>
          </cell>
          <cell r="AG7" t="str">
            <v>#N/A N/A</v>
          </cell>
          <cell r="AH7" t="e">
            <v>#VALUE!</v>
          </cell>
        </row>
        <row r="8">
          <cell r="D8" t="str">
            <v>#N/A Invalid Security</v>
          </cell>
          <cell r="E8" t="str">
            <v>#N/A Invalid Security</v>
          </cell>
          <cell r="F8" t="str">
            <v>#N/A Invalid Security</v>
          </cell>
          <cell r="G8" t="str">
            <v>#N/A Invalid Security</v>
          </cell>
          <cell r="H8" t="str">
            <v>#N/A Invalid Security</v>
          </cell>
          <cell r="I8" t="str">
            <v>#N/A Invalid Security</v>
          </cell>
          <cell r="J8" t="str">
            <v>#N/A Invalid Security</v>
          </cell>
          <cell r="K8" t="str">
            <v>#N/A Invalid Security</v>
          </cell>
          <cell r="L8" t="str">
            <v>#N/A Invalid Security</v>
          </cell>
          <cell r="M8" t="str">
            <v>#N/A Invalid Security</v>
          </cell>
          <cell r="N8" t="str">
            <v>#N/A Invalid Security</v>
          </cell>
          <cell r="R8" t="str">
            <v>#N/A Invalid Security</v>
          </cell>
          <cell r="S8" t="str">
            <v>#N/A Invalid Security</v>
          </cell>
          <cell r="T8" t="str">
            <v>#N/A Invalid Security</v>
          </cell>
          <cell r="U8" t="str">
            <v>#N/A Invalid Security</v>
          </cell>
          <cell r="V8" t="str">
            <v>#N/A Invalid Security</v>
          </cell>
          <cell r="W8" t="str">
            <v>#N/A Invalid Security</v>
          </cell>
          <cell r="X8" t="str">
            <v>#N/A Invalid Security</v>
          </cell>
          <cell r="Y8" t="str">
            <v>#N/A Invalid Security</v>
          </cell>
          <cell r="Z8" t="str">
            <v>#N/A Invalid Security</v>
          </cell>
          <cell r="AA8" t="str">
            <v>#N/A Invalid Security</v>
          </cell>
          <cell r="AB8" t="e">
            <v>#VALUE!</v>
          </cell>
          <cell r="AF8" t="e">
            <v>#VALUE!</v>
          </cell>
          <cell r="AG8" t="str">
            <v>#N/A Invalid Security</v>
          </cell>
          <cell r="AH8" t="e">
            <v>#VALUE!</v>
          </cell>
        </row>
        <row r="9">
          <cell r="D9" t="str">
            <v>#N/A Invalid Security</v>
          </cell>
          <cell r="E9" t="str">
            <v>#N/A Invalid Security</v>
          </cell>
          <cell r="F9" t="str">
            <v>#N/A Invalid Security</v>
          </cell>
          <cell r="G9" t="str">
            <v>#N/A Invalid Security</v>
          </cell>
          <cell r="H9" t="str">
            <v>#N/A Invalid Security</v>
          </cell>
          <cell r="I9" t="str">
            <v>#N/A Invalid Security</v>
          </cell>
          <cell r="J9" t="str">
            <v>#N/A Invalid Security</v>
          </cell>
          <cell r="K9" t="str">
            <v>#N/A Invalid Security</v>
          </cell>
          <cell r="L9" t="str">
            <v>#N/A Invalid Security</v>
          </cell>
          <cell r="M9" t="str">
            <v>#N/A Invalid Security</v>
          </cell>
          <cell r="N9" t="str">
            <v>#N/A Invalid Security</v>
          </cell>
          <cell r="R9" t="str">
            <v>#N/A Invalid Security</v>
          </cell>
          <cell r="S9" t="str">
            <v>#N/A Invalid Security</v>
          </cell>
          <cell r="T9" t="str">
            <v>#N/A Invalid Security</v>
          </cell>
          <cell r="U9" t="str">
            <v>#N/A Invalid Security</v>
          </cell>
          <cell r="V9" t="str">
            <v>#N/A Invalid Security</v>
          </cell>
          <cell r="W9" t="str">
            <v>#N/A Invalid Security</v>
          </cell>
          <cell r="X9" t="str">
            <v>#N/A Invalid Security</v>
          </cell>
          <cell r="Y9" t="str">
            <v>#N/A Invalid Security</v>
          </cell>
          <cell r="Z9" t="str">
            <v>#N/A Invalid Security</v>
          </cell>
          <cell r="AA9" t="str">
            <v>#N/A Invalid Security</v>
          </cell>
          <cell r="AB9" t="e">
            <v>#VALUE!</v>
          </cell>
          <cell r="AF9" t="e">
            <v>#VALUE!</v>
          </cell>
          <cell r="AG9" t="str">
            <v>#N/A Invalid Security</v>
          </cell>
          <cell r="AH9" t="e">
            <v>#VALUE!</v>
          </cell>
        </row>
        <row r="10">
          <cell r="D10" t="str">
            <v>#N/A Invalid Security</v>
          </cell>
          <cell r="E10" t="str">
            <v>#N/A Invalid Security</v>
          </cell>
          <cell r="F10" t="str">
            <v>#N/A Invalid Security</v>
          </cell>
          <cell r="G10" t="str">
            <v>#N/A Invalid Security</v>
          </cell>
          <cell r="H10" t="str">
            <v>#N/A Invalid Security</v>
          </cell>
          <cell r="I10" t="str">
            <v>#N/A Invalid Security</v>
          </cell>
          <cell r="J10" t="str">
            <v>#N/A Invalid Security</v>
          </cell>
          <cell r="K10" t="str">
            <v>#N/A Invalid Security</v>
          </cell>
          <cell r="L10" t="str">
            <v>#N/A Invalid Security</v>
          </cell>
          <cell r="M10" t="str">
            <v>#N/A Invalid Security</v>
          </cell>
          <cell r="N10" t="str">
            <v>#N/A Invalid Security</v>
          </cell>
          <cell r="R10" t="str">
            <v>#N/A Invalid Security</v>
          </cell>
          <cell r="S10" t="str">
            <v>#N/A Invalid Security</v>
          </cell>
          <cell r="T10" t="str">
            <v>#N/A Invalid Security</v>
          </cell>
          <cell r="U10" t="str">
            <v>#N/A Invalid Security</v>
          </cell>
          <cell r="V10" t="str">
            <v>#N/A Invalid Security</v>
          </cell>
          <cell r="W10" t="str">
            <v>#N/A Invalid Security</v>
          </cell>
          <cell r="X10" t="str">
            <v>#N/A Invalid Security</v>
          </cell>
          <cell r="Y10" t="str">
            <v>#N/A Invalid Security</v>
          </cell>
          <cell r="Z10" t="str">
            <v>#N/A Invalid Security</v>
          </cell>
          <cell r="AA10" t="str">
            <v>#N/A Invalid Security</v>
          </cell>
          <cell r="AB10" t="e">
            <v>#VALUE!</v>
          </cell>
          <cell r="AF10" t="e">
            <v>#VALUE!</v>
          </cell>
          <cell r="AG10" t="str">
            <v>#N/A Invalid Security</v>
          </cell>
          <cell r="AH10" t="e">
            <v>#VALUE!</v>
          </cell>
        </row>
        <row r="12">
          <cell r="D12">
            <v>19.41</v>
          </cell>
          <cell r="E12">
            <v>121.467</v>
          </cell>
          <cell r="F12">
            <v>597.45899999999995</v>
          </cell>
          <cell r="G12">
            <v>1140.0999999999999</v>
          </cell>
          <cell r="H12">
            <v>1281.2670000000001</v>
          </cell>
          <cell r="I12">
            <v>873.26599999999996</v>
          </cell>
          <cell r="J12">
            <v>747.66700000000003</v>
          </cell>
          <cell r="K12">
            <v>925.529</v>
          </cell>
          <cell r="L12">
            <v>925.529</v>
          </cell>
          <cell r="M12">
            <v>1269.5</v>
          </cell>
          <cell r="N12">
            <v>1638.6670000000001</v>
          </cell>
          <cell r="R12">
            <v>-42.405999999999999</v>
          </cell>
          <cell r="S12">
            <v>164.953</v>
          </cell>
          <cell r="T12">
            <v>-310.202</v>
          </cell>
          <cell r="U12">
            <v>-41.49199999999999</v>
          </cell>
          <cell r="V12">
            <v>73.632999999999996</v>
          </cell>
          <cell r="W12">
            <v>95.378</v>
          </cell>
          <cell r="X12">
            <v>153.30600000000001</v>
          </cell>
          <cell r="Y12">
            <v>200</v>
          </cell>
          <cell r="Z12">
            <v>245</v>
          </cell>
          <cell r="AA12">
            <v>386</v>
          </cell>
          <cell r="AB12">
            <v>-7.2367623113777091E-3</v>
          </cell>
          <cell r="AF12">
            <v>2503022.2018599999</v>
          </cell>
          <cell r="AG12">
            <v>0</v>
          </cell>
          <cell r="AH12">
            <v>0</v>
          </cell>
        </row>
        <row r="13">
          <cell r="D13" t="str">
            <v>#N/A N/A</v>
          </cell>
          <cell r="E13" t="str">
            <v>#N/A N/A</v>
          </cell>
          <cell r="F13" t="str">
            <v>#N/A N/A</v>
          </cell>
          <cell r="G13">
            <v>63.901000000000003</v>
          </cell>
          <cell r="H13">
            <v>164.41200000000001</v>
          </cell>
          <cell r="I13">
            <v>1884.3009999999999</v>
          </cell>
          <cell r="J13">
            <v>2460</v>
          </cell>
          <cell r="K13">
            <v>2840.0830000000001</v>
          </cell>
          <cell r="L13">
            <v>2840.0830000000001</v>
          </cell>
          <cell r="M13">
            <v>3484</v>
          </cell>
          <cell r="N13">
            <v>3711</v>
          </cell>
          <cell r="R13" t="str">
            <v>#N/A N/A</v>
          </cell>
          <cell r="S13" t="str">
            <v>#N/A N/A</v>
          </cell>
          <cell r="T13">
            <v>1.3109999999999999</v>
          </cell>
          <cell r="U13">
            <v>13.891</v>
          </cell>
          <cell r="V13">
            <v>722.36900000000003</v>
          </cell>
          <cell r="W13">
            <v>987.4</v>
          </cell>
          <cell r="X13">
            <v>1084.636</v>
          </cell>
          <cell r="Y13">
            <v>1188</v>
          </cell>
          <cell r="Z13">
            <v>1383</v>
          </cell>
          <cell r="AA13">
            <v>1484</v>
          </cell>
          <cell r="AB13" t="e">
            <v>#VALUE!</v>
          </cell>
          <cell r="AF13">
            <v>6065596.502460001</v>
          </cell>
          <cell r="AG13">
            <v>0</v>
          </cell>
          <cell r="AH13">
            <v>0</v>
          </cell>
        </row>
        <row r="14">
          <cell r="D14">
            <v>162.28617135990481</v>
          </cell>
          <cell r="E14">
            <v>170.08244879909776</v>
          </cell>
          <cell r="F14">
            <v>186.99698885274773</v>
          </cell>
          <cell r="G14">
            <v>228.85201444854872</v>
          </cell>
          <cell r="H14">
            <v>267.86714872359329</v>
          </cell>
          <cell r="I14">
            <v>309.8903840359863</v>
          </cell>
          <cell r="J14">
            <v>334.41200000000003</v>
          </cell>
          <cell r="K14">
            <v>383.60599999999999</v>
          </cell>
          <cell r="L14">
            <v>383.60599999999999</v>
          </cell>
          <cell r="M14">
            <v>559.14599999999996</v>
          </cell>
          <cell r="N14">
            <v>624.55799999999999</v>
          </cell>
          <cell r="R14">
            <v>29.610900864533182</v>
          </cell>
          <cell r="S14">
            <v>41.164861619069249</v>
          </cell>
          <cell r="T14">
            <v>50.387071112575867</v>
          </cell>
          <cell r="U14">
            <v>44.154391920268566</v>
          </cell>
          <cell r="V14">
            <v>50.810673865580831</v>
          </cell>
          <cell r="W14">
            <v>46.506</v>
          </cell>
          <cell r="X14">
            <v>62.456000000000003</v>
          </cell>
          <cell r="Y14">
            <v>77.42</v>
          </cell>
          <cell r="Z14">
            <v>111.56</v>
          </cell>
          <cell r="AA14">
            <v>130.37800000000001</v>
          </cell>
          <cell r="AB14">
            <v>0.14245936656825076</v>
          </cell>
          <cell r="AF14">
            <v>397018.32837</v>
          </cell>
          <cell r="AG14" t="str">
            <v>#N/A N/A</v>
          </cell>
          <cell r="AH14" t="e">
            <v>#VALUE!</v>
          </cell>
        </row>
        <row r="15">
          <cell r="D15">
            <v>261.0880384881321</v>
          </cell>
          <cell r="E15">
            <v>375.7651779728115</v>
          </cell>
          <cell r="F15">
            <v>518.7585912216972</v>
          </cell>
          <cell r="G15">
            <v>1319.0511204533695</v>
          </cell>
          <cell r="H15">
            <v>1856.7172882308623</v>
          </cell>
          <cell r="I15">
            <v>2450.3012978888014</v>
          </cell>
          <cell r="J15">
            <v>1805.7850000000001</v>
          </cell>
          <cell r="K15">
            <v>1527.2629999999999</v>
          </cell>
          <cell r="L15">
            <v>1527.2629999999999</v>
          </cell>
          <cell r="M15">
            <v>1605.9780000000001</v>
          </cell>
          <cell r="N15">
            <v>1145.309</v>
          </cell>
          <cell r="R15">
            <v>172.78725854657284</v>
          </cell>
          <cell r="S15">
            <v>245.66976447831081</v>
          </cell>
          <cell r="T15">
            <v>680.62279578641642</v>
          </cell>
          <cell r="U15">
            <v>805.55632765129133</v>
          </cell>
          <cell r="V15">
            <v>1002.5483635215039</v>
          </cell>
          <cell r="W15">
            <v>590.03200000000004</v>
          </cell>
          <cell r="X15">
            <v>433.28800000000001</v>
          </cell>
          <cell r="Y15">
            <v>400.97800000000001</v>
          </cell>
          <cell r="Z15">
            <v>388.28100000000001</v>
          </cell>
          <cell r="AA15" t="str">
            <v>#N/A N/A</v>
          </cell>
          <cell r="AB15">
            <v>0.67055738942251386</v>
          </cell>
          <cell r="AF15">
            <v>200275723.824</v>
          </cell>
          <cell r="AG15">
            <v>1309</v>
          </cell>
          <cell r="AH15">
            <v>9.341944319700932E-3</v>
          </cell>
        </row>
        <row r="16">
          <cell r="D16" t="str">
            <v>#N/A Invalid Security</v>
          </cell>
          <cell r="E16" t="str">
            <v>#N/A Invalid Security</v>
          </cell>
          <cell r="F16" t="str">
            <v>#N/A Invalid Security</v>
          </cell>
          <cell r="G16" t="str">
            <v>#N/A Invalid Security</v>
          </cell>
          <cell r="H16" t="str">
            <v>#N/A Invalid Security</v>
          </cell>
          <cell r="I16" t="str">
            <v>#N/A Invalid Security</v>
          </cell>
          <cell r="J16" t="str">
            <v>#N/A Invalid Security</v>
          </cell>
          <cell r="K16" t="str">
            <v>#N/A Invalid Security</v>
          </cell>
          <cell r="L16" t="str">
            <v>#N/A Invalid Security</v>
          </cell>
          <cell r="M16" t="str">
            <v>#N/A Invalid Security</v>
          </cell>
          <cell r="N16" t="str">
            <v>#N/A Invalid Security</v>
          </cell>
          <cell r="R16" t="str">
            <v>#N/A Invalid Security</v>
          </cell>
          <cell r="S16" t="str">
            <v>#N/A Invalid Security</v>
          </cell>
          <cell r="T16" t="str">
            <v>#N/A Invalid Security</v>
          </cell>
          <cell r="U16" t="str">
            <v>#N/A Invalid Security</v>
          </cell>
          <cell r="V16" t="str">
            <v>#N/A Invalid Security</v>
          </cell>
          <cell r="W16" t="str">
            <v>#N/A Invalid Security</v>
          </cell>
          <cell r="X16" t="str">
            <v>#N/A Invalid Security</v>
          </cell>
          <cell r="Y16" t="str">
            <v>#N/A Invalid Security</v>
          </cell>
          <cell r="Z16" t="str">
            <v>#N/A Invalid Security</v>
          </cell>
          <cell r="AA16" t="str">
            <v>#N/A Invalid Security</v>
          </cell>
          <cell r="AB16" t="e">
            <v>#VALUE!</v>
          </cell>
          <cell r="AF16" t="e">
            <v>#VALUE!</v>
          </cell>
          <cell r="AG16" t="str">
            <v>#N/A Invalid Security</v>
          </cell>
          <cell r="AH16" t="e">
            <v>#VALUE!</v>
          </cell>
        </row>
        <row r="17">
          <cell r="D17" t="str">
            <v>#N/A Invalid Security</v>
          </cell>
          <cell r="E17" t="str">
            <v>#N/A Invalid Security</v>
          </cell>
          <cell r="F17" t="str">
            <v>#N/A Invalid Security</v>
          </cell>
          <cell r="G17" t="str">
            <v>#N/A Invalid Security</v>
          </cell>
          <cell r="H17" t="str">
            <v>#N/A Invalid Security</v>
          </cell>
          <cell r="I17" t="str">
            <v>#N/A Invalid Security</v>
          </cell>
          <cell r="J17" t="str">
            <v>#N/A Invalid Security</v>
          </cell>
          <cell r="K17" t="str">
            <v>#N/A Invalid Security</v>
          </cell>
          <cell r="L17" t="str">
            <v>#N/A Invalid Security</v>
          </cell>
          <cell r="M17" t="str">
            <v>#N/A Invalid Security</v>
          </cell>
          <cell r="N17" t="str">
            <v>#N/A Invalid Security</v>
          </cell>
          <cell r="R17" t="str">
            <v>#N/A Invalid Security</v>
          </cell>
          <cell r="S17" t="str">
            <v>#N/A Invalid Security</v>
          </cell>
          <cell r="T17" t="str">
            <v>#N/A Invalid Security</v>
          </cell>
          <cell r="U17" t="str">
            <v>#N/A Invalid Security</v>
          </cell>
          <cell r="V17" t="str">
            <v>#N/A Invalid Security</v>
          </cell>
          <cell r="W17" t="str">
            <v>#N/A Invalid Security</v>
          </cell>
          <cell r="X17" t="str">
            <v>#N/A Invalid Security</v>
          </cell>
          <cell r="Y17" t="str">
            <v>#N/A Invalid Security</v>
          </cell>
          <cell r="Z17" t="str">
            <v>#N/A Invalid Security</v>
          </cell>
          <cell r="AA17" t="str">
            <v>#N/A Invalid Security</v>
          </cell>
          <cell r="AB17" t="e">
            <v>#VALUE!</v>
          </cell>
          <cell r="AF17" t="e">
            <v>#VALUE!</v>
          </cell>
          <cell r="AG17" t="str">
            <v>#N/A Invalid Security</v>
          </cell>
          <cell r="AH17" t="e">
            <v>#VALUE!</v>
          </cell>
        </row>
        <row r="19">
          <cell r="D19">
            <v>1029.8403723984302</v>
          </cell>
          <cell r="E19">
            <v>1820.9365860580831</v>
          </cell>
          <cell r="F19">
            <v>2902.9718645357884</v>
          </cell>
          <cell r="G19">
            <v>4409.6938286090162</v>
          </cell>
          <cell r="H19">
            <v>6956.6486040022592</v>
          </cell>
          <cell r="I19">
            <v>9830.7988923554713</v>
          </cell>
          <cell r="J19">
            <v>12811.264999999999</v>
          </cell>
          <cell r="K19">
            <v>15692.869000000001</v>
          </cell>
          <cell r="L19">
            <v>15692.869000000001</v>
          </cell>
          <cell r="M19">
            <v>24358.607</v>
          </cell>
          <cell r="N19" t="str">
            <v>#N/A N/A</v>
          </cell>
          <cell r="R19">
            <v>939.08387653132615</v>
          </cell>
          <cell r="S19">
            <v>1534.1378260211868</v>
          </cell>
          <cell r="T19">
            <v>2066.9559695612302</v>
          </cell>
          <cell r="U19">
            <v>2784.5208256883543</v>
          </cell>
          <cell r="V19">
            <v>3396.5437012306138</v>
          </cell>
          <cell r="W19">
            <v>5211.25</v>
          </cell>
          <cell r="X19">
            <v>6626.7390000000005</v>
          </cell>
          <cell r="Y19">
            <v>8319.4249999999993</v>
          </cell>
          <cell r="Z19">
            <v>11043.844999999999</v>
          </cell>
          <cell r="AA19" t="str">
            <v>#N/A N/A</v>
          </cell>
          <cell r="AB19">
            <v>0.43664245195411877</v>
          </cell>
          <cell r="AF19">
            <v>1209679018.1815999</v>
          </cell>
          <cell r="AG19">
            <v>9035</v>
          </cell>
          <cell r="AH19">
            <v>9.7168096666598938E-3</v>
          </cell>
        </row>
        <row r="20">
          <cell r="D20">
            <v>390.14096545729814</v>
          </cell>
          <cell r="E20">
            <v>551.85489043903453</v>
          </cell>
          <cell r="F20">
            <v>797.14999601689271</v>
          </cell>
          <cell r="G20">
            <v>1100.5529686013285</v>
          </cell>
          <cell r="H20">
            <v>1358.8370913569654</v>
          </cell>
          <cell r="I20">
            <v>1594.0594824729067</v>
          </cell>
          <cell r="J20">
            <v>1609.6100000000001</v>
          </cell>
          <cell r="K20">
            <v>1700.848</v>
          </cell>
          <cell r="L20">
            <v>1700.848</v>
          </cell>
          <cell r="M20" t="str">
            <v>#N/A N/A</v>
          </cell>
          <cell r="N20" t="str">
            <v>#N/A N/A</v>
          </cell>
          <cell r="R20">
            <v>295.29565571541917</v>
          </cell>
          <cell r="S20">
            <v>445.15471324266315</v>
          </cell>
          <cell r="T20">
            <v>598.98380097457846</v>
          </cell>
          <cell r="U20">
            <v>718.72582290071807</v>
          </cell>
          <cell r="V20">
            <v>664.56943017438039</v>
          </cell>
          <cell r="W20">
            <v>660.44600000000003</v>
          </cell>
          <cell r="X20">
            <v>691.76400000000001</v>
          </cell>
          <cell r="Y20">
            <v>722.553</v>
          </cell>
          <cell r="Z20" t="str">
            <v>#N/A N/A</v>
          </cell>
          <cell r="AA20" t="str">
            <v>#N/A N/A</v>
          </cell>
          <cell r="AB20">
            <v>0.34514384982297752</v>
          </cell>
          <cell r="AF20">
            <v>428416724.59999996</v>
          </cell>
          <cell r="AG20">
            <v>42137</v>
          </cell>
          <cell r="AH20">
            <v>0.12919209579253976</v>
          </cell>
        </row>
        <row r="21">
          <cell r="D21" t="str">
            <v>#N/A Invalid Security</v>
          </cell>
          <cell r="E21" t="str">
            <v>#N/A Invalid Security</v>
          </cell>
          <cell r="F21" t="str">
            <v>#N/A Invalid Security</v>
          </cell>
          <cell r="G21" t="str">
            <v>#N/A Invalid Security</v>
          </cell>
          <cell r="H21" t="str">
            <v>#N/A Invalid Security</v>
          </cell>
          <cell r="I21" t="str">
            <v>#N/A Invalid Security</v>
          </cell>
          <cell r="J21" t="str">
            <v>#N/A Invalid Security</v>
          </cell>
          <cell r="K21" t="str">
            <v>#N/A Invalid Security</v>
          </cell>
          <cell r="L21" t="str">
            <v>#N/A Invalid Security</v>
          </cell>
          <cell r="M21" t="str">
            <v>#N/A Invalid Security</v>
          </cell>
          <cell r="N21" t="str">
            <v>#N/A Invalid Security</v>
          </cell>
          <cell r="R21" t="str">
            <v>#N/A Invalid Security</v>
          </cell>
          <cell r="S21" t="str">
            <v>#N/A Invalid Security</v>
          </cell>
          <cell r="T21" t="str">
            <v>#N/A Invalid Security</v>
          </cell>
          <cell r="U21" t="str">
            <v>#N/A Invalid Security</v>
          </cell>
          <cell r="V21" t="str">
            <v>#N/A Invalid Security</v>
          </cell>
          <cell r="W21" t="str">
            <v>#N/A Invalid Security</v>
          </cell>
          <cell r="X21" t="str">
            <v>#N/A Invalid Security</v>
          </cell>
          <cell r="Y21" t="str">
            <v>#N/A Invalid Security</v>
          </cell>
          <cell r="Z21" t="str">
            <v>#N/A Invalid Security</v>
          </cell>
          <cell r="AA21" t="str">
            <v>#N/A Invalid Security</v>
          </cell>
          <cell r="AB21" t="e">
            <v>#VALUE!</v>
          </cell>
          <cell r="AF21" t="e">
            <v>#VALUE!</v>
          </cell>
          <cell r="AG21" t="str">
            <v>#N/A Invalid Security</v>
          </cell>
          <cell r="AH21" t="e">
            <v>#VALUE!</v>
          </cell>
        </row>
        <row r="22">
          <cell r="D22" t="str">
            <v>#N/A Invalid Security</v>
          </cell>
          <cell r="E22" t="str">
            <v>#N/A Invalid Security</v>
          </cell>
          <cell r="F22" t="str">
            <v>#N/A Invalid Security</v>
          </cell>
          <cell r="G22" t="str">
            <v>#N/A Invalid Security</v>
          </cell>
          <cell r="H22" t="str">
            <v>#N/A Invalid Security</v>
          </cell>
          <cell r="I22" t="str">
            <v>#N/A Invalid Security</v>
          </cell>
          <cell r="J22" t="str">
            <v>#N/A Invalid Security</v>
          </cell>
          <cell r="K22" t="str">
            <v>#N/A Invalid Security</v>
          </cell>
          <cell r="L22" t="str">
            <v>#N/A Invalid Security</v>
          </cell>
          <cell r="M22" t="str">
            <v>#N/A Invalid Security</v>
          </cell>
          <cell r="N22" t="str">
            <v>#N/A Invalid Security</v>
          </cell>
          <cell r="R22" t="str">
            <v>#N/A Invalid Security</v>
          </cell>
          <cell r="S22" t="str">
            <v>#N/A Invalid Security</v>
          </cell>
          <cell r="T22" t="str">
            <v>#N/A Invalid Security</v>
          </cell>
          <cell r="U22" t="str">
            <v>#N/A Invalid Security</v>
          </cell>
          <cell r="V22" t="str">
            <v>#N/A Invalid Security</v>
          </cell>
          <cell r="W22" t="str">
            <v>#N/A Invalid Security</v>
          </cell>
          <cell r="X22" t="str">
            <v>#N/A Invalid Security</v>
          </cell>
          <cell r="Y22" t="str">
            <v>#N/A Invalid Security</v>
          </cell>
          <cell r="Z22" t="str">
            <v>#N/A Invalid Security</v>
          </cell>
          <cell r="AA22" t="str">
            <v>#N/A Invalid Security</v>
          </cell>
          <cell r="AB22" t="e">
            <v>#VALUE!</v>
          </cell>
          <cell r="AF22" t="e">
            <v>#VALUE!</v>
          </cell>
          <cell r="AG22" t="str">
            <v>#N/A Invalid Security</v>
          </cell>
          <cell r="AH22" t="e">
            <v>#VALUE!</v>
          </cell>
        </row>
        <row r="24">
          <cell r="D24">
            <v>14684.034249539716</v>
          </cell>
          <cell r="E24">
            <v>18371.153963073441</v>
          </cell>
          <cell r="F24">
            <v>15467.813947774936</v>
          </cell>
          <cell r="G24">
            <v>11869.037938899592</v>
          </cell>
          <cell r="H24">
            <v>8208.1805936976161</v>
          </cell>
          <cell r="I24">
            <v>7690.0203554510026</v>
          </cell>
          <cell r="J24">
            <v>5755.9059999999999</v>
          </cell>
          <cell r="K24">
            <v>5362.28</v>
          </cell>
          <cell r="L24">
            <v>5362.28</v>
          </cell>
          <cell r="M24">
            <v>5032.241</v>
          </cell>
          <cell r="N24">
            <v>4862.9650000000001</v>
          </cell>
          <cell r="R24">
            <v>5629.0336743533308</v>
          </cell>
          <cell r="S24">
            <v>3921.66746910136</v>
          </cell>
          <cell r="T24">
            <v>2081.2896777645383</v>
          </cell>
          <cell r="U24">
            <v>-314.27101928492425</v>
          </cell>
          <cell r="V24">
            <v>-287.70620770155375</v>
          </cell>
          <cell r="W24">
            <v>-217.405</v>
          </cell>
          <cell r="X24">
            <v>321.85399999999998</v>
          </cell>
          <cell r="Y24">
            <v>350.03100000000001</v>
          </cell>
          <cell r="Z24">
            <v>484.387</v>
          </cell>
          <cell r="AA24">
            <v>91.701000000000008</v>
          </cell>
          <cell r="AB24">
            <v>-1.3821995421452367</v>
          </cell>
          <cell r="AF24">
            <v>1590234525.0000002</v>
          </cell>
          <cell r="AG24">
            <v>0</v>
          </cell>
          <cell r="AH24">
            <v>0</v>
          </cell>
        </row>
        <row r="25">
          <cell r="D25">
            <v>60420</v>
          </cell>
          <cell r="E25">
            <v>58437</v>
          </cell>
          <cell r="F25">
            <v>62484</v>
          </cell>
          <cell r="G25">
            <v>69943</v>
          </cell>
          <cell r="H25">
            <v>73723</v>
          </cell>
          <cell r="I25">
            <v>77849</v>
          </cell>
          <cell r="J25">
            <v>86458.87</v>
          </cell>
          <cell r="K25">
            <v>99618.69</v>
          </cell>
          <cell r="L25">
            <v>99618.69</v>
          </cell>
          <cell r="M25">
            <v>109875</v>
          </cell>
          <cell r="N25">
            <v>104446</v>
          </cell>
          <cell r="R25">
            <v>23255</v>
          </cell>
          <cell r="S25">
            <v>26830</v>
          </cell>
          <cell r="T25">
            <v>29927</v>
          </cell>
          <cell r="U25">
            <v>30923</v>
          </cell>
          <cell r="V25">
            <v>30519</v>
          </cell>
          <cell r="W25">
            <v>31935.125</v>
          </cell>
          <cell r="X25">
            <v>34080.556000000004</v>
          </cell>
          <cell r="Y25">
            <v>37820.444000000003</v>
          </cell>
          <cell r="Z25">
            <v>39029.25</v>
          </cell>
          <cell r="AA25">
            <v>36460</v>
          </cell>
          <cell r="AB25">
            <v>9.9651553751358479E-2</v>
          </cell>
          <cell r="AF25">
            <v>357402617.2379961</v>
          </cell>
          <cell r="AG25">
            <v>22645</v>
          </cell>
          <cell r="AH25">
            <v>7.7161793418499061E-2</v>
          </cell>
        </row>
        <row r="26">
          <cell r="D26">
            <v>77891.865286381581</v>
          </cell>
          <cell r="E26">
            <v>77236.588889113671</v>
          </cell>
          <cell r="F26">
            <v>77793.852250731507</v>
          </cell>
          <cell r="G26">
            <v>84029.399944392964</v>
          </cell>
          <cell r="H26">
            <v>82293.356199262082</v>
          </cell>
          <cell r="I26">
            <v>82305.432648522255</v>
          </cell>
          <cell r="J26">
            <v>75422.213000000003</v>
          </cell>
          <cell r="K26">
            <v>75257.81</v>
          </cell>
          <cell r="L26">
            <v>75257.81</v>
          </cell>
          <cell r="M26">
            <v>77596.312999999995</v>
          </cell>
          <cell r="N26">
            <v>83665.286999999997</v>
          </cell>
          <cell r="R26">
            <v>1775.1442183763859</v>
          </cell>
          <cell r="S26">
            <v>4343.4301803439139</v>
          </cell>
          <cell r="T26">
            <v>6145.3099566881683</v>
          </cell>
          <cell r="U26">
            <v>3197.8283387084248</v>
          </cell>
          <cell r="V26">
            <v>6785.1611564677114</v>
          </cell>
          <cell r="W26">
            <v>3921.2820000000002</v>
          </cell>
          <cell r="X26">
            <v>4879.0330000000004</v>
          </cell>
          <cell r="Y26">
            <v>6581.5730000000003</v>
          </cell>
          <cell r="Z26">
            <v>6897.95</v>
          </cell>
          <cell r="AA26">
            <v>7538.2570000000005</v>
          </cell>
          <cell r="AB26">
            <v>0.21676628698033173</v>
          </cell>
          <cell r="AF26">
            <v>1949444099.622</v>
          </cell>
          <cell r="AG26">
            <v>1063145</v>
          </cell>
          <cell r="AH26">
            <v>0.53122266341540891</v>
          </cell>
        </row>
        <row r="27">
          <cell r="D27" t="str">
            <v>#N/A Invalid Security</v>
          </cell>
          <cell r="E27" t="str">
            <v>#N/A Invalid Security</v>
          </cell>
          <cell r="F27" t="str">
            <v>#N/A Invalid Security</v>
          </cell>
          <cell r="G27" t="str">
            <v>#N/A Invalid Security</v>
          </cell>
          <cell r="H27" t="str">
            <v>#N/A Invalid Security</v>
          </cell>
          <cell r="I27" t="str">
            <v>#N/A Invalid Security</v>
          </cell>
          <cell r="J27" t="str">
            <v>#N/A Invalid Security</v>
          </cell>
          <cell r="K27" t="str">
            <v>#N/A Invalid Security</v>
          </cell>
          <cell r="L27" t="str">
            <v>#N/A Invalid Security</v>
          </cell>
          <cell r="M27" t="str">
            <v>#N/A Invalid Security</v>
          </cell>
          <cell r="N27" t="str">
            <v>#N/A Invalid Security</v>
          </cell>
          <cell r="R27" t="str">
            <v>#N/A Invalid Security</v>
          </cell>
          <cell r="S27" t="str">
            <v>#N/A Invalid Security</v>
          </cell>
          <cell r="T27" t="str">
            <v>#N/A Invalid Security</v>
          </cell>
          <cell r="U27" t="str">
            <v>#N/A Invalid Security</v>
          </cell>
          <cell r="V27" t="str">
            <v>#N/A Invalid Security</v>
          </cell>
          <cell r="W27" t="str">
            <v>#N/A Invalid Security</v>
          </cell>
          <cell r="X27" t="str">
            <v>#N/A Invalid Security</v>
          </cell>
          <cell r="Y27" t="str">
            <v>#N/A Invalid Security</v>
          </cell>
          <cell r="Z27" t="str">
            <v>#N/A Invalid Security</v>
          </cell>
          <cell r="AA27" t="str">
            <v>#N/A Invalid Security</v>
          </cell>
          <cell r="AB27" t="e">
            <v>#VALUE!</v>
          </cell>
          <cell r="AF27" t="e">
            <v>#VALUE!</v>
          </cell>
          <cell r="AG27" t="str">
            <v>#N/A Invalid Security</v>
          </cell>
          <cell r="AH27" t="e">
            <v>#VALUE!</v>
          </cell>
        </row>
        <row r="29">
          <cell r="D29">
            <v>21795.55</v>
          </cell>
          <cell r="E29">
            <v>23650.562999999998</v>
          </cell>
          <cell r="F29">
            <v>29321</v>
          </cell>
          <cell r="G29">
            <v>37905</v>
          </cell>
          <cell r="H29">
            <v>50175</v>
          </cell>
          <cell r="I29">
            <v>59825</v>
          </cell>
          <cell r="J29">
            <v>53014.675999999999</v>
          </cell>
          <cell r="K29">
            <v>63426.059000000001</v>
          </cell>
          <cell r="L29">
            <v>63426.059000000001</v>
          </cell>
          <cell r="M29">
            <v>83775.199999999997</v>
          </cell>
          <cell r="N29">
            <v>94915.125</v>
          </cell>
          <cell r="R29">
            <v>9836.4939999999988</v>
          </cell>
          <cell r="S29">
            <v>11777</v>
          </cell>
          <cell r="T29">
            <v>13593</v>
          </cell>
          <cell r="U29">
            <v>15722</v>
          </cell>
          <cell r="V29">
            <v>17905</v>
          </cell>
          <cell r="W29">
            <v>26154.543000000001</v>
          </cell>
          <cell r="X29">
            <v>31406.085999999999</v>
          </cell>
          <cell r="Y29">
            <v>37031.582999999999</v>
          </cell>
          <cell r="Z29">
            <v>42778.444000000003</v>
          </cell>
          <cell r="AA29">
            <v>48927</v>
          </cell>
          <cell r="AB29">
            <v>0.16920093374132916</v>
          </cell>
          <cell r="AF29">
            <v>391056711.45661998</v>
          </cell>
          <cell r="AG29">
            <v>5241</v>
          </cell>
          <cell r="AH29">
            <v>1.5811342806920588E-2</v>
          </cell>
        </row>
        <row r="30">
          <cell r="D30">
            <v>37491</v>
          </cell>
          <cell r="E30">
            <v>42905</v>
          </cell>
          <cell r="F30">
            <v>65225</v>
          </cell>
          <cell r="G30">
            <v>108249</v>
          </cell>
          <cell r="H30">
            <v>156508</v>
          </cell>
          <cell r="I30">
            <v>170910</v>
          </cell>
          <cell r="J30">
            <v>180253.06299999999</v>
          </cell>
          <cell r="K30">
            <v>196756.68799999999</v>
          </cell>
          <cell r="L30">
            <v>196756.68799999999</v>
          </cell>
          <cell r="M30">
            <v>205691.5</v>
          </cell>
          <cell r="N30">
            <v>204468</v>
          </cell>
          <cell r="R30">
            <v>12474</v>
          </cell>
          <cell r="S30">
            <v>19412</v>
          </cell>
          <cell r="T30">
            <v>35604</v>
          </cell>
          <cell r="U30">
            <v>58518</v>
          </cell>
          <cell r="V30">
            <v>55756</v>
          </cell>
          <cell r="W30">
            <v>59728.529000000002</v>
          </cell>
          <cell r="X30">
            <v>64805.940999999999</v>
          </cell>
          <cell r="Y30">
            <v>70473.5</v>
          </cell>
          <cell r="Z30" t="str">
            <v>#N/A N/A</v>
          </cell>
          <cell r="AA30" t="str">
            <v>#N/A N/A</v>
          </cell>
          <cell r="AB30">
            <v>0.67402232288981745</v>
          </cell>
          <cell r="AF30">
            <v>575074746.68000007</v>
          </cell>
          <cell r="AG30">
            <v>31040</v>
          </cell>
          <cell r="AH30">
            <v>7.0765662300295754E-2</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PPT (Output)"/>
      <sheetName val="Bar Chart"/>
      <sheetName val="Comps (Manual)"/>
      <sheetName val="Comps - Data Pull (BB)"/>
      <sheetName val="Comps - Pasted (BB)"/>
      <sheetName val="CAGRs - Data Pull (BB)"/>
      <sheetName val="CAGRs - Pasted (BB)"/>
    </sheetNames>
    <sheetDataSet>
      <sheetData sheetId="0" refreshError="1"/>
      <sheetData sheetId="1"/>
      <sheetData sheetId="2" refreshError="1"/>
      <sheetData sheetId="3">
        <row r="6">
          <cell r="B6" t="str">
            <v>Take Two Interactive</v>
          </cell>
        </row>
      </sheetData>
      <sheetData sheetId="4">
        <row r="6">
          <cell r="AF6" t="e">
            <v>#NAME?</v>
          </cell>
          <cell r="AG6" t="e">
            <v>#NAME?</v>
          </cell>
          <cell r="AI6" t="e">
            <v>#NAME?</v>
          </cell>
          <cell r="AL6" t="e">
            <v>#NAME?</v>
          </cell>
          <cell r="AM6" t="e">
            <v>#NAME?</v>
          </cell>
          <cell r="AN6" t="e">
            <v>#NAME?</v>
          </cell>
          <cell r="AO6" t="e">
            <v>#NAME?</v>
          </cell>
          <cell r="AP6" t="e">
            <v>#NAME?</v>
          </cell>
          <cell r="AQ6" t="e">
            <v>#NAME?</v>
          </cell>
          <cell r="AR6" t="e">
            <v>#NAME?</v>
          </cell>
          <cell r="AS6" t="e">
            <v>#NAME?</v>
          </cell>
          <cell r="AT6" t="e">
            <v>#NAME?</v>
          </cell>
          <cell r="AU6" t="e">
            <v>#NAME?</v>
          </cell>
          <cell r="BE6" t="e">
            <v>#NAME?</v>
          </cell>
          <cell r="BH6" t="e">
            <v>#NAME?</v>
          </cell>
          <cell r="BI6" t="e">
            <v>#NAME?</v>
          </cell>
          <cell r="BJ6" t="e">
            <v>#NAME?</v>
          </cell>
          <cell r="BK6" t="e">
            <v>#NAME?</v>
          </cell>
          <cell r="BL6" t="e">
            <v>#NAME?</v>
          </cell>
          <cell r="BM6" t="e">
            <v>#NAME?</v>
          </cell>
          <cell r="BN6" t="e">
            <v>#NAME?</v>
          </cell>
          <cell r="BO6" t="e">
            <v>#NAME?</v>
          </cell>
          <cell r="BP6" t="e">
            <v>#NAME?</v>
          </cell>
          <cell r="BQ6" t="e">
            <v>#NAME?</v>
          </cell>
          <cell r="BR6" t="e">
            <v>#NAME?</v>
          </cell>
          <cell r="BS6" t="e">
            <v>#NAME?</v>
          </cell>
          <cell r="BT6" t="e">
            <v>#NAME?</v>
          </cell>
          <cell r="BU6" t="e">
            <v>#NAME?</v>
          </cell>
          <cell r="BV6" t="e">
            <v>#NAME?</v>
          </cell>
          <cell r="BW6" t="e">
            <v>#NAME?</v>
          </cell>
        </row>
        <row r="7">
          <cell r="AF7" t="e">
            <v>#NAME?</v>
          </cell>
          <cell r="AG7" t="e">
            <v>#NAME?</v>
          </cell>
          <cell r="AI7" t="e">
            <v>#NAME?</v>
          </cell>
          <cell r="AL7" t="e">
            <v>#NAME?</v>
          </cell>
          <cell r="AM7" t="e">
            <v>#NAME?</v>
          </cell>
          <cell r="AN7" t="e">
            <v>#NAME?</v>
          </cell>
          <cell r="AO7" t="e">
            <v>#NAME?</v>
          </cell>
          <cell r="AP7" t="e">
            <v>#NAME?</v>
          </cell>
          <cell r="AQ7" t="e">
            <v>#NAME?</v>
          </cell>
          <cell r="AR7" t="e">
            <v>#NAME?</v>
          </cell>
          <cell r="AS7" t="e">
            <v>#NAME?</v>
          </cell>
          <cell r="AT7" t="e">
            <v>#NAME?</v>
          </cell>
          <cell r="AU7" t="e">
            <v>#NAME?</v>
          </cell>
          <cell r="BE7" t="e">
            <v>#NAME?</v>
          </cell>
          <cell r="BH7" t="e">
            <v>#NAME?</v>
          </cell>
          <cell r="BI7" t="e">
            <v>#NAME?</v>
          </cell>
          <cell r="BJ7" t="e">
            <v>#NAME?</v>
          </cell>
          <cell r="BK7" t="e">
            <v>#NAME?</v>
          </cell>
          <cell r="BL7" t="e">
            <v>#NAME?</v>
          </cell>
          <cell r="BM7" t="e">
            <v>#NAME?</v>
          </cell>
          <cell r="BN7" t="e">
            <v>#NAME?</v>
          </cell>
          <cell r="BO7" t="e">
            <v>#NAME?</v>
          </cell>
          <cell r="BP7" t="e">
            <v>#NAME?</v>
          </cell>
          <cell r="BQ7" t="e">
            <v>#NAME?</v>
          </cell>
          <cell r="BR7" t="e">
            <v>#NAME?</v>
          </cell>
          <cell r="BS7" t="e">
            <v>#NAME?</v>
          </cell>
          <cell r="BT7" t="e">
            <v>#NAME?</v>
          </cell>
          <cell r="BU7" t="e">
            <v>#NAME?</v>
          </cell>
          <cell r="BV7" t="e">
            <v>#NAME?</v>
          </cell>
          <cell r="BW7" t="e">
            <v>#NAME?</v>
          </cell>
        </row>
        <row r="8">
          <cell r="AF8" t="e">
            <v>#NAME?</v>
          </cell>
          <cell r="AG8" t="e">
            <v>#NAME?</v>
          </cell>
          <cell r="AI8" t="e">
            <v>#NAME?</v>
          </cell>
          <cell r="AL8" t="e">
            <v>#NAME?</v>
          </cell>
          <cell r="AM8" t="e">
            <v>#NAME?</v>
          </cell>
          <cell r="AN8" t="e">
            <v>#NAME?</v>
          </cell>
          <cell r="AO8" t="e">
            <v>#NAME?</v>
          </cell>
          <cell r="AP8" t="e">
            <v>#NAME?</v>
          </cell>
          <cell r="AQ8" t="e">
            <v>#NAME?</v>
          </cell>
          <cell r="AR8" t="e">
            <v>#NAME?</v>
          </cell>
          <cell r="AS8" t="e">
            <v>#NAME?</v>
          </cell>
          <cell r="AT8" t="e">
            <v>#NAME?</v>
          </cell>
          <cell r="AU8" t="e">
            <v>#NAME?</v>
          </cell>
          <cell r="BE8" t="e">
            <v>#NAME?</v>
          </cell>
          <cell r="BH8" t="e">
            <v>#NAME?</v>
          </cell>
          <cell r="BI8" t="e">
            <v>#NAME?</v>
          </cell>
          <cell r="BJ8" t="e">
            <v>#NAME?</v>
          </cell>
          <cell r="BK8" t="e">
            <v>#NAME?</v>
          </cell>
          <cell r="BL8" t="e">
            <v>#NAME?</v>
          </cell>
          <cell r="BM8" t="e">
            <v>#NAME?</v>
          </cell>
          <cell r="BN8" t="e">
            <v>#NAME?</v>
          </cell>
          <cell r="BO8" t="e">
            <v>#NAME?</v>
          </cell>
          <cell r="BP8" t="e">
            <v>#NAME?</v>
          </cell>
          <cell r="BQ8" t="e">
            <v>#NAME?</v>
          </cell>
          <cell r="BR8" t="e">
            <v>#NAME?</v>
          </cell>
          <cell r="BS8" t="e">
            <v>#NAME?</v>
          </cell>
          <cell r="BT8" t="e">
            <v>#NAME?</v>
          </cell>
          <cell r="BU8" t="e">
            <v>#NAME?</v>
          </cell>
          <cell r="BV8" t="e">
            <v>#NAME?</v>
          </cell>
          <cell r="BW8" t="e">
            <v>#NAME?</v>
          </cell>
        </row>
        <row r="9">
          <cell r="AF9" t="e">
            <v>#NAME?</v>
          </cell>
          <cell r="AG9" t="e">
            <v>#NAME?</v>
          </cell>
          <cell r="AI9" t="e">
            <v>#NAME?</v>
          </cell>
          <cell r="AL9" t="e">
            <v>#NAME?</v>
          </cell>
          <cell r="AM9" t="e">
            <v>#NAME?</v>
          </cell>
          <cell r="AN9" t="e">
            <v>#NAME?</v>
          </cell>
          <cell r="AO9" t="e">
            <v>#NAME?</v>
          </cell>
          <cell r="AP9" t="e">
            <v>#NAME?</v>
          </cell>
          <cell r="AQ9" t="e">
            <v>#NAME?</v>
          </cell>
          <cell r="AR9" t="e">
            <v>#NAME?</v>
          </cell>
          <cell r="AS9" t="e">
            <v>#NAME?</v>
          </cell>
          <cell r="AT9" t="e">
            <v>#NAME?</v>
          </cell>
          <cell r="AU9" t="e">
            <v>#NAME?</v>
          </cell>
          <cell r="BE9" t="e">
            <v>#NAME?</v>
          </cell>
          <cell r="BH9" t="e">
            <v>#NAME?</v>
          </cell>
          <cell r="BI9" t="e">
            <v>#NAME?</v>
          </cell>
          <cell r="BJ9" t="e">
            <v>#NAME?</v>
          </cell>
          <cell r="BK9" t="e">
            <v>#NAME?</v>
          </cell>
          <cell r="BL9" t="e">
            <v>#NAME?</v>
          </cell>
          <cell r="BM9" t="e">
            <v>#NAME?</v>
          </cell>
          <cell r="BN9" t="e">
            <v>#NAME?</v>
          </cell>
          <cell r="BO9" t="e">
            <v>#NAME?</v>
          </cell>
          <cell r="BP9" t="e">
            <v>#NAME?</v>
          </cell>
          <cell r="BQ9" t="e">
            <v>#NAME?</v>
          </cell>
          <cell r="BR9" t="e">
            <v>#NAME?</v>
          </cell>
          <cell r="BS9" t="e">
            <v>#NAME?</v>
          </cell>
          <cell r="BT9" t="e">
            <v>#NAME?</v>
          </cell>
          <cell r="BU9" t="e">
            <v>#NAME?</v>
          </cell>
          <cell r="BV9" t="e">
            <v>#NAME?</v>
          </cell>
          <cell r="BW9" t="e">
            <v>#NAME?</v>
          </cell>
        </row>
        <row r="10">
          <cell r="AF10" t="e">
            <v>#NAME?</v>
          </cell>
          <cell r="AG10" t="e">
            <v>#NAME?</v>
          </cell>
          <cell r="AI10" t="e">
            <v>#NAME?</v>
          </cell>
          <cell r="AL10" t="e">
            <v>#NAME?</v>
          </cell>
          <cell r="AM10" t="e">
            <v>#NAME?</v>
          </cell>
          <cell r="AN10" t="e">
            <v>#NAME?</v>
          </cell>
          <cell r="AO10" t="e">
            <v>#NAME?</v>
          </cell>
          <cell r="AP10" t="e">
            <v>#NAME?</v>
          </cell>
          <cell r="AQ10" t="e">
            <v>#NAME?</v>
          </cell>
          <cell r="AR10" t="e">
            <v>#NAME?</v>
          </cell>
          <cell r="AS10" t="e">
            <v>#NAME?</v>
          </cell>
          <cell r="AT10" t="e">
            <v>#NAME?</v>
          </cell>
          <cell r="AU10" t="e">
            <v>#NAME?</v>
          </cell>
          <cell r="BE10" t="e">
            <v>#NAME?</v>
          </cell>
          <cell r="BH10" t="e">
            <v>#NAME?</v>
          </cell>
          <cell r="BI10" t="e">
            <v>#NAME?</v>
          </cell>
          <cell r="BJ10" t="e">
            <v>#NAME?</v>
          </cell>
          <cell r="BK10" t="e">
            <v>#NAME?</v>
          </cell>
          <cell r="BL10" t="e">
            <v>#NAME?</v>
          </cell>
          <cell r="BM10" t="e">
            <v>#NAME?</v>
          </cell>
          <cell r="BN10" t="e">
            <v>#NAME?</v>
          </cell>
          <cell r="BO10" t="e">
            <v>#NAME?</v>
          </cell>
          <cell r="BP10" t="e">
            <v>#NAME?</v>
          </cell>
          <cell r="BQ10" t="e">
            <v>#NAME?</v>
          </cell>
          <cell r="BR10" t="e">
            <v>#NAME?</v>
          </cell>
          <cell r="BS10" t="e">
            <v>#NAME?</v>
          </cell>
          <cell r="BT10" t="e">
            <v>#NAME?</v>
          </cell>
          <cell r="BU10" t="e">
            <v>#NAME?</v>
          </cell>
          <cell r="BV10" t="e">
            <v>#NAME?</v>
          </cell>
          <cell r="BW10" t="e">
            <v>#NAME?</v>
          </cell>
        </row>
        <row r="11">
          <cell r="AF11" t="e">
            <v>#NAME?</v>
          </cell>
          <cell r="AG11" t="e">
            <v>#NAME?</v>
          </cell>
          <cell r="AI11" t="e">
            <v>#NAME?</v>
          </cell>
          <cell r="AL11" t="e">
            <v>#NAME?</v>
          </cell>
          <cell r="AM11" t="e">
            <v>#NAME?</v>
          </cell>
          <cell r="AN11" t="e">
            <v>#NAME?</v>
          </cell>
          <cell r="AO11" t="e">
            <v>#NAME?</v>
          </cell>
          <cell r="AP11" t="e">
            <v>#NAME?</v>
          </cell>
          <cell r="AQ11" t="e">
            <v>#NAME?</v>
          </cell>
          <cell r="AR11" t="e">
            <v>#NAME?</v>
          </cell>
          <cell r="AS11" t="e">
            <v>#NAME?</v>
          </cell>
          <cell r="AT11" t="e">
            <v>#NAME?</v>
          </cell>
          <cell r="AU11" t="e">
            <v>#NAME?</v>
          </cell>
          <cell r="BE11" t="e">
            <v>#NAME?</v>
          </cell>
          <cell r="BH11" t="e">
            <v>#NAME?</v>
          </cell>
          <cell r="BI11" t="e">
            <v>#NAME?</v>
          </cell>
          <cell r="BJ11" t="e">
            <v>#NAME?</v>
          </cell>
          <cell r="BK11" t="e">
            <v>#NAME?</v>
          </cell>
          <cell r="BL11" t="e">
            <v>#NAME?</v>
          </cell>
          <cell r="BM11" t="e">
            <v>#NAME?</v>
          </cell>
          <cell r="BN11" t="e">
            <v>#NAME?</v>
          </cell>
          <cell r="BO11" t="e">
            <v>#NAME?</v>
          </cell>
          <cell r="BP11" t="e">
            <v>#NAME?</v>
          </cell>
          <cell r="BQ11" t="e">
            <v>#NAME?</v>
          </cell>
          <cell r="BR11" t="e">
            <v>#NAME?</v>
          </cell>
          <cell r="BS11" t="e">
            <v>#NAME?</v>
          </cell>
          <cell r="BT11" t="e">
            <v>#NAME?</v>
          </cell>
          <cell r="BU11" t="e">
            <v>#NAME?</v>
          </cell>
          <cell r="BV11" t="e">
            <v>#NAME?</v>
          </cell>
          <cell r="BW11" t="e">
            <v>#NAME?</v>
          </cell>
        </row>
        <row r="12">
          <cell r="AF12" t="e">
            <v>#NAME?</v>
          </cell>
          <cell r="AG12" t="e">
            <v>#NAME?</v>
          </cell>
          <cell r="AI12" t="e">
            <v>#NAME?</v>
          </cell>
          <cell r="AL12" t="e">
            <v>#NAME?</v>
          </cell>
          <cell r="AM12" t="e">
            <v>#NAME?</v>
          </cell>
          <cell r="AN12" t="e">
            <v>#NAME?</v>
          </cell>
          <cell r="AO12" t="e">
            <v>#NAME?</v>
          </cell>
          <cell r="AP12" t="e">
            <v>#NAME?</v>
          </cell>
          <cell r="AQ12" t="e">
            <v>#NAME?</v>
          </cell>
          <cell r="AR12" t="e">
            <v>#NAME?</v>
          </cell>
          <cell r="AS12" t="e">
            <v>#NAME?</v>
          </cell>
          <cell r="AT12" t="e">
            <v>#NAME?</v>
          </cell>
          <cell r="AU12" t="e">
            <v>#NAME?</v>
          </cell>
          <cell r="BE12" t="e">
            <v>#NAME?</v>
          </cell>
          <cell r="BH12" t="e">
            <v>#NAME?</v>
          </cell>
          <cell r="BI12" t="e">
            <v>#NAME?</v>
          </cell>
          <cell r="BJ12" t="e">
            <v>#NAME?</v>
          </cell>
          <cell r="BK12" t="e">
            <v>#NAME?</v>
          </cell>
          <cell r="BL12" t="e">
            <v>#NAME?</v>
          </cell>
          <cell r="BM12" t="e">
            <v>#NAME?</v>
          </cell>
          <cell r="BN12" t="e">
            <v>#NAME?</v>
          </cell>
          <cell r="BO12" t="e">
            <v>#NAME?</v>
          </cell>
          <cell r="BP12" t="e">
            <v>#NAME?</v>
          </cell>
          <cell r="BQ12" t="e">
            <v>#NAME?</v>
          </cell>
          <cell r="BR12" t="e">
            <v>#NAME?</v>
          </cell>
          <cell r="BS12" t="e">
            <v>#NAME?</v>
          </cell>
          <cell r="BT12" t="e">
            <v>#NAME?</v>
          </cell>
          <cell r="BU12" t="e">
            <v>#NAME?</v>
          </cell>
          <cell r="BV12" t="e">
            <v>#NAME?</v>
          </cell>
          <cell r="BW12" t="e">
            <v>#NAME?</v>
          </cell>
        </row>
        <row r="14">
          <cell r="AF14" t="e">
            <v>#NAME?</v>
          </cell>
          <cell r="AG14" t="e">
            <v>#NAME?</v>
          </cell>
          <cell r="AI14" t="e">
            <v>#NAME?</v>
          </cell>
          <cell r="AL14" t="e">
            <v>#NAME?</v>
          </cell>
          <cell r="AM14" t="e">
            <v>#NAME?</v>
          </cell>
          <cell r="AN14" t="e">
            <v>#NAME?</v>
          </cell>
          <cell r="AO14" t="e">
            <v>#NAME?</v>
          </cell>
          <cell r="AP14" t="e">
            <v>#NAME?</v>
          </cell>
          <cell r="AQ14" t="e">
            <v>#NAME?</v>
          </cell>
          <cell r="AR14" t="e">
            <v>#NAME?</v>
          </cell>
          <cell r="AS14" t="e">
            <v>#NAME?</v>
          </cell>
          <cell r="AT14" t="e">
            <v>#NAME?</v>
          </cell>
          <cell r="AU14" t="e">
            <v>#NAME?</v>
          </cell>
          <cell r="BE14" t="e">
            <v>#NAME?</v>
          </cell>
          <cell r="BH14" t="e">
            <v>#NAME?</v>
          </cell>
          <cell r="BI14" t="e">
            <v>#NAME?</v>
          </cell>
          <cell r="BJ14" t="e">
            <v>#NAME?</v>
          </cell>
          <cell r="BK14" t="e">
            <v>#NAME?</v>
          </cell>
          <cell r="BL14" t="e">
            <v>#NAME?</v>
          </cell>
          <cell r="BM14" t="e">
            <v>#NAME?</v>
          </cell>
          <cell r="BN14" t="e">
            <v>#NAME?</v>
          </cell>
          <cell r="BO14" t="e">
            <v>#NAME?</v>
          </cell>
          <cell r="BP14" t="e">
            <v>#NAME?</v>
          </cell>
          <cell r="BQ14" t="e">
            <v>#NAME?</v>
          </cell>
          <cell r="BR14" t="e">
            <v>#NAME?</v>
          </cell>
          <cell r="BS14" t="e">
            <v>#NAME?</v>
          </cell>
          <cell r="BT14" t="e">
            <v>#NAME?</v>
          </cell>
          <cell r="BU14" t="e">
            <v>#NAME?</v>
          </cell>
          <cell r="BV14" t="e">
            <v>#NAME?</v>
          </cell>
          <cell r="BW14" t="e">
            <v>#NAME?</v>
          </cell>
        </row>
        <row r="15">
          <cell r="AF15" t="e">
            <v>#NAME?</v>
          </cell>
          <cell r="AG15" t="e">
            <v>#NAME?</v>
          </cell>
          <cell r="AI15" t="e">
            <v>#NAME?</v>
          </cell>
          <cell r="AL15" t="e">
            <v>#NAME?</v>
          </cell>
          <cell r="AM15" t="e">
            <v>#NAME?</v>
          </cell>
          <cell r="AN15" t="e">
            <v>#NAME?</v>
          </cell>
          <cell r="AO15" t="e">
            <v>#NAME?</v>
          </cell>
          <cell r="AP15" t="e">
            <v>#NAME?</v>
          </cell>
          <cell r="AQ15" t="e">
            <v>#NAME?</v>
          </cell>
          <cell r="AR15" t="e">
            <v>#NAME?</v>
          </cell>
          <cell r="AS15" t="e">
            <v>#NAME?</v>
          </cell>
          <cell r="AT15" t="e">
            <v>#NAME?</v>
          </cell>
          <cell r="AU15" t="e">
            <v>#NAME?</v>
          </cell>
          <cell r="BE15" t="e">
            <v>#NAME?</v>
          </cell>
          <cell r="BH15" t="e">
            <v>#NAME?</v>
          </cell>
          <cell r="BI15" t="e">
            <v>#NAME?</v>
          </cell>
          <cell r="BJ15" t="e">
            <v>#NAME?</v>
          </cell>
          <cell r="BK15" t="e">
            <v>#NAME?</v>
          </cell>
          <cell r="BL15" t="e">
            <v>#NAME?</v>
          </cell>
          <cell r="BM15" t="e">
            <v>#NAME?</v>
          </cell>
          <cell r="BN15" t="e">
            <v>#NAME?</v>
          </cell>
          <cell r="BO15" t="e">
            <v>#NAME?</v>
          </cell>
          <cell r="BP15" t="e">
            <v>#NAME?</v>
          </cell>
          <cell r="BQ15" t="e">
            <v>#NAME?</v>
          </cell>
          <cell r="BR15" t="e">
            <v>#NAME?</v>
          </cell>
          <cell r="BS15" t="e">
            <v>#NAME?</v>
          </cell>
          <cell r="BT15" t="e">
            <v>#NAME?</v>
          </cell>
          <cell r="BU15" t="e">
            <v>#NAME?</v>
          </cell>
          <cell r="BV15" t="e">
            <v>#NAME?</v>
          </cell>
          <cell r="BW15" t="e">
            <v>#NAME?</v>
          </cell>
        </row>
        <row r="16">
          <cell r="AF16" t="e">
            <v>#NAME?</v>
          </cell>
          <cell r="AG16" t="e">
            <v>#NAME?</v>
          </cell>
          <cell r="AI16" t="e">
            <v>#NAME?</v>
          </cell>
          <cell r="AL16" t="e">
            <v>#NAME?</v>
          </cell>
          <cell r="AM16" t="e">
            <v>#NAME?</v>
          </cell>
          <cell r="AN16" t="e">
            <v>#NAME?</v>
          </cell>
          <cell r="AO16" t="e">
            <v>#NAME?</v>
          </cell>
          <cell r="AP16" t="e">
            <v>#NAME?</v>
          </cell>
          <cell r="AQ16" t="e">
            <v>#NAME?</v>
          </cell>
          <cell r="AR16" t="e">
            <v>#NAME?</v>
          </cell>
          <cell r="AS16" t="e">
            <v>#NAME?</v>
          </cell>
          <cell r="AT16" t="e">
            <v>#NAME?</v>
          </cell>
          <cell r="AU16" t="e">
            <v>#NAME?</v>
          </cell>
          <cell r="BE16" t="e">
            <v>#NAME?</v>
          </cell>
          <cell r="BH16" t="e">
            <v>#NAME?</v>
          </cell>
          <cell r="BI16" t="e">
            <v>#NAME?</v>
          </cell>
          <cell r="BJ16" t="e">
            <v>#NAME?</v>
          </cell>
          <cell r="BK16" t="e">
            <v>#NAME?</v>
          </cell>
          <cell r="BL16" t="e">
            <v>#NAME?</v>
          </cell>
          <cell r="BM16" t="e">
            <v>#NAME?</v>
          </cell>
          <cell r="BN16" t="e">
            <v>#NAME?</v>
          </cell>
          <cell r="BO16" t="e">
            <v>#NAME?</v>
          </cell>
          <cell r="BP16" t="e">
            <v>#NAME?</v>
          </cell>
          <cell r="BQ16" t="e">
            <v>#NAME?</v>
          </cell>
          <cell r="BR16" t="e">
            <v>#NAME?</v>
          </cell>
          <cell r="BS16" t="e">
            <v>#NAME?</v>
          </cell>
          <cell r="BT16" t="e">
            <v>#NAME?</v>
          </cell>
          <cell r="BU16" t="e">
            <v>#NAME?</v>
          </cell>
          <cell r="BV16" t="e">
            <v>#NAME?</v>
          </cell>
          <cell r="BW16" t="e">
            <v>#NAME?</v>
          </cell>
        </row>
        <row r="17">
          <cell r="AF17" t="e">
            <v>#NAME?</v>
          </cell>
          <cell r="AG17" t="e">
            <v>#NAME?</v>
          </cell>
          <cell r="AI17" t="e">
            <v>#NAME?</v>
          </cell>
          <cell r="AL17" t="e">
            <v>#NAME?</v>
          </cell>
          <cell r="AM17" t="e">
            <v>#NAME?</v>
          </cell>
          <cell r="AN17" t="e">
            <v>#NAME?</v>
          </cell>
          <cell r="AO17" t="e">
            <v>#NAME?</v>
          </cell>
          <cell r="AP17" t="e">
            <v>#NAME?</v>
          </cell>
          <cell r="AQ17" t="e">
            <v>#NAME?</v>
          </cell>
          <cell r="AR17" t="e">
            <v>#NAME?</v>
          </cell>
          <cell r="AS17" t="e">
            <v>#NAME?</v>
          </cell>
          <cell r="AT17" t="e">
            <v>#NAME?</v>
          </cell>
          <cell r="AU17" t="e">
            <v>#NAME?</v>
          </cell>
          <cell r="BE17" t="e">
            <v>#NAME?</v>
          </cell>
          <cell r="BH17" t="e">
            <v>#NAME?</v>
          </cell>
          <cell r="BI17" t="e">
            <v>#NAME?</v>
          </cell>
          <cell r="BJ17" t="e">
            <v>#NAME?</v>
          </cell>
          <cell r="BK17" t="e">
            <v>#NAME?</v>
          </cell>
          <cell r="BL17" t="e">
            <v>#NAME?</v>
          </cell>
          <cell r="BM17" t="e">
            <v>#NAME?</v>
          </cell>
          <cell r="BN17" t="e">
            <v>#NAME?</v>
          </cell>
          <cell r="BO17" t="e">
            <v>#NAME?</v>
          </cell>
          <cell r="BP17" t="e">
            <v>#NAME?</v>
          </cell>
          <cell r="BQ17" t="e">
            <v>#NAME?</v>
          </cell>
          <cell r="BR17" t="e">
            <v>#NAME?</v>
          </cell>
          <cell r="BS17" t="e">
            <v>#NAME?</v>
          </cell>
          <cell r="BT17" t="e">
            <v>#NAME?</v>
          </cell>
          <cell r="BU17" t="e">
            <v>#NAME?</v>
          </cell>
          <cell r="BV17" t="e">
            <v>#NAME?</v>
          </cell>
          <cell r="BW17" t="e">
            <v>#NAME?</v>
          </cell>
        </row>
        <row r="18">
          <cell r="AF18" t="e">
            <v>#NAME?</v>
          </cell>
          <cell r="AG18" t="e">
            <v>#NAME?</v>
          </cell>
          <cell r="AI18" t="e">
            <v>#NAME?</v>
          </cell>
          <cell r="AL18" t="e">
            <v>#NAME?</v>
          </cell>
          <cell r="AM18" t="e">
            <v>#NAME?</v>
          </cell>
          <cell r="AN18" t="e">
            <v>#NAME?</v>
          </cell>
          <cell r="AO18" t="e">
            <v>#NAME?</v>
          </cell>
          <cell r="AP18" t="e">
            <v>#NAME?</v>
          </cell>
          <cell r="AQ18" t="e">
            <v>#NAME?</v>
          </cell>
          <cell r="AR18" t="e">
            <v>#NAME?</v>
          </cell>
          <cell r="AS18" t="e">
            <v>#NAME?</v>
          </cell>
          <cell r="AT18" t="e">
            <v>#NAME?</v>
          </cell>
          <cell r="AU18" t="e">
            <v>#NAME?</v>
          </cell>
          <cell r="BE18" t="e">
            <v>#NAME?</v>
          </cell>
          <cell r="BH18" t="e">
            <v>#NAME?</v>
          </cell>
          <cell r="BI18" t="e">
            <v>#NAME?</v>
          </cell>
          <cell r="BJ18" t="e">
            <v>#NAME?</v>
          </cell>
          <cell r="BK18" t="e">
            <v>#NAME?</v>
          </cell>
          <cell r="BL18" t="e">
            <v>#NAME?</v>
          </cell>
          <cell r="BM18" t="e">
            <v>#NAME?</v>
          </cell>
          <cell r="BN18" t="e">
            <v>#NAME?</v>
          </cell>
          <cell r="BO18" t="e">
            <v>#NAME?</v>
          </cell>
          <cell r="BP18" t="e">
            <v>#NAME?</v>
          </cell>
          <cell r="BQ18" t="e">
            <v>#NAME?</v>
          </cell>
          <cell r="BR18" t="e">
            <v>#NAME?</v>
          </cell>
          <cell r="BS18" t="e">
            <v>#NAME?</v>
          </cell>
          <cell r="BT18" t="e">
            <v>#NAME?</v>
          </cell>
          <cell r="BU18" t="e">
            <v>#NAME?</v>
          </cell>
          <cell r="BV18" t="e">
            <v>#NAME?</v>
          </cell>
          <cell r="BW18" t="e">
            <v>#NAME?</v>
          </cell>
        </row>
        <row r="19">
          <cell r="AF19" t="e">
            <v>#NAME?</v>
          </cell>
          <cell r="AG19" t="e">
            <v>#NAME?</v>
          </cell>
          <cell r="AI19" t="e">
            <v>#NAME?</v>
          </cell>
          <cell r="AL19" t="e">
            <v>#NAME?</v>
          </cell>
          <cell r="AM19" t="e">
            <v>#NAME?</v>
          </cell>
          <cell r="AN19" t="e">
            <v>#NAME?</v>
          </cell>
          <cell r="AO19" t="e">
            <v>#NAME?</v>
          </cell>
          <cell r="AP19" t="e">
            <v>#NAME?</v>
          </cell>
          <cell r="AQ19" t="e">
            <v>#NAME?</v>
          </cell>
          <cell r="AR19" t="e">
            <v>#NAME?</v>
          </cell>
          <cell r="AS19" t="e">
            <v>#NAME?</v>
          </cell>
          <cell r="AT19" t="e">
            <v>#NAME?</v>
          </cell>
          <cell r="AU19" t="e">
            <v>#NAME?</v>
          </cell>
          <cell r="BE19" t="e">
            <v>#NAME?</v>
          </cell>
          <cell r="BH19" t="e">
            <v>#NAME?</v>
          </cell>
          <cell r="BI19" t="e">
            <v>#NAME?</v>
          </cell>
          <cell r="BJ19" t="e">
            <v>#NAME?</v>
          </cell>
          <cell r="BK19" t="e">
            <v>#NAME?</v>
          </cell>
          <cell r="BL19" t="e">
            <v>#NAME?</v>
          </cell>
          <cell r="BM19" t="e">
            <v>#NAME?</v>
          </cell>
          <cell r="BN19" t="e">
            <v>#NAME?</v>
          </cell>
          <cell r="BO19" t="e">
            <v>#NAME?</v>
          </cell>
          <cell r="BP19" t="e">
            <v>#NAME?</v>
          </cell>
          <cell r="BQ19" t="e">
            <v>#NAME?</v>
          </cell>
          <cell r="BR19" t="e">
            <v>#NAME?</v>
          </cell>
          <cell r="BS19" t="e">
            <v>#NAME?</v>
          </cell>
          <cell r="BT19" t="e">
            <v>#NAME?</v>
          </cell>
          <cell r="BU19" t="e">
            <v>#NAME?</v>
          </cell>
          <cell r="BV19" t="e">
            <v>#NAME?</v>
          </cell>
          <cell r="BW19" t="e">
            <v>#NAME?</v>
          </cell>
        </row>
        <row r="21">
          <cell r="AF21" t="e">
            <v>#NAME?</v>
          </cell>
          <cell r="AG21" t="e">
            <v>#NAME?</v>
          </cell>
          <cell r="AI21" t="e">
            <v>#NAME?</v>
          </cell>
          <cell r="AL21" t="e">
            <v>#NAME?</v>
          </cell>
          <cell r="AM21" t="e">
            <v>#NAME?</v>
          </cell>
          <cell r="AN21" t="e">
            <v>#NAME?</v>
          </cell>
          <cell r="AO21" t="e">
            <v>#NAME?</v>
          </cell>
          <cell r="AP21" t="e">
            <v>#NAME?</v>
          </cell>
          <cell r="AQ21" t="e">
            <v>#NAME?</v>
          </cell>
          <cell r="AR21" t="e">
            <v>#NAME?</v>
          </cell>
          <cell r="AS21" t="e">
            <v>#NAME?</v>
          </cell>
          <cell r="AT21" t="e">
            <v>#NAME?</v>
          </cell>
          <cell r="AU21" t="e">
            <v>#NAME?</v>
          </cell>
          <cell r="BE21" t="e">
            <v>#NAME?</v>
          </cell>
          <cell r="BH21" t="e">
            <v>#NAME?</v>
          </cell>
          <cell r="BI21" t="e">
            <v>#NAME?</v>
          </cell>
          <cell r="BJ21" t="e">
            <v>#NAME?</v>
          </cell>
          <cell r="BK21" t="e">
            <v>#NAME?</v>
          </cell>
          <cell r="BL21" t="e">
            <v>#NAME?</v>
          </cell>
          <cell r="BM21" t="e">
            <v>#NAME?</v>
          </cell>
          <cell r="BN21" t="e">
            <v>#NAME?</v>
          </cell>
          <cell r="BO21" t="e">
            <v>#NAME?</v>
          </cell>
          <cell r="BP21" t="e">
            <v>#NAME?</v>
          </cell>
          <cell r="BQ21" t="e">
            <v>#NAME?</v>
          </cell>
          <cell r="BR21" t="e">
            <v>#NAME?</v>
          </cell>
          <cell r="BS21" t="e">
            <v>#NAME?</v>
          </cell>
          <cell r="BT21" t="e">
            <v>#NAME?</v>
          </cell>
          <cell r="BU21" t="e">
            <v>#NAME?</v>
          </cell>
          <cell r="BV21" t="e">
            <v>#NAME?</v>
          </cell>
          <cell r="BW21" t="e">
            <v>#NAME?</v>
          </cell>
        </row>
        <row r="22">
          <cell r="AF22" t="e">
            <v>#NAME?</v>
          </cell>
          <cell r="AG22" t="e">
            <v>#NAME?</v>
          </cell>
          <cell r="AI22" t="e">
            <v>#NAME?</v>
          </cell>
          <cell r="AL22" t="e">
            <v>#NAME?</v>
          </cell>
          <cell r="AM22" t="e">
            <v>#NAME?</v>
          </cell>
          <cell r="AN22" t="e">
            <v>#NAME?</v>
          </cell>
          <cell r="AO22" t="e">
            <v>#NAME?</v>
          </cell>
          <cell r="AP22" t="e">
            <v>#NAME?</v>
          </cell>
          <cell r="AQ22" t="e">
            <v>#NAME?</v>
          </cell>
          <cell r="AR22" t="e">
            <v>#NAME?</v>
          </cell>
          <cell r="AS22" t="e">
            <v>#NAME?</v>
          </cell>
          <cell r="AT22" t="e">
            <v>#NAME?</v>
          </cell>
          <cell r="AU22" t="e">
            <v>#NAME?</v>
          </cell>
          <cell r="BE22" t="e">
            <v>#NAME?</v>
          </cell>
          <cell r="BH22" t="e">
            <v>#NAME?</v>
          </cell>
          <cell r="BI22" t="e">
            <v>#NAME?</v>
          </cell>
          <cell r="BJ22" t="e">
            <v>#NAME?</v>
          </cell>
          <cell r="BK22" t="e">
            <v>#NAME?</v>
          </cell>
          <cell r="BL22" t="e">
            <v>#NAME?</v>
          </cell>
          <cell r="BM22" t="e">
            <v>#NAME?</v>
          </cell>
          <cell r="BN22" t="e">
            <v>#NAME?</v>
          </cell>
          <cell r="BO22" t="e">
            <v>#NAME?</v>
          </cell>
          <cell r="BP22" t="e">
            <v>#NAME?</v>
          </cell>
          <cell r="BQ22" t="e">
            <v>#NAME?</v>
          </cell>
          <cell r="BR22" t="e">
            <v>#NAME?</v>
          </cell>
          <cell r="BS22" t="e">
            <v>#NAME?</v>
          </cell>
          <cell r="BT22" t="e">
            <v>#NAME?</v>
          </cell>
          <cell r="BU22" t="e">
            <v>#NAME?</v>
          </cell>
          <cell r="BV22" t="e">
            <v>#NAME?</v>
          </cell>
          <cell r="BW22" t="e">
            <v>#NAME?</v>
          </cell>
        </row>
        <row r="23">
          <cell r="AF23" t="e">
            <v>#NAME?</v>
          </cell>
          <cell r="AG23" t="e">
            <v>#NAME?</v>
          </cell>
          <cell r="AI23" t="e">
            <v>#NAME?</v>
          </cell>
          <cell r="AL23" t="e">
            <v>#NAME?</v>
          </cell>
          <cell r="AM23" t="e">
            <v>#NAME?</v>
          </cell>
          <cell r="AN23" t="e">
            <v>#NAME?</v>
          </cell>
          <cell r="AO23" t="e">
            <v>#NAME?</v>
          </cell>
          <cell r="AP23" t="e">
            <v>#NAME?</v>
          </cell>
          <cell r="AQ23" t="e">
            <v>#NAME?</v>
          </cell>
          <cell r="AR23" t="e">
            <v>#NAME?</v>
          </cell>
          <cell r="AS23" t="e">
            <v>#NAME?</v>
          </cell>
          <cell r="AT23" t="e">
            <v>#NAME?</v>
          </cell>
          <cell r="AU23" t="e">
            <v>#NAME?</v>
          </cell>
          <cell r="BE23" t="e">
            <v>#NAME?</v>
          </cell>
          <cell r="BH23" t="e">
            <v>#NAME?</v>
          </cell>
          <cell r="BI23" t="e">
            <v>#NAME?</v>
          </cell>
          <cell r="BJ23" t="e">
            <v>#NAME?</v>
          </cell>
          <cell r="BK23" t="e">
            <v>#NAME?</v>
          </cell>
          <cell r="BL23" t="e">
            <v>#NAME?</v>
          </cell>
          <cell r="BM23" t="e">
            <v>#NAME?</v>
          </cell>
          <cell r="BN23" t="e">
            <v>#NAME?</v>
          </cell>
          <cell r="BO23" t="e">
            <v>#NAME?</v>
          </cell>
          <cell r="BP23" t="e">
            <v>#NAME?</v>
          </cell>
          <cell r="BQ23" t="e">
            <v>#NAME?</v>
          </cell>
          <cell r="BR23" t="e">
            <v>#NAME?</v>
          </cell>
          <cell r="BS23" t="e">
            <v>#NAME?</v>
          </cell>
          <cell r="BT23" t="e">
            <v>#NAME?</v>
          </cell>
          <cell r="BU23" t="e">
            <v>#NAME?</v>
          </cell>
          <cell r="BV23" t="e">
            <v>#NAME?</v>
          </cell>
          <cell r="BW23" t="e">
            <v>#NAME?</v>
          </cell>
        </row>
        <row r="24">
          <cell r="AF24" t="e">
            <v>#NAME?</v>
          </cell>
          <cell r="AG24" t="e">
            <v>#NAME?</v>
          </cell>
          <cell r="AI24" t="e">
            <v>#NAME?</v>
          </cell>
          <cell r="AL24" t="e">
            <v>#NAME?</v>
          </cell>
          <cell r="AM24" t="e">
            <v>#NAME?</v>
          </cell>
          <cell r="AN24" t="e">
            <v>#NAME?</v>
          </cell>
          <cell r="AO24" t="e">
            <v>#NAME?</v>
          </cell>
          <cell r="AP24" t="e">
            <v>#NAME?</v>
          </cell>
          <cell r="AQ24" t="e">
            <v>#NAME?</v>
          </cell>
          <cell r="AR24" t="e">
            <v>#NAME?</v>
          </cell>
          <cell r="AS24" t="e">
            <v>#NAME?</v>
          </cell>
          <cell r="AT24" t="e">
            <v>#NAME?</v>
          </cell>
          <cell r="AU24" t="e">
            <v>#NAME?</v>
          </cell>
          <cell r="BE24" t="e">
            <v>#NAME?</v>
          </cell>
          <cell r="BH24" t="e">
            <v>#NAME?</v>
          </cell>
          <cell r="BI24" t="e">
            <v>#NAME?</v>
          </cell>
          <cell r="BJ24" t="e">
            <v>#NAME?</v>
          </cell>
          <cell r="BK24" t="e">
            <v>#NAME?</v>
          </cell>
          <cell r="BL24" t="e">
            <v>#NAME?</v>
          </cell>
          <cell r="BM24" t="e">
            <v>#NAME?</v>
          </cell>
          <cell r="BN24" t="e">
            <v>#NAME?</v>
          </cell>
          <cell r="BO24" t="e">
            <v>#NAME?</v>
          </cell>
          <cell r="BP24" t="e">
            <v>#NAME?</v>
          </cell>
          <cell r="BQ24" t="e">
            <v>#NAME?</v>
          </cell>
          <cell r="BR24" t="e">
            <v>#NAME?</v>
          </cell>
          <cell r="BS24" t="e">
            <v>#NAME?</v>
          </cell>
          <cell r="BT24" t="e">
            <v>#NAME?</v>
          </cell>
          <cell r="BU24" t="e">
            <v>#NAME?</v>
          </cell>
          <cell r="BV24" t="e">
            <v>#NAME?</v>
          </cell>
          <cell r="BW24" t="e">
            <v>#NAME?</v>
          </cell>
        </row>
        <row r="26">
          <cell r="AF26" t="e">
            <v>#NAME?</v>
          </cell>
          <cell r="AG26" t="e">
            <v>#NAME?</v>
          </cell>
          <cell r="AI26" t="e">
            <v>#NAME?</v>
          </cell>
          <cell r="AL26" t="e">
            <v>#NAME?</v>
          </cell>
          <cell r="AM26" t="e">
            <v>#NAME?</v>
          </cell>
          <cell r="AN26" t="e">
            <v>#NAME?</v>
          </cell>
          <cell r="AO26" t="e">
            <v>#NAME?</v>
          </cell>
          <cell r="AP26" t="e">
            <v>#NAME?</v>
          </cell>
          <cell r="AQ26" t="e">
            <v>#NAME?</v>
          </cell>
          <cell r="AR26" t="e">
            <v>#NAME?</v>
          </cell>
          <cell r="AS26" t="e">
            <v>#NAME?</v>
          </cell>
          <cell r="AT26" t="e">
            <v>#NAME?</v>
          </cell>
          <cell r="AU26" t="e">
            <v>#NAME?</v>
          </cell>
          <cell r="BE26" t="e">
            <v>#NAME?</v>
          </cell>
          <cell r="BH26" t="e">
            <v>#NAME?</v>
          </cell>
          <cell r="BI26" t="e">
            <v>#NAME?</v>
          </cell>
          <cell r="BJ26" t="e">
            <v>#NAME?</v>
          </cell>
          <cell r="BK26" t="e">
            <v>#NAME?</v>
          </cell>
          <cell r="BL26" t="e">
            <v>#NAME?</v>
          </cell>
          <cell r="BM26" t="e">
            <v>#NAME?</v>
          </cell>
          <cell r="BN26" t="e">
            <v>#NAME?</v>
          </cell>
          <cell r="BO26" t="e">
            <v>#NAME?</v>
          </cell>
          <cell r="BP26" t="e">
            <v>#NAME?</v>
          </cell>
          <cell r="BQ26" t="e">
            <v>#NAME?</v>
          </cell>
          <cell r="BR26" t="e">
            <v>#NAME?</v>
          </cell>
          <cell r="BS26" t="e">
            <v>#NAME?</v>
          </cell>
          <cell r="BT26" t="e">
            <v>#NAME?</v>
          </cell>
          <cell r="BU26" t="e">
            <v>#NAME?</v>
          </cell>
          <cell r="BV26" t="e">
            <v>#NAME?</v>
          </cell>
          <cell r="BW26" t="e">
            <v>#NAME?</v>
          </cell>
        </row>
        <row r="27">
          <cell r="AF27" t="e">
            <v>#NAME?</v>
          </cell>
          <cell r="AG27" t="e">
            <v>#NAME?</v>
          </cell>
          <cell r="AI27" t="e">
            <v>#NAME?</v>
          </cell>
          <cell r="AL27" t="e">
            <v>#NAME?</v>
          </cell>
          <cell r="AM27" t="e">
            <v>#NAME?</v>
          </cell>
          <cell r="AN27" t="e">
            <v>#NAME?</v>
          </cell>
          <cell r="AO27" t="e">
            <v>#NAME?</v>
          </cell>
          <cell r="AP27" t="e">
            <v>#NAME?</v>
          </cell>
          <cell r="AQ27" t="e">
            <v>#NAME?</v>
          </cell>
          <cell r="AR27" t="e">
            <v>#NAME?</v>
          </cell>
          <cell r="AS27" t="e">
            <v>#NAME?</v>
          </cell>
          <cell r="AT27" t="e">
            <v>#NAME?</v>
          </cell>
          <cell r="AU27" t="e">
            <v>#NAME?</v>
          </cell>
          <cell r="BE27" t="e">
            <v>#NAME?</v>
          </cell>
          <cell r="BH27" t="e">
            <v>#NAME?</v>
          </cell>
          <cell r="BI27" t="e">
            <v>#NAME?</v>
          </cell>
          <cell r="BJ27" t="e">
            <v>#NAME?</v>
          </cell>
          <cell r="BK27" t="e">
            <v>#NAME?</v>
          </cell>
          <cell r="BL27" t="e">
            <v>#NAME?</v>
          </cell>
          <cell r="BM27" t="e">
            <v>#NAME?</v>
          </cell>
          <cell r="BN27" t="e">
            <v>#NAME?</v>
          </cell>
          <cell r="BO27" t="e">
            <v>#NAME?</v>
          </cell>
          <cell r="BP27" t="e">
            <v>#NAME?</v>
          </cell>
          <cell r="BQ27" t="e">
            <v>#NAME?</v>
          </cell>
          <cell r="BR27" t="e">
            <v>#NAME?</v>
          </cell>
          <cell r="BS27" t="e">
            <v>#NAME?</v>
          </cell>
          <cell r="BT27" t="e">
            <v>#NAME?</v>
          </cell>
          <cell r="BU27" t="e">
            <v>#NAME?</v>
          </cell>
          <cell r="BV27" t="e">
            <v>#NAME?</v>
          </cell>
          <cell r="BW27" t="e">
            <v>#NAME?</v>
          </cell>
        </row>
        <row r="28">
          <cell r="AF28" t="e">
            <v>#NAME?</v>
          </cell>
          <cell r="AG28" t="e">
            <v>#NAME?</v>
          </cell>
          <cell r="AI28" t="e">
            <v>#NAME?</v>
          </cell>
          <cell r="AL28" t="e">
            <v>#NAME?</v>
          </cell>
          <cell r="AM28" t="e">
            <v>#NAME?</v>
          </cell>
          <cell r="AN28" t="e">
            <v>#NAME?</v>
          </cell>
          <cell r="AO28" t="e">
            <v>#NAME?</v>
          </cell>
          <cell r="AP28" t="e">
            <v>#NAME?</v>
          </cell>
          <cell r="AQ28" t="e">
            <v>#NAME?</v>
          </cell>
          <cell r="AR28" t="e">
            <v>#NAME?</v>
          </cell>
          <cell r="AS28" t="e">
            <v>#NAME?</v>
          </cell>
          <cell r="AT28" t="e">
            <v>#NAME?</v>
          </cell>
          <cell r="AU28" t="e">
            <v>#NAME?</v>
          </cell>
          <cell r="BE28" t="e">
            <v>#NAME?</v>
          </cell>
          <cell r="BH28" t="e">
            <v>#NAME?</v>
          </cell>
          <cell r="BI28" t="e">
            <v>#NAME?</v>
          </cell>
          <cell r="BJ28" t="e">
            <v>#NAME?</v>
          </cell>
          <cell r="BK28" t="e">
            <v>#NAME?</v>
          </cell>
          <cell r="BL28" t="e">
            <v>#NAME?</v>
          </cell>
          <cell r="BM28" t="e">
            <v>#NAME?</v>
          </cell>
          <cell r="BN28" t="e">
            <v>#NAME?</v>
          </cell>
          <cell r="BO28" t="e">
            <v>#NAME?</v>
          </cell>
          <cell r="BP28" t="e">
            <v>#NAME?</v>
          </cell>
          <cell r="BQ28" t="e">
            <v>#NAME?</v>
          </cell>
          <cell r="BR28" t="e">
            <v>#NAME?</v>
          </cell>
          <cell r="BS28" t="e">
            <v>#NAME?</v>
          </cell>
          <cell r="BT28" t="e">
            <v>#NAME?</v>
          </cell>
          <cell r="BU28" t="e">
            <v>#NAME?</v>
          </cell>
          <cell r="BV28" t="e">
            <v>#NAME?</v>
          </cell>
          <cell r="BW28" t="e">
            <v>#NAME?</v>
          </cell>
        </row>
        <row r="29">
          <cell r="AF29" t="e">
            <v>#NAME?</v>
          </cell>
          <cell r="AG29" t="e">
            <v>#NAME?</v>
          </cell>
          <cell r="AI29" t="e">
            <v>#NAME?</v>
          </cell>
          <cell r="AL29" t="e">
            <v>#NAME?</v>
          </cell>
          <cell r="AM29" t="e">
            <v>#NAME?</v>
          </cell>
          <cell r="AN29" t="e">
            <v>#NAME?</v>
          </cell>
          <cell r="AO29" t="e">
            <v>#NAME?</v>
          </cell>
          <cell r="AP29" t="e">
            <v>#NAME?</v>
          </cell>
          <cell r="AQ29" t="e">
            <v>#NAME?</v>
          </cell>
          <cell r="AR29" t="e">
            <v>#NAME?</v>
          </cell>
          <cell r="AS29" t="e">
            <v>#NAME?</v>
          </cell>
          <cell r="AT29" t="e">
            <v>#NAME?</v>
          </cell>
          <cell r="AU29" t="e">
            <v>#NAME?</v>
          </cell>
          <cell r="BE29" t="e">
            <v>#NAME?</v>
          </cell>
          <cell r="BH29" t="e">
            <v>#NAME?</v>
          </cell>
          <cell r="BI29" t="e">
            <v>#NAME?</v>
          </cell>
          <cell r="BJ29" t="e">
            <v>#NAME?</v>
          </cell>
          <cell r="BK29" t="e">
            <v>#NAME?</v>
          </cell>
          <cell r="BL29" t="e">
            <v>#NAME?</v>
          </cell>
          <cell r="BM29" t="e">
            <v>#NAME?</v>
          </cell>
          <cell r="BN29" t="e">
            <v>#NAME?</v>
          </cell>
          <cell r="BO29" t="e">
            <v>#NAME?</v>
          </cell>
          <cell r="BP29" t="e">
            <v>#NAME?</v>
          </cell>
          <cell r="BQ29" t="e">
            <v>#NAME?</v>
          </cell>
          <cell r="BR29" t="e">
            <v>#NAME?</v>
          </cell>
          <cell r="BS29" t="e">
            <v>#NAME?</v>
          </cell>
          <cell r="BT29" t="e">
            <v>#NAME?</v>
          </cell>
          <cell r="BU29" t="e">
            <v>#NAME?</v>
          </cell>
          <cell r="BV29" t="e">
            <v>#NAME?</v>
          </cell>
          <cell r="BW29" t="e">
            <v>#NAME?</v>
          </cell>
        </row>
      </sheetData>
      <sheetData sheetId="5"/>
      <sheetData sheetId="6">
        <row r="4">
          <cell r="D4" t="e">
            <v>#NAME?</v>
          </cell>
          <cell r="E4" t="e">
            <v>#NAME?</v>
          </cell>
          <cell r="F4" t="e">
            <v>#NAME?</v>
          </cell>
          <cell r="G4" t="e">
            <v>#NAME?</v>
          </cell>
          <cell r="H4" t="e">
            <v>#NAME?</v>
          </cell>
          <cell r="I4" t="e">
            <v>#NAME?</v>
          </cell>
          <cell r="J4" t="e">
            <v>#NAME?</v>
          </cell>
          <cell r="K4" t="e">
            <v>#NAME?</v>
          </cell>
          <cell r="L4" t="e">
            <v>#NAME?</v>
          </cell>
          <cell r="M4" t="e">
            <v>#NAME?</v>
          </cell>
          <cell r="N4" t="e">
            <v>#NAME?</v>
          </cell>
          <cell r="Q4" t="e">
            <v>#NAME?</v>
          </cell>
          <cell r="R4" t="e">
            <v>#NAME?</v>
          </cell>
          <cell r="S4" t="e">
            <v>#NAME?</v>
          </cell>
          <cell r="T4" t="e">
            <v>#NAME?</v>
          </cell>
          <cell r="U4" t="e">
            <v>#NAME?</v>
          </cell>
          <cell r="V4" t="e">
            <v>#NAME?</v>
          </cell>
          <cell r="W4" t="e">
            <v>#NAME?</v>
          </cell>
          <cell r="X4" t="e">
            <v>#NAME?</v>
          </cell>
          <cell r="Y4" t="e">
            <v>#NAME?</v>
          </cell>
          <cell r="Z4" t="e">
            <v>#NAME?</v>
          </cell>
          <cell r="AA4" t="e">
            <v>#NAME?</v>
          </cell>
          <cell r="AE4" t="e">
            <v>#NAME?</v>
          </cell>
          <cell r="AF4" t="e">
            <v>#NAME?</v>
          </cell>
          <cell r="AG4" t="e">
            <v>#NAME?</v>
          </cell>
        </row>
        <row r="5">
          <cell r="D5" t="e">
            <v>#NAME?</v>
          </cell>
          <cell r="E5" t="e">
            <v>#NAME?</v>
          </cell>
          <cell r="F5" t="e">
            <v>#NAME?</v>
          </cell>
          <cell r="G5" t="e">
            <v>#NAME?</v>
          </cell>
          <cell r="H5" t="e">
            <v>#NAME?</v>
          </cell>
          <cell r="I5" t="e">
            <v>#NAME?</v>
          </cell>
          <cell r="J5" t="e">
            <v>#NAME?</v>
          </cell>
          <cell r="K5" t="e">
            <v>#NAME?</v>
          </cell>
          <cell r="L5" t="e">
            <v>#NAME?</v>
          </cell>
          <cell r="M5" t="e">
            <v>#NAME?</v>
          </cell>
          <cell r="N5" t="e">
            <v>#NAME?</v>
          </cell>
          <cell r="Q5" t="e">
            <v>#NAME?</v>
          </cell>
          <cell r="R5" t="e">
            <v>#NAME?</v>
          </cell>
          <cell r="S5" t="e">
            <v>#NAME?</v>
          </cell>
          <cell r="T5" t="e">
            <v>#NAME?</v>
          </cell>
          <cell r="U5" t="e">
            <v>#NAME?</v>
          </cell>
          <cell r="V5" t="e">
            <v>#NAME?</v>
          </cell>
          <cell r="W5" t="e">
            <v>#NAME?</v>
          </cell>
          <cell r="X5" t="e">
            <v>#NAME?</v>
          </cell>
          <cell r="Y5" t="e">
            <v>#NAME?</v>
          </cell>
          <cell r="Z5" t="e">
            <v>#NAME?</v>
          </cell>
          <cell r="AA5" t="e">
            <v>#NAME?</v>
          </cell>
          <cell r="AE5" t="e">
            <v>#NAME?</v>
          </cell>
          <cell r="AF5" t="e">
            <v>#NAME?</v>
          </cell>
          <cell r="AG5" t="e">
            <v>#NAME?</v>
          </cell>
        </row>
        <row r="6">
          <cell r="D6" t="e">
            <v>#NAME?</v>
          </cell>
          <cell r="E6" t="e">
            <v>#NAME?</v>
          </cell>
          <cell r="F6" t="e">
            <v>#NAME?</v>
          </cell>
          <cell r="G6" t="e">
            <v>#NAME?</v>
          </cell>
          <cell r="H6" t="e">
            <v>#NAME?</v>
          </cell>
          <cell r="I6" t="e">
            <v>#NAME?</v>
          </cell>
          <cell r="J6" t="e">
            <v>#NAME?</v>
          </cell>
          <cell r="K6" t="e">
            <v>#NAME?</v>
          </cell>
          <cell r="L6" t="e">
            <v>#NAME?</v>
          </cell>
          <cell r="M6" t="e">
            <v>#NAME?</v>
          </cell>
          <cell r="N6" t="e">
            <v>#NAME?</v>
          </cell>
          <cell r="Q6" t="e">
            <v>#NAME?</v>
          </cell>
          <cell r="R6" t="e">
            <v>#NAME?</v>
          </cell>
          <cell r="S6" t="e">
            <v>#NAME?</v>
          </cell>
          <cell r="T6" t="e">
            <v>#NAME?</v>
          </cell>
          <cell r="U6" t="e">
            <v>#NAME?</v>
          </cell>
          <cell r="V6" t="e">
            <v>#NAME?</v>
          </cell>
          <cell r="W6" t="e">
            <v>#NAME?</v>
          </cell>
          <cell r="X6" t="e">
            <v>#NAME?</v>
          </cell>
          <cell r="Y6" t="e">
            <v>#NAME?</v>
          </cell>
          <cell r="Z6" t="e">
            <v>#NAME?</v>
          </cell>
          <cell r="AA6" t="e">
            <v>#NAME?</v>
          </cell>
          <cell r="AE6" t="e">
            <v>#NAME?</v>
          </cell>
          <cell r="AF6" t="e">
            <v>#NAME?</v>
          </cell>
          <cell r="AG6" t="e">
            <v>#NAME?</v>
          </cell>
        </row>
        <row r="7">
          <cell r="D7" t="e">
            <v>#NAME?</v>
          </cell>
          <cell r="E7" t="e">
            <v>#NAME?</v>
          </cell>
          <cell r="F7" t="e">
            <v>#NAME?</v>
          </cell>
          <cell r="G7" t="e">
            <v>#NAME?</v>
          </cell>
          <cell r="H7" t="e">
            <v>#NAME?</v>
          </cell>
          <cell r="I7" t="e">
            <v>#NAME?</v>
          </cell>
          <cell r="J7" t="e">
            <v>#NAME?</v>
          </cell>
          <cell r="K7" t="e">
            <v>#NAME?</v>
          </cell>
          <cell r="L7" t="e">
            <v>#NAME?</v>
          </cell>
          <cell r="M7" t="e">
            <v>#NAME?</v>
          </cell>
          <cell r="N7" t="e">
            <v>#NAME?</v>
          </cell>
          <cell r="Q7" t="e">
            <v>#NAME?</v>
          </cell>
          <cell r="R7" t="e">
            <v>#NAME?</v>
          </cell>
          <cell r="S7" t="e">
            <v>#NAME?</v>
          </cell>
          <cell r="T7" t="e">
            <v>#NAME?</v>
          </cell>
          <cell r="U7" t="e">
            <v>#NAME?</v>
          </cell>
          <cell r="V7" t="e">
            <v>#NAME?</v>
          </cell>
          <cell r="W7" t="e">
            <v>#NAME?</v>
          </cell>
          <cell r="X7" t="e">
            <v>#NAME?</v>
          </cell>
          <cell r="Y7" t="e">
            <v>#NAME?</v>
          </cell>
          <cell r="Z7" t="e">
            <v>#NAME?</v>
          </cell>
          <cell r="AA7" t="e">
            <v>#NAME?</v>
          </cell>
          <cell r="AE7" t="e">
            <v>#NAME?</v>
          </cell>
          <cell r="AF7" t="e">
            <v>#NAME?</v>
          </cell>
          <cell r="AG7" t="e">
            <v>#NAME?</v>
          </cell>
        </row>
        <row r="8">
          <cell r="D8" t="e">
            <v>#NAME?</v>
          </cell>
          <cell r="E8" t="e">
            <v>#NAME?</v>
          </cell>
          <cell r="F8" t="e">
            <v>#NAME?</v>
          </cell>
          <cell r="G8" t="e">
            <v>#NAME?</v>
          </cell>
          <cell r="H8" t="e">
            <v>#NAME?</v>
          </cell>
          <cell r="I8" t="e">
            <v>#NAME?</v>
          </cell>
          <cell r="J8" t="e">
            <v>#NAME?</v>
          </cell>
          <cell r="K8" t="e">
            <v>#NAME?</v>
          </cell>
          <cell r="L8" t="e">
            <v>#NAME?</v>
          </cell>
          <cell r="M8" t="e">
            <v>#NAME?</v>
          </cell>
          <cell r="N8" t="e">
            <v>#NAME?</v>
          </cell>
          <cell r="Q8" t="e">
            <v>#NAME?</v>
          </cell>
          <cell r="R8" t="e">
            <v>#NAME?</v>
          </cell>
          <cell r="S8" t="e">
            <v>#NAME?</v>
          </cell>
          <cell r="T8" t="e">
            <v>#NAME?</v>
          </cell>
          <cell r="U8" t="e">
            <v>#NAME?</v>
          </cell>
          <cell r="V8" t="e">
            <v>#NAME?</v>
          </cell>
          <cell r="W8" t="e">
            <v>#NAME?</v>
          </cell>
          <cell r="X8" t="e">
            <v>#NAME?</v>
          </cell>
          <cell r="Y8" t="e">
            <v>#NAME?</v>
          </cell>
          <cell r="Z8" t="e">
            <v>#NAME?</v>
          </cell>
          <cell r="AA8" t="e">
            <v>#NAME?</v>
          </cell>
          <cell r="AE8" t="e">
            <v>#NAME?</v>
          </cell>
          <cell r="AF8" t="e">
            <v>#NAME?</v>
          </cell>
          <cell r="AG8" t="e">
            <v>#NAME?</v>
          </cell>
        </row>
        <row r="9">
          <cell r="D9" t="e">
            <v>#NAME?</v>
          </cell>
          <cell r="E9" t="e">
            <v>#NAME?</v>
          </cell>
          <cell r="F9" t="e">
            <v>#NAME?</v>
          </cell>
          <cell r="G9" t="e">
            <v>#NAME?</v>
          </cell>
          <cell r="H9" t="e">
            <v>#NAME?</v>
          </cell>
          <cell r="I9" t="e">
            <v>#NAME?</v>
          </cell>
          <cell r="J9" t="e">
            <v>#NAME?</v>
          </cell>
          <cell r="K9" t="e">
            <v>#NAME?</v>
          </cell>
          <cell r="L9" t="e">
            <v>#NAME?</v>
          </cell>
          <cell r="M9" t="e">
            <v>#NAME?</v>
          </cell>
          <cell r="N9" t="e">
            <v>#NAME?</v>
          </cell>
          <cell r="Q9" t="e">
            <v>#NAME?</v>
          </cell>
          <cell r="R9" t="e">
            <v>#NAME?</v>
          </cell>
          <cell r="S9" t="e">
            <v>#NAME?</v>
          </cell>
          <cell r="T9" t="e">
            <v>#NAME?</v>
          </cell>
          <cell r="U9" t="e">
            <v>#NAME?</v>
          </cell>
          <cell r="V9" t="e">
            <v>#NAME?</v>
          </cell>
          <cell r="W9" t="e">
            <v>#NAME?</v>
          </cell>
          <cell r="X9" t="e">
            <v>#NAME?</v>
          </cell>
          <cell r="Y9" t="e">
            <v>#NAME?</v>
          </cell>
          <cell r="Z9" t="e">
            <v>#NAME?</v>
          </cell>
          <cell r="AA9" t="e">
            <v>#NAME?</v>
          </cell>
          <cell r="AE9" t="e">
            <v>#NAME?</v>
          </cell>
          <cell r="AF9" t="e">
            <v>#NAME?</v>
          </cell>
          <cell r="AG9" t="e">
            <v>#NAME?</v>
          </cell>
        </row>
        <row r="10">
          <cell r="D10" t="e">
            <v>#NAME?</v>
          </cell>
          <cell r="E10" t="e">
            <v>#NAME?</v>
          </cell>
          <cell r="F10" t="e">
            <v>#NAME?</v>
          </cell>
          <cell r="G10" t="e">
            <v>#NAME?</v>
          </cell>
          <cell r="H10" t="e">
            <v>#NAME?</v>
          </cell>
          <cell r="I10" t="e">
            <v>#NAME?</v>
          </cell>
          <cell r="J10" t="e">
            <v>#NAME?</v>
          </cell>
          <cell r="K10" t="e">
            <v>#NAME?</v>
          </cell>
          <cell r="L10" t="e">
            <v>#NAME?</v>
          </cell>
          <cell r="M10" t="e">
            <v>#NAME?</v>
          </cell>
          <cell r="N10" t="e">
            <v>#NAME?</v>
          </cell>
          <cell r="Q10" t="e">
            <v>#NAME?</v>
          </cell>
          <cell r="R10" t="e">
            <v>#NAME?</v>
          </cell>
          <cell r="S10" t="e">
            <v>#NAME?</v>
          </cell>
          <cell r="T10" t="e">
            <v>#NAME?</v>
          </cell>
          <cell r="U10" t="e">
            <v>#NAME?</v>
          </cell>
          <cell r="V10" t="e">
            <v>#NAME?</v>
          </cell>
          <cell r="W10" t="e">
            <v>#NAME?</v>
          </cell>
          <cell r="X10" t="e">
            <v>#NAME?</v>
          </cell>
          <cell r="Y10" t="e">
            <v>#NAME?</v>
          </cell>
          <cell r="Z10" t="e">
            <v>#NAME?</v>
          </cell>
          <cell r="AA10" t="e">
            <v>#NAME?</v>
          </cell>
          <cell r="AE10" t="e">
            <v>#NAME?</v>
          </cell>
          <cell r="AF10" t="e">
            <v>#NAME?</v>
          </cell>
          <cell r="AG10" t="e">
            <v>#NAME?</v>
          </cell>
        </row>
        <row r="12">
          <cell r="D12" t="e">
            <v>#NAME?</v>
          </cell>
          <cell r="E12" t="e">
            <v>#NAME?</v>
          </cell>
          <cell r="F12" t="e">
            <v>#NAME?</v>
          </cell>
          <cell r="G12" t="e">
            <v>#NAME?</v>
          </cell>
          <cell r="H12" t="e">
            <v>#NAME?</v>
          </cell>
          <cell r="I12" t="e">
            <v>#NAME?</v>
          </cell>
          <cell r="J12" t="e">
            <v>#NAME?</v>
          </cell>
          <cell r="K12" t="e">
            <v>#NAME?</v>
          </cell>
          <cell r="L12" t="e">
            <v>#NAME?</v>
          </cell>
          <cell r="M12" t="e">
            <v>#NAME?</v>
          </cell>
          <cell r="N12" t="e">
            <v>#NAME?</v>
          </cell>
          <cell r="Q12" t="e">
            <v>#NAME?</v>
          </cell>
          <cell r="R12" t="e">
            <v>#NAME?</v>
          </cell>
          <cell r="S12" t="e">
            <v>#NAME?</v>
          </cell>
          <cell r="T12" t="e">
            <v>#NAME?</v>
          </cell>
          <cell r="U12" t="e">
            <v>#NAME?</v>
          </cell>
          <cell r="V12" t="e">
            <v>#NAME?</v>
          </cell>
          <cell r="W12" t="e">
            <v>#NAME?</v>
          </cell>
          <cell r="X12" t="e">
            <v>#NAME?</v>
          </cell>
          <cell r="Y12" t="e">
            <v>#NAME?</v>
          </cell>
          <cell r="Z12" t="e">
            <v>#NAME?</v>
          </cell>
          <cell r="AA12" t="e">
            <v>#NAME?</v>
          </cell>
          <cell r="AE12" t="e">
            <v>#NAME?</v>
          </cell>
          <cell r="AF12" t="e">
            <v>#NAME?</v>
          </cell>
          <cell r="AG12" t="e">
            <v>#NAME?</v>
          </cell>
        </row>
        <row r="13">
          <cell r="D13" t="e">
            <v>#NAME?</v>
          </cell>
          <cell r="E13" t="e">
            <v>#NAME?</v>
          </cell>
          <cell r="F13" t="e">
            <v>#NAME?</v>
          </cell>
          <cell r="G13" t="e">
            <v>#NAME?</v>
          </cell>
          <cell r="H13" t="e">
            <v>#NAME?</v>
          </cell>
          <cell r="I13" t="e">
            <v>#NAME?</v>
          </cell>
          <cell r="J13" t="e">
            <v>#NAME?</v>
          </cell>
          <cell r="K13" t="e">
            <v>#NAME?</v>
          </cell>
          <cell r="L13" t="e">
            <v>#NAME?</v>
          </cell>
          <cell r="M13" t="e">
            <v>#NAME?</v>
          </cell>
          <cell r="N13" t="e">
            <v>#NAME?</v>
          </cell>
          <cell r="Q13" t="e">
            <v>#NAME?</v>
          </cell>
          <cell r="R13" t="e">
            <v>#NAME?</v>
          </cell>
          <cell r="S13" t="e">
            <v>#NAME?</v>
          </cell>
          <cell r="T13" t="e">
            <v>#NAME?</v>
          </cell>
          <cell r="U13" t="e">
            <v>#NAME?</v>
          </cell>
          <cell r="V13" t="e">
            <v>#NAME?</v>
          </cell>
          <cell r="W13" t="e">
            <v>#NAME?</v>
          </cell>
          <cell r="X13" t="e">
            <v>#NAME?</v>
          </cell>
          <cell r="Y13" t="e">
            <v>#NAME?</v>
          </cell>
          <cell r="Z13" t="e">
            <v>#NAME?</v>
          </cell>
          <cell r="AA13" t="e">
            <v>#NAME?</v>
          </cell>
          <cell r="AE13" t="e">
            <v>#NAME?</v>
          </cell>
          <cell r="AF13" t="e">
            <v>#NAME?</v>
          </cell>
          <cell r="AG13" t="e">
            <v>#NAME?</v>
          </cell>
        </row>
        <row r="14">
          <cell r="D14" t="e">
            <v>#NAME?</v>
          </cell>
          <cell r="E14" t="e">
            <v>#NAME?</v>
          </cell>
          <cell r="F14" t="e">
            <v>#NAME?</v>
          </cell>
          <cell r="G14" t="e">
            <v>#NAME?</v>
          </cell>
          <cell r="H14" t="e">
            <v>#NAME?</v>
          </cell>
          <cell r="I14" t="e">
            <v>#NAME?</v>
          </cell>
          <cell r="J14" t="e">
            <v>#NAME?</v>
          </cell>
          <cell r="K14" t="e">
            <v>#NAME?</v>
          </cell>
          <cell r="L14" t="e">
            <v>#NAME?</v>
          </cell>
          <cell r="M14" t="e">
            <v>#NAME?</v>
          </cell>
          <cell r="N14" t="e">
            <v>#NAME?</v>
          </cell>
          <cell r="Q14" t="e">
            <v>#NAME?</v>
          </cell>
          <cell r="R14" t="e">
            <v>#NAME?</v>
          </cell>
          <cell r="S14" t="e">
            <v>#NAME?</v>
          </cell>
          <cell r="T14" t="e">
            <v>#NAME?</v>
          </cell>
          <cell r="U14" t="e">
            <v>#NAME?</v>
          </cell>
          <cell r="V14" t="e">
            <v>#NAME?</v>
          </cell>
          <cell r="W14" t="e">
            <v>#NAME?</v>
          </cell>
          <cell r="X14" t="e">
            <v>#NAME?</v>
          </cell>
          <cell r="Y14" t="e">
            <v>#NAME?</v>
          </cell>
          <cell r="Z14" t="e">
            <v>#NAME?</v>
          </cell>
          <cell r="AA14" t="e">
            <v>#NAME?</v>
          </cell>
          <cell r="AE14" t="e">
            <v>#NAME?</v>
          </cell>
          <cell r="AF14" t="e">
            <v>#NAME?</v>
          </cell>
          <cell r="AG14" t="e">
            <v>#NAME?</v>
          </cell>
        </row>
        <row r="15">
          <cell r="D15" t="e">
            <v>#NAME?</v>
          </cell>
          <cell r="E15" t="e">
            <v>#NAME?</v>
          </cell>
          <cell r="F15" t="e">
            <v>#NAME?</v>
          </cell>
          <cell r="G15" t="e">
            <v>#NAME?</v>
          </cell>
          <cell r="H15" t="e">
            <v>#NAME?</v>
          </cell>
          <cell r="I15" t="e">
            <v>#NAME?</v>
          </cell>
          <cell r="J15" t="e">
            <v>#NAME?</v>
          </cell>
          <cell r="K15" t="e">
            <v>#NAME?</v>
          </cell>
          <cell r="L15" t="e">
            <v>#NAME?</v>
          </cell>
          <cell r="M15" t="e">
            <v>#NAME?</v>
          </cell>
          <cell r="N15" t="e">
            <v>#NAME?</v>
          </cell>
          <cell r="Q15" t="e">
            <v>#NAME?</v>
          </cell>
          <cell r="R15" t="e">
            <v>#NAME?</v>
          </cell>
          <cell r="S15" t="e">
            <v>#NAME?</v>
          </cell>
          <cell r="T15" t="e">
            <v>#NAME?</v>
          </cell>
          <cell r="U15" t="e">
            <v>#NAME?</v>
          </cell>
          <cell r="V15" t="e">
            <v>#NAME?</v>
          </cell>
          <cell r="W15" t="e">
            <v>#NAME?</v>
          </cell>
          <cell r="X15" t="e">
            <v>#NAME?</v>
          </cell>
          <cell r="Y15" t="e">
            <v>#NAME?</v>
          </cell>
          <cell r="Z15" t="e">
            <v>#NAME?</v>
          </cell>
          <cell r="AA15" t="e">
            <v>#NAME?</v>
          </cell>
          <cell r="AE15" t="e">
            <v>#NAME?</v>
          </cell>
          <cell r="AF15" t="e">
            <v>#NAME?</v>
          </cell>
          <cell r="AG15" t="e">
            <v>#NAME?</v>
          </cell>
        </row>
        <row r="16">
          <cell r="D16" t="e">
            <v>#NAME?</v>
          </cell>
          <cell r="E16" t="e">
            <v>#NAME?</v>
          </cell>
          <cell r="F16" t="e">
            <v>#NAME?</v>
          </cell>
          <cell r="G16" t="e">
            <v>#NAME?</v>
          </cell>
          <cell r="H16" t="e">
            <v>#NAME?</v>
          </cell>
          <cell r="I16" t="e">
            <v>#NAME?</v>
          </cell>
          <cell r="J16" t="e">
            <v>#NAME?</v>
          </cell>
          <cell r="K16" t="e">
            <v>#NAME?</v>
          </cell>
          <cell r="L16" t="e">
            <v>#NAME?</v>
          </cell>
          <cell r="M16" t="e">
            <v>#NAME?</v>
          </cell>
          <cell r="N16" t="e">
            <v>#NAME?</v>
          </cell>
          <cell r="Q16" t="e">
            <v>#NAME?</v>
          </cell>
          <cell r="R16" t="e">
            <v>#NAME?</v>
          </cell>
          <cell r="S16" t="e">
            <v>#NAME?</v>
          </cell>
          <cell r="T16" t="e">
            <v>#NAME?</v>
          </cell>
          <cell r="U16" t="e">
            <v>#NAME?</v>
          </cell>
          <cell r="V16" t="e">
            <v>#NAME?</v>
          </cell>
          <cell r="W16" t="e">
            <v>#NAME?</v>
          </cell>
          <cell r="X16" t="e">
            <v>#NAME?</v>
          </cell>
          <cell r="Y16" t="e">
            <v>#NAME?</v>
          </cell>
          <cell r="Z16" t="e">
            <v>#NAME?</v>
          </cell>
          <cell r="AA16" t="e">
            <v>#NAME?</v>
          </cell>
          <cell r="AE16" t="e">
            <v>#NAME?</v>
          </cell>
          <cell r="AF16" t="e">
            <v>#NAME?</v>
          </cell>
          <cell r="AG16" t="e">
            <v>#NAME?</v>
          </cell>
        </row>
        <row r="17">
          <cell r="D17" t="e">
            <v>#NAME?</v>
          </cell>
          <cell r="E17" t="e">
            <v>#NAME?</v>
          </cell>
          <cell r="F17" t="e">
            <v>#NAME?</v>
          </cell>
          <cell r="G17" t="e">
            <v>#NAME?</v>
          </cell>
          <cell r="H17" t="e">
            <v>#NAME?</v>
          </cell>
          <cell r="I17" t="e">
            <v>#NAME?</v>
          </cell>
          <cell r="J17" t="e">
            <v>#NAME?</v>
          </cell>
          <cell r="K17" t="e">
            <v>#NAME?</v>
          </cell>
          <cell r="L17" t="e">
            <v>#NAME?</v>
          </cell>
          <cell r="M17" t="e">
            <v>#NAME?</v>
          </cell>
          <cell r="N17" t="e">
            <v>#NAME?</v>
          </cell>
          <cell r="Q17" t="e">
            <v>#NAME?</v>
          </cell>
          <cell r="R17" t="e">
            <v>#NAME?</v>
          </cell>
          <cell r="S17" t="e">
            <v>#NAME?</v>
          </cell>
          <cell r="T17" t="e">
            <v>#NAME?</v>
          </cell>
          <cell r="U17" t="e">
            <v>#NAME?</v>
          </cell>
          <cell r="V17" t="e">
            <v>#NAME?</v>
          </cell>
          <cell r="W17" t="e">
            <v>#NAME?</v>
          </cell>
          <cell r="X17" t="e">
            <v>#NAME?</v>
          </cell>
          <cell r="Y17" t="e">
            <v>#NAME?</v>
          </cell>
          <cell r="Z17" t="e">
            <v>#NAME?</v>
          </cell>
          <cell r="AA17" t="e">
            <v>#NAME?</v>
          </cell>
          <cell r="AE17" t="e">
            <v>#NAME?</v>
          </cell>
          <cell r="AF17" t="e">
            <v>#NAME?</v>
          </cell>
          <cell r="AG17" t="e">
            <v>#NAME?</v>
          </cell>
        </row>
        <row r="19">
          <cell r="D19" t="e">
            <v>#NAME?</v>
          </cell>
          <cell r="E19" t="e">
            <v>#NAME?</v>
          </cell>
          <cell r="F19" t="e">
            <v>#NAME?</v>
          </cell>
          <cell r="G19" t="e">
            <v>#NAME?</v>
          </cell>
          <cell r="H19" t="e">
            <v>#NAME?</v>
          </cell>
          <cell r="I19" t="e">
            <v>#NAME?</v>
          </cell>
          <cell r="J19" t="e">
            <v>#NAME?</v>
          </cell>
          <cell r="K19" t="e">
            <v>#NAME?</v>
          </cell>
          <cell r="L19" t="e">
            <v>#NAME?</v>
          </cell>
          <cell r="M19" t="e">
            <v>#NAME?</v>
          </cell>
          <cell r="N19" t="e">
            <v>#NAME?</v>
          </cell>
          <cell r="Q19" t="e">
            <v>#NAME?</v>
          </cell>
          <cell r="R19" t="e">
            <v>#NAME?</v>
          </cell>
          <cell r="S19" t="e">
            <v>#NAME?</v>
          </cell>
          <cell r="T19" t="e">
            <v>#NAME?</v>
          </cell>
          <cell r="U19" t="e">
            <v>#NAME?</v>
          </cell>
          <cell r="V19" t="e">
            <v>#NAME?</v>
          </cell>
          <cell r="W19" t="e">
            <v>#NAME?</v>
          </cell>
          <cell r="X19" t="e">
            <v>#NAME?</v>
          </cell>
          <cell r="Y19" t="e">
            <v>#NAME?</v>
          </cell>
          <cell r="Z19" t="e">
            <v>#NAME?</v>
          </cell>
          <cell r="AA19" t="e">
            <v>#NAME?</v>
          </cell>
          <cell r="AE19" t="e">
            <v>#NAME?</v>
          </cell>
          <cell r="AF19" t="e">
            <v>#NAME?</v>
          </cell>
          <cell r="AG19" t="e">
            <v>#NAME?</v>
          </cell>
        </row>
        <row r="20">
          <cell r="D20" t="e">
            <v>#NAME?</v>
          </cell>
          <cell r="E20" t="e">
            <v>#NAME?</v>
          </cell>
          <cell r="F20" t="e">
            <v>#NAME?</v>
          </cell>
          <cell r="G20" t="e">
            <v>#NAME?</v>
          </cell>
          <cell r="H20" t="e">
            <v>#NAME?</v>
          </cell>
          <cell r="I20" t="e">
            <v>#NAME?</v>
          </cell>
          <cell r="J20" t="e">
            <v>#NAME?</v>
          </cell>
          <cell r="K20" t="e">
            <v>#NAME?</v>
          </cell>
          <cell r="L20" t="e">
            <v>#NAME?</v>
          </cell>
          <cell r="M20" t="e">
            <v>#NAME?</v>
          </cell>
          <cell r="N20" t="e">
            <v>#NAME?</v>
          </cell>
          <cell r="Q20" t="e">
            <v>#NAME?</v>
          </cell>
          <cell r="R20" t="e">
            <v>#NAME?</v>
          </cell>
          <cell r="S20" t="e">
            <v>#NAME?</v>
          </cell>
          <cell r="T20" t="e">
            <v>#NAME?</v>
          </cell>
          <cell r="U20" t="e">
            <v>#NAME?</v>
          </cell>
          <cell r="V20" t="e">
            <v>#NAME?</v>
          </cell>
          <cell r="W20" t="e">
            <v>#NAME?</v>
          </cell>
          <cell r="X20" t="e">
            <v>#NAME?</v>
          </cell>
          <cell r="Y20" t="e">
            <v>#NAME?</v>
          </cell>
          <cell r="Z20" t="e">
            <v>#NAME?</v>
          </cell>
          <cell r="AA20" t="e">
            <v>#NAME?</v>
          </cell>
          <cell r="AE20" t="e">
            <v>#NAME?</v>
          </cell>
          <cell r="AF20" t="e">
            <v>#NAME?</v>
          </cell>
          <cell r="AG20" t="e">
            <v>#NAME?</v>
          </cell>
        </row>
        <row r="21">
          <cell r="D21" t="e">
            <v>#NAME?</v>
          </cell>
          <cell r="E21" t="e">
            <v>#NAME?</v>
          </cell>
          <cell r="F21" t="e">
            <v>#NAME?</v>
          </cell>
          <cell r="G21" t="e">
            <v>#NAME?</v>
          </cell>
          <cell r="H21" t="e">
            <v>#NAME?</v>
          </cell>
          <cell r="I21" t="e">
            <v>#NAME?</v>
          </cell>
          <cell r="J21" t="e">
            <v>#NAME?</v>
          </cell>
          <cell r="K21" t="e">
            <v>#NAME?</v>
          </cell>
          <cell r="L21" t="e">
            <v>#NAME?</v>
          </cell>
          <cell r="M21" t="e">
            <v>#NAME?</v>
          </cell>
          <cell r="N21" t="e">
            <v>#NAME?</v>
          </cell>
          <cell r="Q21" t="e">
            <v>#NAME?</v>
          </cell>
          <cell r="R21" t="e">
            <v>#NAME?</v>
          </cell>
          <cell r="S21" t="e">
            <v>#NAME?</v>
          </cell>
          <cell r="T21" t="e">
            <v>#NAME?</v>
          </cell>
          <cell r="U21" t="e">
            <v>#NAME?</v>
          </cell>
          <cell r="V21" t="e">
            <v>#NAME?</v>
          </cell>
          <cell r="W21" t="e">
            <v>#NAME?</v>
          </cell>
          <cell r="X21" t="e">
            <v>#NAME?</v>
          </cell>
          <cell r="Y21" t="e">
            <v>#NAME?</v>
          </cell>
          <cell r="Z21" t="e">
            <v>#NAME?</v>
          </cell>
          <cell r="AA21" t="e">
            <v>#NAME?</v>
          </cell>
          <cell r="AE21" t="e">
            <v>#NAME?</v>
          </cell>
          <cell r="AF21" t="e">
            <v>#NAME?</v>
          </cell>
          <cell r="AG21" t="e">
            <v>#NAME?</v>
          </cell>
        </row>
        <row r="22">
          <cell r="D22" t="e">
            <v>#NAME?</v>
          </cell>
          <cell r="E22" t="e">
            <v>#NAME?</v>
          </cell>
          <cell r="F22" t="e">
            <v>#NAME?</v>
          </cell>
          <cell r="G22" t="e">
            <v>#NAME?</v>
          </cell>
          <cell r="H22" t="e">
            <v>#NAME?</v>
          </cell>
          <cell r="I22" t="e">
            <v>#NAME?</v>
          </cell>
          <cell r="J22" t="e">
            <v>#NAME?</v>
          </cell>
          <cell r="K22" t="e">
            <v>#NAME?</v>
          </cell>
          <cell r="L22" t="e">
            <v>#NAME?</v>
          </cell>
          <cell r="M22" t="e">
            <v>#NAME?</v>
          </cell>
          <cell r="N22" t="e">
            <v>#NAME?</v>
          </cell>
          <cell r="Q22" t="e">
            <v>#NAME?</v>
          </cell>
          <cell r="R22" t="e">
            <v>#NAME?</v>
          </cell>
          <cell r="S22" t="e">
            <v>#NAME?</v>
          </cell>
          <cell r="T22" t="e">
            <v>#NAME?</v>
          </cell>
          <cell r="U22" t="e">
            <v>#NAME?</v>
          </cell>
          <cell r="V22" t="e">
            <v>#NAME?</v>
          </cell>
          <cell r="W22" t="e">
            <v>#NAME?</v>
          </cell>
          <cell r="X22" t="e">
            <v>#NAME?</v>
          </cell>
          <cell r="Y22" t="e">
            <v>#NAME?</v>
          </cell>
          <cell r="Z22" t="e">
            <v>#NAME?</v>
          </cell>
          <cell r="AA22" t="e">
            <v>#NAME?</v>
          </cell>
          <cell r="AE22" t="e">
            <v>#NAME?</v>
          </cell>
          <cell r="AF22" t="e">
            <v>#NAME?</v>
          </cell>
          <cell r="AG22" t="e">
            <v>#NAME?</v>
          </cell>
        </row>
        <row r="24">
          <cell r="D24" t="e">
            <v>#NAME?</v>
          </cell>
          <cell r="E24" t="e">
            <v>#NAME?</v>
          </cell>
          <cell r="F24" t="e">
            <v>#NAME?</v>
          </cell>
          <cell r="G24" t="e">
            <v>#NAME?</v>
          </cell>
          <cell r="H24" t="e">
            <v>#NAME?</v>
          </cell>
          <cell r="I24" t="e">
            <v>#NAME?</v>
          </cell>
          <cell r="J24" t="e">
            <v>#NAME?</v>
          </cell>
          <cell r="K24" t="e">
            <v>#NAME?</v>
          </cell>
          <cell r="L24" t="e">
            <v>#NAME?</v>
          </cell>
          <cell r="M24" t="e">
            <v>#NAME?</v>
          </cell>
          <cell r="N24" t="e">
            <v>#NAME?</v>
          </cell>
          <cell r="Q24" t="e">
            <v>#NAME?</v>
          </cell>
          <cell r="R24" t="e">
            <v>#NAME?</v>
          </cell>
          <cell r="S24" t="e">
            <v>#NAME?</v>
          </cell>
          <cell r="T24" t="e">
            <v>#NAME?</v>
          </cell>
          <cell r="U24" t="e">
            <v>#NAME?</v>
          </cell>
          <cell r="V24" t="e">
            <v>#NAME?</v>
          </cell>
          <cell r="W24" t="e">
            <v>#NAME?</v>
          </cell>
          <cell r="X24" t="e">
            <v>#NAME?</v>
          </cell>
          <cell r="Y24" t="e">
            <v>#NAME?</v>
          </cell>
          <cell r="Z24" t="e">
            <v>#NAME?</v>
          </cell>
          <cell r="AA24" t="e">
            <v>#NAME?</v>
          </cell>
          <cell r="AE24" t="e">
            <v>#NAME?</v>
          </cell>
          <cell r="AF24" t="e">
            <v>#NAME?</v>
          </cell>
          <cell r="AG24" t="e">
            <v>#NAME?</v>
          </cell>
        </row>
        <row r="25">
          <cell r="D25" t="e">
            <v>#NAME?</v>
          </cell>
          <cell r="E25" t="e">
            <v>#NAME?</v>
          </cell>
          <cell r="F25" t="e">
            <v>#NAME?</v>
          </cell>
          <cell r="G25" t="e">
            <v>#NAME?</v>
          </cell>
          <cell r="H25" t="e">
            <v>#NAME?</v>
          </cell>
          <cell r="I25" t="e">
            <v>#NAME?</v>
          </cell>
          <cell r="J25" t="e">
            <v>#NAME?</v>
          </cell>
          <cell r="K25" t="e">
            <v>#NAME?</v>
          </cell>
          <cell r="L25" t="e">
            <v>#NAME?</v>
          </cell>
          <cell r="M25" t="e">
            <v>#NAME?</v>
          </cell>
          <cell r="N25" t="e">
            <v>#NAME?</v>
          </cell>
          <cell r="Q25" t="e">
            <v>#NAME?</v>
          </cell>
          <cell r="R25" t="e">
            <v>#NAME?</v>
          </cell>
          <cell r="S25" t="e">
            <v>#NAME?</v>
          </cell>
          <cell r="T25" t="e">
            <v>#NAME?</v>
          </cell>
          <cell r="U25" t="e">
            <v>#NAME?</v>
          </cell>
          <cell r="V25" t="e">
            <v>#NAME?</v>
          </cell>
          <cell r="W25" t="e">
            <v>#NAME?</v>
          </cell>
          <cell r="X25" t="e">
            <v>#NAME?</v>
          </cell>
          <cell r="Y25" t="e">
            <v>#NAME?</v>
          </cell>
          <cell r="Z25" t="e">
            <v>#NAME?</v>
          </cell>
          <cell r="AA25" t="e">
            <v>#NAME?</v>
          </cell>
          <cell r="AE25" t="e">
            <v>#NAME?</v>
          </cell>
          <cell r="AF25" t="e">
            <v>#NAME?</v>
          </cell>
          <cell r="AG25" t="e">
            <v>#NAME?</v>
          </cell>
        </row>
        <row r="26">
          <cell r="D26" t="e">
            <v>#NAME?</v>
          </cell>
          <cell r="E26" t="e">
            <v>#NAME?</v>
          </cell>
          <cell r="F26" t="e">
            <v>#NAME?</v>
          </cell>
          <cell r="G26" t="e">
            <v>#NAME?</v>
          </cell>
          <cell r="H26" t="e">
            <v>#NAME?</v>
          </cell>
          <cell r="I26" t="e">
            <v>#NAME?</v>
          </cell>
          <cell r="J26" t="e">
            <v>#NAME?</v>
          </cell>
          <cell r="K26" t="e">
            <v>#NAME?</v>
          </cell>
          <cell r="L26" t="e">
            <v>#NAME?</v>
          </cell>
          <cell r="M26" t="e">
            <v>#NAME?</v>
          </cell>
          <cell r="N26" t="e">
            <v>#NAME?</v>
          </cell>
          <cell r="Q26" t="e">
            <v>#NAME?</v>
          </cell>
          <cell r="R26" t="e">
            <v>#NAME?</v>
          </cell>
          <cell r="S26" t="e">
            <v>#NAME?</v>
          </cell>
          <cell r="T26" t="e">
            <v>#NAME?</v>
          </cell>
          <cell r="U26" t="e">
            <v>#NAME?</v>
          </cell>
          <cell r="V26" t="e">
            <v>#NAME?</v>
          </cell>
          <cell r="W26" t="e">
            <v>#NAME?</v>
          </cell>
          <cell r="X26" t="e">
            <v>#NAME?</v>
          </cell>
          <cell r="Y26" t="e">
            <v>#NAME?</v>
          </cell>
          <cell r="Z26" t="e">
            <v>#NAME?</v>
          </cell>
          <cell r="AA26" t="e">
            <v>#NAME?</v>
          </cell>
          <cell r="AE26" t="e">
            <v>#NAME?</v>
          </cell>
          <cell r="AF26" t="e">
            <v>#NAME?</v>
          </cell>
          <cell r="AG26" t="e">
            <v>#NAME?</v>
          </cell>
        </row>
        <row r="27">
          <cell r="D27" t="e">
            <v>#NAME?</v>
          </cell>
          <cell r="E27" t="e">
            <v>#NAME?</v>
          </cell>
          <cell r="F27" t="e">
            <v>#NAME?</v>
          </cell>
          <cell r="G27" t="e">
            <v>#NAME?</v>
          </cell>
          <cell r="H27" t="e">
            <v>#NAME?</v>
          </cell>
          <cell r="I27" t="e">
            <v>#NAME?</v>
          </cell>
          <cell r="J27" t="e">
            <v>#NAME?</v>
          </cell>
          <cell r="K27" t="e">
            <v>#NAME?</v>
          </cell>
          <cell r="L27" t="e">
            <v>#NAME?</v>
          </cell>
          <cell r="M27" t="e">
            <v>#NAME?</v>
          </cell>
          <cell r="N27" t="e">
            <v>#NAME?</v>
          </cell>
          <cell r="Q27" t="e">
            <v>#NAME?</v>
          </cell>
          <cell r="R27" t="e">
            <v>#NAME?</v>
          </cell>
          <cell r="S27" t="e">
            <v>#NAME?</v>
          </cell>
          <cell r="T27" t="e">
            <v>#NAME?</v>
          </cell>
          <cell r="U27" t="e">
            <v>#NAME?</v>
          </cell>
          <cell r="V27" t="e">
            <v>#NAME?</v>
          </cell>
          <cell r="W27" t="e">
            <v>#NAME?</v>
          </cell>
          <cell r="X27" t="e">
            <v>#NAME?</v>
          </cell>
          <cell r="Y27" t="e">
            <v>#NAME?</v>
          </cell>
          <cell r="Z27" t="e">
            <v>#NAME?</v>
          </cell>
          <cell r="AA27" t="e">
            <v>#NAME?</v>
          </cell>
          <cell r="AE27" t="e">
            <v>#NAME?</v>
          </cell>
          <cell r="AF27" t="e">
            <v>#NAME?</v>
          </cell>
          <cell r="AG27" t="e">
            <v>#NAME?</v>
          </cell>
        </row>
      </sheetData>
      <sheetData sheetId="7">
        <row r="4">
          <cell r="D4">
            <v>1537.530029296875</v>
          </cell>
          <cell r="E4">
            <v>968.48800000000006</v>
          </cell>
          <cell r="F4">
            <v>1159.0170000000001</v>
          </cell>
          <cell r="G4">
            <v>1136.876</v>
          </cell>
          <cell r="H4">
            <v>825.82299999999998</v>
          </cell>
          <cell r="I4">
            <v>1214.4829999999999</v>
          </cell>
          <cell r="J4">
            <v>2381</v>
          </cell>
          <cell r="K4">
            <v>1436.05</v>
          </cell>
          <cell r="L4">
            <v>1436.05</v>
          </cell>
          <cell r="M4">
            <v>1655.25</v>
          </cell>
          <cell r="N4">
            <v>1.71</v>
          </cell>
          <cell r="R4">
            <v>-5.5919999999999987</v>
          </cell>
          <cell r="S4">
            <v>256.79899999999998</v>
          </cell>
          <cell r="T4">
            <v>239.87899999999999</v>
          </cell>
          <cell r="U4">
            <v>79.540000000000006</v>
          </cell>
          <cell r="V4">
            <v>253.62100000000001</v>
          </cell>
          <cell r="W4">
            <v>535.1</v>
          </cell>
          <cell r="X4">
            <v>161.49100000000001</v>
          </cell>
          <cell r="Y4">
            <v>226.45500000000001</v>
          </cell>
          <cell r="Z4">
            <v>208.5</v>
          </cell>
          <cell r="AA4">
            <v>212</v>
          </cell>
          <cell r="AB4">
            <v>-3.4229222304956259</v>
          </cell>
          <cell r="AF4">
            <v>1863547.8175999997</v>
          </cell>
          <cell r="AG4">
            <v>454.03100000000001</v>
          </cell>
          <cell r="AH4">
            <v>0.32948091636180249</v>
          </cell>
        </row>
        <row r="5">
          <cell r="D5">
            <v>3026</v>
          </cell>
          <cell r="E5">
            <v>4279</v>
          </cell>
          <cell r="F5">
            <v>4447</v>
          </cell>
          <cell r="G5">
            <v>4755</v>
          </cell>
          <cell r="H5">
            <v>4856</v>
          </cell>
          <cell r="I5">
            <v>4583</v>
          </cell>
          <cell r="J5">
            <v>4708.7269999999999</v>
          </cell>
          <cell r="K5">
            <v>4805.1900000000005</v>
          </cell>
          <cell r="L5">
            <v>4805.1900000000005</v>
          </cell>
          <cell r="M5">
            <v>5423.3330000000005</v>
          </cell>
          <cell r="N5">
            <v>5436</v>
          </cell>
          <cell r="R5">
            <v>1034</v>
          </cell>
          <cell r="S5">
            <v>1312</v>
          </cell>
          <cell r="T5">
            <v>1788</v>
          </cell>
          <cell r="U5">
            <v>1779</v>
          </cell>
          <cell r="V5">
            <v>1687</v>
          </cell>
          <cell r="W5">
            <v>1598.7860000000001</v>
          </cell>
          <cell r="X5">
            <v>1702.538</v>
          </cell>
          <cell r="Y5">
            <v>1834</v>
          </cell>
          <cell r="Z5">
            <v>1934.5</v>
          </cell>
          <cell r="AA5">
            <v>1728</v>
          </cell>
          <cell r="AB5">
            <v>0.19826204463973074</v>
          </cell>
          <cell r="AF5">
            <v>16132466.293999998</v>
          </cell>
          <cell r="AG5">
            <v>4320</v>
          </cell>
          <cell r="AH5">
            <v>0.26806714429444473</v>
          </cell>
        </row>
        <row r="6">
          <cell r="D6">
            <v>2611.2180673678913</v>
          </cell>
          <cell r="E6">
            <v>3095.1716743818047</v>
          </cell>
          <cell r="F6">
            <v>2826.8917740780853</v>
          </cell>
          <cell r="G6">
            <v>3018.7651733688517</v>
          </cell>
          <cell r="H6">
            <v>3368.1508869267614</v>
          </cell>
          <cell r="I6">
            <v>2735.0424603336828</v>
          </cell>
          <cell r="J6">
            <v>2092.596</v>
          </cell>
          <cell r="K6">
            <v>2365.3989999999999</v>
          </cell>
          <cell r="L6">
            <v>2365.3989999999999</v>
          </cell>
          <cell r="M6">
            <v>2410.9360000000001</v>
          </cell>
          <cell r="N6">
            <v>2534.5889999999999</v>
          </cell>
          <cell r="R6">
            <v>410.58328392166192</v>
          </cell>
          <cell r="S6">
            <v>340.3670694932045</v>
          </cell>
          <cell r="T6">
            <v>388.23359879996406</v>
          </cell>
          <cell r="U6">
            <v>643.16754795625832</v>
          </cell>
          <cell r="V6">
            <v>391.96688070659667</v>
          </cell>
          <cell r="W6">
            <v>211.24</v>
          </cell>
          <cell r="X6">
            <v>364.3</v>
          </cell>
          <cell r="Y6">
            <v>376.44200000000001</v>
          </cell>
          <cell r="Z6">
            <v>399.26800000000003</v>
          </cell>
          <cell r="AA6">
            <v>450.089</v>
          </cell>
          <cell r="AB6">
            <v>0.16137984921331561</v>
          </cell>
          <cell r="AF6">
            <v>344974000</v>
          </cell>
          <cell r="AG6">
            <v>59023</v>
          </cell>
          <cell r="AH6">
            <v>0.16643450111665051</v>
          </cell>
        </row>
        <row r="7">
          <cell r="D7">
            <v>1316.0502757438746</v>
          </cell>
          <cell r="E7">
            <v>1505.6390855573857</v>
          </cell>
          <cell r="F7">
            <v>1231.3290635542951</v>
          </cell>
          <cell r="G7">
            <v>1374.3616236137709</v>
          </cell>
          <cell r="H7">
            <v>1462.4516550062592</v>
          </cell>
          <cell r="I7">
            <v>1617.821822402082</v>
          </cell>
          <cell r="J7">
            <v>1391.922</v>
          </cell>
          <cell r="K7">
            <v>1984.0260000000001</v>
          </cell>
          <cell r="L7">
            <v>1984.0260000000001</v>
          </cell>
          <cell r="M7">
            <v>2371.9969999999998</v>
          </cell>
          <cell r="N7">
            <v>2301.9720000000002</v>
          </cell>
          <cell r="R7">
            <v>494.22286403333919</v>
          </cell>
          <cell r="S7">
            <v>329.54565996288619</v>
          </cell>
          <cell r="T7">
            <v>342.08814505936152</v>
          </cell>
          <cell r="U7">
            <v>566.1044505111405</v>
          </cell>
          <cell r="V7">
            <v>606.6619329429825</v>
          </cell>
          <cell r="W7">
            <v>130.03100000000001</v>
          </cell>
          <cell r="X7">
            <v>591.875</v>
          </cell>
          <cell r="Y7">
            <v>718.94500000000005</v>
          </cell>
          <cell r="Z7">
            <v>636.86599999999999</v>
          </cell>
          <cell r="AA7">
            <v>288.05700000000002</v>
          </cell>
          <cell r="AB7">
            <v>4.6304063585995259E-2</v>
          </cell>
          <cell r="AF7">
            <v>1210608.8422000001</v>
          </cell>
          <cell r="AG7" t="str">
            <v>#N/A N/A</v>
          </cell>
          <cell r="AH7" t="e">
            <v>#VALUE!</v>
          </cell>
        </row>
        <row r="8">
          <cell r="D8" t="str">
            <v>#N/A Invalid Security</v>
          </cell>
          <cell r="E8" t="str">
            <v>#N/A Invalid Security</v>
          </cell>
          <cell r="F8" t="str">
            <v>#N/A Invalid Security</v>
          </cell>
          <cell r="G8" t="str">
            <v>#N/A Invalid Security</v>
          </cell>
          <cell r="H8" t="str">
            <v>#N/A Invalid Security</v>
          </cell>
          <cell r="I8" t="str">
            <v>#N/A Invalid Security</v>
          </cell>
          <cell r="J8" t="str">
            <v>#N/A Invalid Security</v>
          </cell>
          <cell r="K8" t="str">
            <v>#N/A Invalid Security</v>
          </cell>
          <cell r="L8" t="str">
            <v>#N/A Invalid Security</v>
          </cell>
          <cell r="M8" t="str">
            <v>#N/A Invalid Security</v>
          </cell>
          <cell r="N8" t="str">
            <v>#N/A Invalid Security</v>
          </cell>
          <cell r="R8" t="str">
            <v>#N/A Invalid Security</v>
          </cell>
          <cell r="S8" t="str">
            <v>#N/A Invalid Security</v>
          </cell>
          <cell r="T8" t="str">
            <v>#N/A Invalid Security</v>
          </cell>
          <cell r="U8" t="str">
            <v>#N/A Invalid Security</v>
          </cell>
          <cell r="V8" t="str">
            <v>#N/A Invalid Security</v>
          </cell>
          <cell r="W8" t="str">
            <v>#N/A Invalid Security</v>
          </cell>
          <cell r="X8" t="str">
            <v>#N/A Invalid Security</v>
          </cell>
          <cell r="Y8" t="str">
            <v>#N/A Invalid Security</v>
          </cell>
          <cell r="Z8" t="str">
            <v>#N/A Invalid Security</v>
          </cell>
          <cell r="AA8" t="str">
            <v>#N/A Invalid Security</v>
          </cell>
          <cell r="AB8" t="e">
            <v>#VALUE!</v>
          </cell>
          <cell r="AF8" t="e">
            <v>#VALUE!</v>
          </cell>
          <cell r="AG8" t="str">
            <v>#N/A Invalid Security</v>
          </cell>
          <cell r="AH8" t="e">
            <v>#VALUE!</v>
          </cell>
        </row>
        <row r="9">
          <cell r="D9" t="str">
            <v>#N/A Invalid Security</v>
          </cell>
          <cell r="E9" t="str">
            <v>#N/A Invalid Security</v>
          </cell>
          <cell r="F9" t="str">
            <v>#N/A Invalid Security</v>
          </cell>
          <cell r="G9" t="str">
            <v>#N/A Invalid Security</v>
          </cell>
          <cell r="H9" t="str">
            <v>#N/A Invalid Security</v>
          </cell>
          <cell r="I9" t="str">
            <v>#N/A Invalid Security</v>
          </cell>
          <cell r="J9" t="str">
            <v>#N/A Invalid Security</v>
          </cell>
          <cell r="K9" t="str">
            <v>#N/A Invalid Security</v>
          </cell>
          <cell r="L9" t="str">
            <v>#N/A Invalid Security</v>
          </cell>
          <cell r="M9" t="str">
            <v>#N/A Invalid Security</v>
          </cell>
          <cell r="N9" t="str">
            <v>#N/A Invalid Security</v>
          </cell>
          <cell r="R9" t="str">
            <v>#N/A Invalid Security</v>
          </cell>
          <cell r="S9" t="str">
            <v>#N/A Invalid Security</v>
          </cell>
          <cell r="T9" t="str">
            <v>#N/A Invalid Security</v>
          </cell>
          <cell r="U9" t="str">
            <v>#N/A Invalid Security</v>
          </cell>
          <cell r="V9" t="str">
            <v>#N/A Invalid Security</v>
          </cell>
          <cell r="W9" t="str">
            <v>#N/A Invalid Security</v>
          </cell>
          <cell r="X9" t="str">
            <v>#N/A Invalid Security</v>
          </cell>
          <cell r="Y9" t="str">
            <v>#N/A Invalid Security</v>
          </cell>
          <cell r="Z9" t="str">
            <v>#N/A Invalid Security</v>
          </cell>
          <cell r="AA9" t="str">
            <v>#N/A Invalid Security</v>
          </cell>
          <cell r="AB9" t="e">
            <v>#VALUE!</v>
          </cell>
          <cell r="AF9" t="e">
            <v>#VALUE!</v>
          </cell>
          <cell r="AG9" t="str">
            <v>#N/A Invalid Security</v>
          </cell>
          <cell r="AH9" t="e">
            <v>#VALUE!</v>
          </cell>
        </row>
        <row r="10">
          <cell r="D10" t="str">
            <v>#N/A Invalid Security</v>
          </cell>
          <cell r="E10" t="str">
            <v>#N/A Invalid Security</v>
          </cell>
          <cell r="F10" t="str">
            <v>#N/A Invalid Security</v>
          </cell>
          <cell r="G10" t="str">
            <v>#N/A Invalid Security</v>
          </cell>
          <cell r="H10" t="str">
            <v>#N/A Invalid Security</v>
          </cell>
          <cell r="I10" t="str">
            <v>#N/A Invalid Security</v>
          </cell>
          <cell r="J10" t="str">
            <v>#N/A Invalid Security</v>
          </cell>
          <cell r="K10" t="str">
            <v>#N/A Invalid Security</v>
          </cell>
          <cell r="L10" t="str">
            <v>#N/A Invalid Security</v>
          </cell>
          <cell r="M10" t="str">
            <v>#N/A Invalid Security</v>
          </cell>
          <cell r="N10" t="str">
            <v>#N/A Invalid Security</v>
          </cell>
          <cell r="R10" t="str">
            <v>#N/A Invalid Security</v>
          </cell>
          <cell r="S10" t="str">
            <v>#N/A Invalid Security</v>
          </cell>
          <cell r="T10" t="str">
            <v>#N/A Invalid Security</v>
          </cell>
          <cell r="U10" t="str">
            <v>#N/A Invalid Security</v>
          </cell>
          <cell r="V10" t="str">
            <v>#N/A Invalid Security</v>
          </cell>
          <cell r="W10" t="str">
            <v>#N/A Invalid Security</v>
          </cell>
          <cell r="X10" t="str">
            <v>#N/A Invalid Security</v>
          </cell>
          <cell r="Y10" t="str">
            <v>#N/A Invalid Security</v>
          </cell>
          <cell r="Z10" t="str">
            <v>#N/A Invalid Security</v>
          </cell>
          <cell r="AA10" t="str">
            <v>#N/A Invalid Security</v>
          </cell>
          <cell r="AB10" t="e">
            <v>#VALUE!</v>
          </cell>
          <cell r="AF10" t="e">
            <v>#VALUE!</v>
          </cell>
          <cell r="AG10" t="str">
            <v>#N/A Invalid Security</v>
          </cell>
          <cell r="AH10" t="e">
            <v>#VALUE!</v>
          </cell>
        </row>
        <row r="12">
          <cell r="D12">
            <v>19.41</v>
          </cell>
          <cell r="E12">
            <v>121.467</v>
          </cell>
          <cell r="F12">
            <v>597.45899999999995</v>
          </cell>
          <cell r="G12">
            <v>1140.0999999999999</v>
          </cell>
          <cell r="H12">
            <v>1281.2670000000001</v>
          </cell>
          <cell r="I12">
            <v>873.26599999999996</v>
          </cell>
          <cell r="J12">
            <v>747.66700000000003</v>
          </cell>
          <cell r="K12">
            <v>925.529</v>
          </cell>
          <cell r="L12">
            <v>925.529</v>
          </cell>
          <cell r="M12">
            <v>1269.5</v>
          </cell>
          <cell r="N12">
            <v>1638.6670000000001</v>
          </cell>
          <cell r="R12">
            <v>-42.405999999999999</v>
          </cell>
          <cell r="S12">
            <v>164.953</v>
          </cell>
          <cell r="T12">
            <v>-310.202</v>
          </cell>
          <cell r="U12">
            <v>-41.49199999999999</v>
          </cell>
          <cell r="V12">
            <v>73.632999999999996</v>
          </cell>
          <cell r="W12">
            <v>95.378</v>
          </cell>
          <cell r="X12">
            <v>153.30600000000001</v>
          </cell>
          <cell r="Y12">
            <v>200</v>
          </cell>
          <cell r="Z12">
            <v>245</v>
          </cell>
          <cell r="AA12">
            <v>386</v>
          </cell>
          <cell r="AB12">
            <v>-7.2367623113777091E-3</v>
          </cell>
          <cell r="AF12">
            <v>2503022.2018599999</v>
          </cell>
          <cell r="AG12">
            <v>0</v>
          </cell>
          <cell r="AH12">
            <v>0</v>
          </cell>
        </row>
        <row r="13">
          <cell r="D13" t="str">
            <v>#N/A N/A</v>
          </cell>
          <cell r="E13" t="str">
            <v>#N/A N/A</v>
          </cell>
          <cell r="F13" t="str">
            <v>#N/A N/A</v>
          </cell>
          <cell r="G13">
            <v>63.901000000000003</v>
          </cell>
          <cell r="H13">
            <v>164.41200000000001</v>
          </cell>
          <cell r="I13">
            <v>1884.3009999999999</v>
          </cell>
          <cell r="J13">
            <v>2460</v>
          </cell>
          <cell r="K13">
            <v>2840.0830000000001</v>
          </cell>
          <cell r="L13">
            <v>2840.0830000000001</v>
          </cell>
          <cell r="M13">
            <v>3484</v>
          </cell>
          <cell r="N13">
            <v>3711</v>
          </cell>
          <cell r="R13" t="str">
            <v>#N/A N/A</v>
          </cell>
          <cell r="S13" t="str">
            <v>#N/A N/A</v>
          </cell>
          <cell r="T13">
            <v>1.3109999999999999</v>
          </cell>
          <cell r="U13">
            <v>13.891</v>
          </cell>
          <cell r="V13">
            <v>722.36900000000003</v>
          </cell>
          <cell r="W13">
            <v>987.4</v>
          </cell>
          <cell r="X13">
            <v>1084.636</v>
          </cell>
          <cell r="Y13">
            <v>1188</v>
          </cell>
          <cell r="Z13">
            <v>1383</v>
          </cell>
          <cell r="AA13">
            <v>1484</v>
          </cell>
          <cell r="AB13" t="e">
            <v>#VALUE!</v>
          </cell>
          <cell r="AF13">
            <v>6065596.502460001</v>
          </cell>
          <cell r="AG13">
            <v>0</v>
          </cell>
          <cell r="AH13">
            <v>0</v>
          </cell>
        </row>
        <row r="14">
          <cell r="D14">
            <v>162.28617135990481</v>
          </cell>
          <cell r="E14">
            <v>170.08244879909776</v>
          </cell>
          <cell r="F14">
            <v>186.99698885274773</v>
          </cell>
          <cell r="G14">
            <v>228.85201444854872</v>
          </cell>
          <cell r="H14">
            <v>267.86714872359329</v>
          </cell>
          <cell r="I14">
            <v>309.8903840359863</v>
          </cell>
          <cell r="J14">
            <v>334.41200000000003</v>
          </cell>
          <cell r="K14">
            <v>383.60599999999999</v>
          </cell>
          <cell r="L14">
            <v>383.60599999999999</v>
          </cell>
          <cell r="M14">
            <v>559.14599999999996</v>
          </cell>
          <cell r="N14">
            <v>624.55799999999999</v>
          </cell>
          <cell r="R14">
            <v>29.610900864533182</v>
          </cell>
          <cell r="S14">
            <v>41.164861619069249</v>
          </cell>
          <cell r="T14">
            <v>50.387071112575867</v>
          </cell>
          <cell r="U14">
            <v>44.154391920268566</v>
          </cell>
          <cell r="V14">
            <v>50.810673865580831</v>
          </cell>
          <cell r="W14">
            <v>46.506</v>
          </cell>
          <cell r="X14">
            <v>62.456000000000003</v>
          </cell>
          <cell r="Y14">
            <v>77.42</v>
          </cell>
          <cell r="Z14">
            <v>111.56</v>
          </cell>
          <cell r="AA14">
            <v>130.37800000000001</v>
          </cell>
          <cell r="AB14">
            <v>0.14245936656825076</v>
          </cell>
          <cell r="AF14">
            <v>397018.32837</v>
          </cell>
          <cell r="AG14" t="str">
            <v>#N/A N/A</v>
          </cell>
          <cell r="AH14" t="e">
            <v>#VALUE!</v>
          </cell>
        </row>
        <row r="15">
          <cell r="D15">
            <v>261.0880384881321</v>
          </cell>
          <cell r="E15">
            <v>375.7651779728115</v>
          </cell>
          <cell r="F15">
            <v>518.7585912216972</v>
          </cell>
          <cell r="G15">
            <v>1319.0511204533695</v>
          </cell>
          <cell r="H15">
            <v>1856.7172882308623</v>
          </cell>
          <cell r="I15">
            <v>2450.3012978888014</v>
          </cell>
          <cell r="J15">
            <v>1805.7850000000001</v>
          </cell>
          <cell r="K15">
            <v>1527.2629999999999</v>
          </cell>
          <cell r="L15">
            <v>1527.2629999999999</v>
          </cell>
          <cell r="M15">
            <v>1605.9780000000001</v>
          </cell>
          <cell r="N15">
            <v>1145.309</v>
          </cell>
          <cell r="R15">
            <v>172.78725854657284</v>
          </cell>
          <cell r="S15">
            <v>245.66976447831081</v>
          </cell>
          <cell r="T15">
            <v>680.62279578641642</v>
          </cell>
          <cell r="U15">
            <v>805.55632765129133</v>
          </cell>
          <cell r="V15">
            <v>1002.5483635215039</v>
          </cell>
          <cell r="W15">
            <v>590.03200000000004</v>
          </cell>
          <cell r="X15">
            <v>433.28800000000001</v>
          </cell>
          <cell r="Y15">
            <v>400.97800000000001</v>
          </cell>
          <cell r="Z15">
            <v>388.28100000000001</v>
          </cell>
          <cell r="AA15" t="str">
            <v>#N/A N/A</v>
          </cell>
          <cell r="AB15">
            <v>0.67055738942251386</v>
          </cell>
          <cell r="AF15">
            <v>200275723.824</v>
          </cell>
          <cell r="AG15">
            <v>1309</v>
          </cell>
          <cell r="AH15">
            <v>9.341944319700932E-3</v>
          </cell>
        </row>
        <row r="16">
          <cell r="D16" t="str">
            <v>#N/A Invalid Security</v>
          </cell>
          <cell r="E16" t="str">
            <v>#N/A Invalid Security</v>
          </cell>
          <cell r="F16" t="str">
            <v>#N/A Invalid Security</v>
          </cell>
          <cell r="G16" t="str">
            <v>#N/A Invalid Security</v>
          </cell>
          <cell r="H16" t="str">
            <v>#N/A Invalid Security</v>
          </cell>
          <cell r="I16" t="str">
            <v>#N/A Invalid Security</v>
          </cell>
          <cell r="J16" t="str">
            <v>#N/A Invalid Security</v>
          </cell>
          <cell r="K16" t="str">
            <v>#N/A Invalid Security</v>
          </cell>
          <cell r="L16" t="str">
            <v>#N/A Invalid Security</v>
          </cell>
          <cell r="M16" t="str">
            <v>#N/A Invalid Security</v>
          </cell>
          <cell r="N16" t="str">
            <v>#N/A Invalid Security</v>
          </cell>
          <cell r="R16" t="str">
            <v>#N/A Invalid Security</v>
          </cell>
          <cell r="S16" t="str">
            <v>#N/A Invalid Security</v>
          </cell>
          <cell r="T16" t="str">
            <v>#N/A Invalid Security</v>
          </cell>
          <cell r="U16" t="str">
            <v>#N/A Invalid Security</v>
          </cell>
          <cell r="V16" t="str">
            <v>#N/A Invalid Security</v>
          </cell>
          <cell r="W16" t="str">
            <v>#N/A Invalid Security</v>
          </cell>
          <cell r="X16" t="str">
            <v>#N/A Invalid Security</v>
          </cell>
          <cell r="Y16" t="str">
            <v>#N/A Invalid Security</v>
          </cell>
          <cell r="Z16" t="str">
            <v>#N/A Invalid Security</v>
          </cell>
          <cell r="AA16" t="str">
            <v>#N/A Invalid Security</v>
          </cell>
          <cell r="AB16" t="e">
            <v>#VALUE!</v>
          </cell>
          <cell r="AF16" t="e">
            <v>#VALUE!</v>
          </cell>
          <cell r="AG16" t="str">
            <v>#N/A Invalid Security</v>
          </cell>
          <cell r="AH16" t="e">
            <v>#VALUE!</v>
          </cell>
        </row>
        <row r="17">
          <cell r="D17" t="str">
            <v>#N/A Invalid Security</v>
          </cell>
          <cell r="E17" t="str">
            <v>#N/A Invalid Security</v>
          </cell>
          <cell r="F17" t="str">
            <v>#N/A Invalid Security</v>
          </cell>
          <cell r="G17" t="str">
            <v>#N/A Invalid Security</v>
          </cell>
          <cell r="H17" t="str">
            <v>#N/A Invalid Security</v>
          </cell>
          <cell r="I17" t="str">
            <v>#N/A Invalid Security</v>
          </cell>
          <cell r="J17" t="str">
            <v>#N/A Invalid Security</v>
          </cell>
          <cell r="K17" t="str">
            <v>#N/A Invalid Security</v>
          </cell>
          <cell r="L17" t="str">
            <v>#N/A Invalid Security</v>
          </cell>
          <cell r="M17" t="str">
            <v>#N/A Invalid Security</v>
          </cell>
          <cell r="N17" t="str">
            <v>#N/A Invalid Security</v>
          </cell>
          <cell r="R17" t="str">
            <v>#N/A Invalid Security</v>
          </cell>
          <cell r="S17" t="str">
            <v>#N/A Invalid Security</v>
          </cell>
          <cell r="T17" t="str">
            <v>#N/A Invalid Security</v>
          </cell>
          <cell r="U17" t="str">
            <v>#N/A Invalid Security</v>
          </cell>
          <cell r="V17" t="str">
            <v>#N/A Invalid Security</v>
          </cell>
          <cell r="W17" t="str">
            <v>#N/A Invalid Security</v>
          </cell>
          <cell r="X17" t="str">
            <v>#N/A Invalid Security</v>
          </cell>
          <cell r="Y17" t="str">
            <v>#N/A Invalid Security</v>
          </cell>
          <cell r="Z17" t="str">
            <v>#N/A Invalid Security</v>
          </cell>
          <cell r="AA17" t="str">
            <v>#N/A Invalid Security</v>
          </cell>
          <cell r="AB17" t="e">
            <v>#VALUE!</v>
          </cell>
          <cell r="AF17" t="e">
            <v>#VALUE!</v>
          </cell>
          <cell r="AG17" t="str">
            <v>#N/A Invalid Security</v>
          </cell>
          <cell r="AH17" t="e">
            <v>#VALUE!</v>
          </cell>
        </row>
        <row r="19">
          <cell r="D19">
            <v>1029.8403723984302</v>
          </cell>
          <cell r="E19">
            <v>1820.9365860580831</v>
          </cell>
          <cell r="F19">
            <v>2902.9718645357884</v>
          </cell>
          <cell r="G19">
            <v>4409.6938286090162</v>
          </cell>
          <cell r="H19">
            <v>6956.6486040022592</v>
          </cell>
          <cell r="I19">
            <v>9830.7988923554713</v>
          </cell>
          <cell r="J19">
            <v>12811.264999999999</v>
          </cell>
          <cell r="K19">
            <v>15692.869000000001</v>
          </cell>
          <cell r="L19">
            <v>15692.869000000001</v>
          </cell>
          <cell r="M19">
            <v>24358.607</v>
          </cell>
          <cell r="N19" t="str">
            <v>#N/A N/A</v>
          </cell>
          <cell r="R19">
            <v>939.08387653132615</v>
          </cell>
          <cell r="S19">
            <v>1534.1378260211868</v>
          </cell>
          <cell r="T19">
            <v>2066.9559695612302</v>
          </cell>
          <cell r="U19">
            <v>2784.5208256883543</v>
          </cell>
          <cell r="V19">
            <v>3396.5437012306138</v>
          </cell>
          <cell r="W19">
            <v>5211.25</v>
          </cell>
          <cell r="X19">
            <v>6626.7390000000005</v>
          </cell>
          <cell r="Y19">
            <v>8319.4249999999993</v>
          </cell>
          <cell r="Z19">
            <v>11043.844999999999</v>
          </cell>
          <cell r="AA19" t="str">
            <v>#N/A N/A</v>
          </cell>
          <cell r="AB19">
            <v>0.43664245195411877</v>
          </cell>
          <cell r="AF19">
            <v>1209679018.1815999</v>
          </cell>
          <cell r="AG19">
            <v>9035</v>
          </cell>
          <cell r="AH19">
            <v>9.7168096666598938E-3</v>
          </cell>
        </row>
        <row r="20">
          <cell r="D20">
            <v>390.14096545729814</v>
          </cell>
          <cell r="E20">
            <v>551.85489043903453</v>
          </cell>
          <cell r="F20">
            <v>797.14999601689271</v>
          </cell>
          <cell r="G20">
            <v>1100.5529686013285</v>
          </cell>
          <cell r="H20">
            <v>1358.8370913569654</v>
          </cell>
          <cell r="I20">
            <v>1594.0594824729067</v>
          </cell>
          <cell r="J20">
            <v>1609.6100000000001</v>
          </cell>
          <cell r="K20">
            <v>1700.848</v>
          </cell>
          <cell r="L20">
            <v>1700.848</v>
          </cell>
          <cell r="M20" t="str">
            <v>#N/A N/A</v>
          </cell>
          <cell r="N20" t="str">
            <v>#N/A N/A</v>
          </cell>
          <cell r="R20">
            <v>295.29565571541917</v>
          </cell>
          <cell r="S20">
            <v>445.15471324266315</v>
          </cell>
          <cell r="T20">
            <v>598.98380097457846</v>
          </cell>
          <cell r="U20">
            <v>718.72582290071807</v>
          </cell>
          <cell r="V20">
            <v>664.56943017438039</v>
          </cell>
          <cell r="W20">
            <v>660.44600000000003</v>
          </cell>
          <cell r="X20">
            <v>691.76400000000001</v>
          </cell>
          <cell r="Y20">
            <v>722.553</v>
          </cell>
          <cell r="Z20" t="str">
            <v>#N/A N/A</v>
          </cell>
          <cell r="AA20" t="str">
            <v>#N/A N/A</v>
          </cell>
          <cell r="AB20">
            <v>0.34514384982297752</v>
          </cell>
          <cell r="AF20">
            <v>428416724.59999996</v>
          </cell>
          <cell r="AG20">
            <v>42137</v>
          </cell>
          <cell r="AH20">
            <v>0.12919209579253976</v>
          </cell>
        </row>
        <row r="21">
          <cell r="D21" t="str">
            <v>#N/A Invalid Security</v>
          </cell>
          <cell r="E21" t="str">
            <v>#N/A Invalid Security</v>
          </cell>
          <cell r="F21" t="str">
            <v>#N/A Invalid Security</v>
          </cell>
          <cell r="G21" t="str">
            <v>#N/A Invalid Security</v>
          </cell>
          <cell r="H21" t="str">
            <v>#N/A Invalid Security</v>
          </cell>
          <cell r="I21" t="str">
            <v>#N/A Invalid Security</v>
          </cell>
          <cell r="J21" t="str">
            <v>#N/A Invalid Security</v>
          </cell>
          <cell r="K21" t="str">
            <v>#N/A Invalid Security</v>
          </cell>
          <cell r="L21" t="str">
            <v>#N/A Invalid Security</v>
          </cell>
          <cell r="M21" t="str">
            <v>#N/A Invalid Security</v>
          </cell>
          <cell r="N21" t="str">
            <v>#N/A Invalid Security</v>
          </cell>
          <cell r="R21" t="str">
            <v>#N/A Invalid Security</v>
          </cell>
          <cell r="S21" t="str">
            <v>#N/A Invalid Security</v>
          </cell>
          <cell r="T21" t="str">
            <v>#N/A Invalid Security</v>
          </cell>
          <cell r="U21" t="str">
            <v>#N/A Invalid Security</v>
          </cell>
          <cell r="V21" t="str">
            <v>#N/A Invalid Security</v>
          </cell>
          <cell r="W21" t="str">
            <v>#N/A Invalid Security</v>
          </cell>
          <cell r="X21" t="str">
            <v>#N/A Invalid Security</v>
          </cell>
          <cell r="Y21" t="str">
            <v>#N/A Invalid Security</v>
          </cell>
          <cell r="Z21" t="str">
            <v>#N/A Invalid Security</v>
          </cell>
          <cell r="AA21" t="str">
            <v>#N/A Invalid Security</v>
          </cell>
          <cell r="AB21" t="e">
            <v>#VALUE!</v>
          </cell>
          <cell r="AF21" t="e">
            <v>#VALUE!</v>
          </cell>
          <cell r="AG21" t="str">
            <v>#N/A Invalid Security</v>
          </cell>
          <cell r="AH21" t="e">
            <v>#VALUE!</v>
          </cell>
        </row>
        <row r="22">
          <cell r="D22" t="str">
            <v>#N/A Invalid Security</v>
          </cell>
          <cell r="E22" t="str">
            <v>#N/A Invalid Security</v>
          </cell>
          <cell r="F22" t="str">
            <v>#N/A Invalid Security</v>
          </cell>
          <cell r="G22" t="str">
            <v>#N/A Invalid Security</v>
          </cell>
          <cell r="H22" t="str">
            <v>#N/A Invalid Security</v>
          </cell>
          <cell r="I22" t="str">
            <v>#N/A Invalid Security</v>
          </cell>
          <cell r="J22" t="str">
            <v>#N/A Invalid Security</v>
          </cell>
          <cell r="K22" t="str">
            <v>#N/A Invalid Security</v>
          </cell>
          <cell r="L22" t="str">
            <v>#N/A Invalid Security</v>
          </cell>
          <cell r="M22" t="str">
            <v>#N/A Invalid Security</v>
          </cell>
          <cell r="N22" t="str">
            <v>#N/A Invalid Security</v>
          </cell>
          <cell r="R22" t="str">
            <v>#N/A Invalid Security</v>
          </cell>
          <cell r="S22" t="str">
            <v>#N/A Invalid Security</v>
          </cell>
          <cell r="T22" t="str">
            <v>#N/A Invalid Security</v>
          </cell>
          <cell r="U22" t="str">
            <v>#N/A Invalid Security</v>
          </cell>
          <cell r="V22" t="str">
            <v>#N/A Invalid Security</v>
          </cell>
          <cell r="W22" t="str">
            <v>#N/A Invalid Security</v>
          </cell>
          <cell r="X22" t="str">
            <v>#N/A Invalid Security</v>
          </cell>
          <cell r="Y22" t="str">
            <v>#N/A Invalid Security</v>
          </cell>
          <cell r="Z22" t="str">
            <v>#N/A Invalid Security</v>
          </cell>
          <cell r="AA22" t="str">
            <v>#N/A Invalid Security</v>
          </cell>
          <cell r="AB22" t="e">
            <v>#VALUE!</v>
          </cell>
          <cell r="AF22" t="e">
            <v>#VALUE!</v>
          </cell>
          <cell r="AG22" t="str">
            <v>#N/A Invalid Security</v>
          </cell>
          <cell r="AH22" t="e">
            <v>#VALUE!</v>
          </cell>
        </row>
        <row r="24">
          <cell r="D24">
            <v>14684.034249539716</v>
          </cell>
          <cell r="E24">
            <v>18371.153963073441</v>
          </cell>
          <cell r="F24">
            <v>15467.813947774936</v>
          </cell>
          <cell r="G24">
            <v>11869.037938899592</v>
          </cell>
          <cell r="H24">
            <v>8208.1805936976161</v>
          </cell>
          <cell r="I24">
            <v>7690.0203554510026</v>
          </cell>
          <cell r="J24">
            <v>5755.9059999999999</v>
          </cell>
          <cell r="K24">
            <v>5362.28</v>
          </cell>
          <cell r="L24">
            <v>5362.28</v>
          </cell>
          <cell r="M24">
            <v>5032.241</v>
          </cell>
          <cell r="N24">
            <v>4862.9650000000001</v>
          </cell>
          <cell r="R24">
            <v>5629.0336743533308</v>
          </cell>
          <cell r="S24">
            <v>3921.66746910136</v>
          </cell>
          <cell r="T24">
            <v>2081.2896777645383</v>
          </cell>
          <cell r="U24">
            <v>-314.27101928492425</v>
          </cell>
          <cell r="V24">
            <v>-287.70620770155375</v>
          </cell>
          <cell r="W24">
            <v>-217.405</v>
          </cell>
          <cell r="X24">
            <v>321.85399999999998</v>
          </cell>
          <cell r="Y24">
            <v>350.03100000000001</v>
          </cell>
          <cell r="Z24">
            <v>484.387</v>
          </cell>
          <cell r="AA24">
            <v>91.701000000000008</v>
          </cell>
          <cell r="AB24">
            <v>-1.3821995421452367</v>
          </cell>
          <cell r="AF24">
            <v>1590234525.0000002</v>
          </cell>
          <cell r="AG24">
            <v>0</v>
          </cell>
          <cell r="AH24">
            <v>0</v>
          </cell>
        </row>
        <row r="25">
          <cell r="D25">
            <v>60420</v>
          </cell>
          <cell r="E25">
            <v>58437</v>
          </cell>
          <cell r="F25">
            <v>62484</v>
          </cell>
          <cell r="G25">
            <v>69943</v>
          </cell>
          <cell r="H25">
            <v>73723</v>
          </cell>
          <cell r="I25">
            <v>77849</v>
          </cell>
          <cell r="J25">
            <v>86458.87</v>
          </cell>
          <cell r="K25">
            <v>99618.69</v>
          </cell>
          <cell r="L25">
            <v>99618.69</v>
          </cell>
          <cell r="M25">
            <v>109875</v>
          </cell>
          <cell r="N25">
            <v>104446</v>
          </cell>
          <cell r="R25">
            <v>23255</v>
          </cell>
          <cell r="S25">
            <v>26830</v>
          </cell>
          <cell r="T25">
            <v>29927</v>
          </cell>
          <cell r="U25">
            <v>30923</v>
          </cell>
          <cell r="V25">
            <v>30519</v>
          </cell>
          <cell r="W25">
            <v>31935.125</v>
          </cell>
          <cell r="X25">
            <v>34080.556000000004</v>
          </cell>
          <cell r="Y25">
            <v>37820.444000000003</v>
          </cell>
          <cell r="Z25">
            <v>39029.25</v>
          </cell>
          <cell r="AA25">
            <v>36460</v>
          </cell>
          <cell r="AB25">
            <v>9.9651553751358479E-2</v>
          </cell>
          <cell r="AF25">
            <v>357402617.2379961</v>
          </cell>
          <cell r="AG25">
            <v>22645</v>
          </cell>
          <cell r="AH25">
            <v>7.7161793418499061E-2</v>
          </cell>
        </row>
        <row r="26">
          <cell r="D26">
            <v>77891.865286381581</v>
          </cell>
          <cell r="E26">
            <v>77236.588889113671</v>
          </cell>
          <cell r="F26">
            <v>77793.852250731507</v>
          </cell>
          <cell r="G26">
            <v>84029.399944392964</v>
          </cell>
          <cell r="H26">
            <v>82293.356199262082</v>
          </cell>
          <cell r="I26">
            <v>82305.432648522255</v>
          </cell>
          <cell r="J26">
            <v>75422.213000000003</v>
          </cell>
          <cell r="K26">
            <v>75257.81</v>
          </cell>
          <cell r="L26">
            <v>75257.81</v>
          </cell>
          <cell r="M26">
            <v>77596.312999999995</v>
          </cell>
          <cell r="N26">
            <v>83665.286999999997</v>
          </cell>
          <cell r="R26">
            <v>1775.1442183763859</v>
          </cell>
          <cell r="S26">
            <v>4343.4301803439139</v>
          </cell>
          <cell r="T26">
            <v>6145.3099566881683</v>
          </cell>
          <cell r="U26">
            <v>3197.8283387084248</v>
          </cell>
          <cell r="V26">
            <v>6785.1611564677114</v>
          </cell>
          <cell r="W26">
            <v>3921.2820000000002</v>
          </cell>
          <cell r="X26">
            <v>4879.0330000000004</v>
          </cell>
          <cell r="Y26">
            <v>6581.5730000000003</v>
          </cell>
          <cell r="Z26">
            <v>6897.95</v>
          </cell>
          <cell r="AA26">
            <v>7538.2570000000005</v>
          </cell>
          <cell r="AB26">
            <v>0.21676628698033173</v>
          </cell>
          <cell r="AF26">
            <v>1949444099.622</v>
          </cell>
          <cell r="AG26">
            <v>1063145</v>
          </cell>
          <cell r="AH26">
            <v>0.53122266341540891</v>
          </cell>
        </row>
        <row r="27">
          <cell r="D27" t="str">
            <v>#N/A Invalid Security</v>
          </cell>
          <cell r="E27" t="str">
            <v>#N/A Invalid Security</v>
          </cell>
          <cell r="F27" t="str">
            <v>#N/A Invalid Security</v>
          </cell>
          <cell r="G27" t="str">
            <v>#N/A Invalid Security</v>
          </cell>
          <cell r="H27" t="str">
            <v>#N/A Invalid Security</v>
          </cell>
          <cell r="I27" t="str">
            <v>#N/A Invalid Security</v>
          </cell>
          <cell r="J27" t="str">
            <v>#N/A Invalid Security</v>
          </cell>
          <cell r="K27" t="str">
            <v>#N/A Invalid Security</v>
          </cell>
          <cell r="L27" t="str">
            <v>#N/A Invalid Security</v>
          </cell>
          <cell r="M27" t="str">
            <v>#N/A Invalid Security</v>
          </cell>
          <cell r="N27" t="str">
            <v>#N/A Invalid Security</v>
          </cell>
          <cell r="R27" t="str">
            <v>#N/A Invalid Security</v>
          </cell>
          <cell r="S27" t="str">
            <v>#N/A Invalid Security</v>
          </cell>
          <cell r="T27" t="str">
            <v>#N/A Invalid Security</v>
          </cell>
          <cell r="U27" t="str">
            <v>#N/A Invalid Security</v>
          </cell>
          <cell r="V27" t="str">
            <v>#N/A Invalid Security</v>
          </cell>
          <cell r="W27" t="str">
            <v>#N/A Invalid Security</v>
          </cell>
          <cell r="X27" t="str">
            <v>#N/A Invalid Security</v>
          </cell>
          <cell r="Y27" t="str">
            <v>#N/A Invalid Security</v>
          </cell>
          <cell r="Z27" t="str">
            <v>#N/A Invalid Security</v>
          </cell>
          <cell r="AA27" t="str">
            <v>#N/A Invalid Security</v>
          </cell>
          <cell r="AB27" t="e">
            <v>#VALUE!</v>
          </cell>
          <cell r="AF27" t="e">
            <v>#VALUE!</v>
          </cell>
          <cell r="AG27" t="str">
            <v>#N/A Invalid Security</v>
          </cell>
          <cell r="AH27" t="e">
            <v>#VALUE!</v>
          </cell>
        </row>
        <row r="29">
          <cell r="D29">
            <v>21795.55</v>
          </cell>
          <cell r="E29">
            <v>23650.562999999998</v>
          </cell>
          <cell r="F29">
            <v>29321</v>
          </cell>
          <cell r="G29">
            <v>37905</v>
          </cell>
          <cell r="H29">
            <v>50175</v>
          </cell>
          <cell r="I29">
            <v>59825</v>
          </cell>
          <cell r="J29">
            <v>53014.675999999999</v>
          </cell>
          <cell r="K29">
            <v>63426.059000000001</v>
          </cell>
          <cell r="L29">
            <v>63426.059000000001</v>
          </cell>
          <cell r="M29">
            <v>83775.199999999997</v>
          </cell>
          <cell r="N29">
            <v>94915.125</v>
          </cell>
          <cell r="R29">
            <v>9836.4939999999988</v>
          </cell>
          <cell r="S29">
            <v>11777</v>
          </cell>
          <cell r="T29">
            <v>13593</v>
          </cell>
          <cell r="U29">
            <v>15722</v>
          </cell>
          <cell r="V29">
            <v>17905</v>
          </cell>
          <cell r="W29">
            <v>26154.543000000001</v>
          </cell>
          <cell r="X29">
            <v>31406.085999999999</v>
          </cell>
          <cell r="Y29">
            <v>37031.582999999999</v>
          </cell>
          <cell r="Z29">
            <v>42778.444000000003</v>
          </cell>
          <cell r="AA29">
            <v>48927</v>
          </cell>
          <cell r="AB29">
            <v>0.16920093374132916</v>
          </cell>
          <cell r="AF29">
            <v>391056711.45661998</v>
          </cell>
          <cell r="AG29">
            <v>5241</v>
          </cell>
          <cell r="AH29">
            <v>1.5811342806920588E-2</v>
          </cell>
        </row>
        <row r="30">
          <cell r="D30">
            <v>37491</v>
          </cell>
          <cell r="E30">
            <v>42905</v>
          </cell>
          <cell r="F30">
            <v>65225</v>
          </cell>
          <cell r="G30">
            <v>108249</v>
          </cell>
          <cell r="H30">
            <v>156508</v>
          </cell>
          <cell r="I30">
            <v>170910</v>
          </cell>
          <cell r="J30">
            <v>180253.06299999999</v>
          </cell>
          <cell r="K30">
            <v>196756.68799999999</v>
          </cell>
          <cell r="L30">
            <v>196756.68799999999</v>
          </cell>
          <cell r="M30">
            <v>205691.5</v>
          </cell>
          <cell r="N30">
            <v>204468</v>
          </cell>
          <cell r="R30">
            <v>12474</v>
          </cell>
          <cell r="S30">
            <v>19412</v>
          </cell>
          <cell r="T30">
            <v>35604</v>
          </cell>
          <cell r="U30">
            <v>58518</v>
          </cell>
          <cell r="V30">
            <v>55756</v>
          </cell>
          <cell r="W30">
            <v>59728.529000000002</v>
          </cell>
          <cell r="X30">
            <v>64805.940999999999</v>
          </cell>
          <cell r="Y30">
            <v>70473.5</v>
          </cell>
          <cell r="Z30" t="str">
            <v>#N/A N/A</v>
          </cell>
          <cell r="AA30" t="str">
            <v>#N/A N/A</v>
          </cell>
          <cell r="AB30">
            <v>0.67402232288981745</v>
          </cell>
          <cell r="AF30">
            <v>575074746.68000007</v>
          </cell>
          <cell r="AG30">
            <v>31040</v>
          </cell>
          <cell r="AH30">
            <v>7.0765662300295754E-2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FI Company Debt with Ownership"/>
      <sheetName val="Sheet1 (2)"/>
      <sheetName val="__FDSCACHE__"/>
      <sheetName val="Company at a Glance"/>
    </sheetNames>
    <sheetDataSet>
      <sheetData sheetId="0">
        <row r="9">
          <cell r="O9">
            <v>0.97428300000000001</v>
          </cell>
          <cell r="P9">
            <v>0.97428300000000001</v>
          </cell>
        </row>
        <row r="10">
          <cell r="O10">
            <v>0.97278200000000004</v>
          </cell>
          <cell r="P10">
            <v>0.98094700000000001</v>
          </cell>
        </row>
        <row r="19">
          <cell r="O19">
            <v>0.96987800000000002</v>
          </cell>
          <cell r="P19">
            <v>0.98662499999999997</v>
          </cell>
        </row>
        <row r="20">
          <cell r="O20">
            <v>0.94798300000000002</v>
          </cell>
          <cell r="P20">
            <v>0.96640599999999999</v>
          </cell>
        </row>
        <row r="21">
          <cell r="O21">
            <v>0.96928599999999998</v>
          </cell>
          <cell r="P21">
            <v>0.997587</v>
          </cell>
        </row>
        <row r="22">
          <cell r="O22">
            <v>0.98566699999999996</v>
          </cell>
          <cell r="P22">
            <v>0.94277500000000003</v>
          </cell>
        </row>
        <row r="23">
          <cell r="O23">
            <v>0.97726400000000002</v>
          </cell>
          <cell r="P23">
            <v>0.96614</v>
          </cell>
        </row>
        <row r="24">
          <cell r="O24">
            <v>0.95484400000000003</v>
          </cell>
          <cell r="P24">
            <v>0.9647</v>
          </cell>
        </row>
        <row r="25">
          <cell r="O25">
            <v>0.98739500000000002</v>
          </cell>
          <cell r="P25">
            <v>1.0147139999999999</v>
          </cell>
        </row>
        <row r="26">
          <cell r="O26" t="str">
            <v xml:space="preserve"> </v>
          </cell>
          <cell r="P26" t="str">
            <v xml:space="preserve"> </v>
          </cell>
        </row>
        <row r="27">
          <cell r="O27">
            <v>1.0195099999999999</v>
          </cell>
          <cell r="P27">
            <v>1.0306599999999999</v>
          </cell>
        </row>
        <row r="28">
          <cell r="O28">
            <v>0.97566200000000003</v>
          </cell>
          <cell r="P28">
            <v>0.97566200000000003</v>
          </cell>
        </row>
        <row r="29">
          <cell r="O29">
            <v>0.97290299999999996</v>
          </cell>
          <cell r="P29">
            <v>0.97290299999999996</v>
          </cell>
        </row>
        <row r="30">
          <cell r="O30">
            <v>0.969611</v>
          </cell>
          <cell r="P30">
            <v>0.96557999999999999</v>
          </cell>
        </row>
        <row r="31">
          <cell r="O31">
            <v>0.98050499999999996</v>
          </cell>
          <cell r="P31">
            <v>1.00732</v>
          </cell>
        </row>
        <row r="32">
          <cell r="O32" t="str">
            <v xml:space="preserve"> </v>
          </cell>
          <cell r="P32" t="str">
            <v xml:space="preserve"> </v>
          </cell>
        </row>
        <row r="33">
          <cell r="O33">
            <v>0.98662499999999997</v>
          </cell>
          <cell r="P33">
            <v>0.98662499999999997</v>
          </cell>
        </row>
        <row r="34">
          <cell r="O34">
            <v>0.98662499999999997</v>
          </cell>
          <cell r="P34">
            <v>0.99715500000000001</v>
          </cell>
        </row>
      </sheetData>
      <sheetData sheetId="1"/>
      <sheetData sheetId="2"/>
      <sheetData sheetId="3"/>
      <sheetData sheetId="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1 (2)"/>
      <sheetName val="__FDSCACHE__"/>
      <sheetName val="Company at a Glance"/>
      <sheetName val="FI Company Debt with Ownership"/>
    </sheetNames>
    <sheetDataSet>
      <sheetData sheetId="0">
        <row r="9">
          <cell r="O9">
            <v>0.97428300000000001</v>
          </cell>
          <cell r="P9">
            <v>0.97428300000000001</v>
          </cell>
        </row>
        <row r="10">
          <cell r="O10">
            <v>0.97278200000000004</v>
          </cell>
          <cell r="P10">
            <v>0.98094700000000001</v>
          </cell>
        </row>
        <row r="19">
          <cell r="O19">
            <v>0.96987800000000002</v>
          </cell>
          <cell r="P19">
            <v>0.98662499999999997</v>
          </cell>
        </row>
        <row r="20">
          <cell r="O20">
            <v>0.94798300000000002</v>
          </cell>
          <cell r="P20">
            <v>0.96640599999999999</v>
          </cell>
        </row>
        <row r="21">
          <cell r="O21">
            <v>0.96928599999999998</v>
          </cell>
          <cell r="P21">
            <v>0.997587</v>
          </cell>
        </row>
        <row r="22">
          <cell r="O22">
            <v>0.98566699999999996</v>
          </cell>
          <cell r="P22">
            <v>0.94277500000000003</v>
          </cell>
        </row>
        <row r="23">
          <cell r="O23">
            <v>0.97726400000000002</v>
          </cell>
          <cell r="P23">
            <v>0.96614</v>
          </cell>
        </row>
        <row r="24">
          <cell r="O24">
            <v>0.95484400000000003</v>
          </cell>
          <cell r="P24">
            <v>0.9647</v>
          </cell>
        </row>
        <row r="25">
          <cell r="O25">
            <v>0.98739500000000002</v>
          </cell>
          <cell r="P25">
            <v>1.0147139999999999</v>
          </cell>
        </row>
        <row r="26">
          <cell r="O26" t="str">
            <v xml:space="preserve"> </v>
          </cell>
          <cell r="P26" t="str">
            <v xml:space="preserve"> </v>
          </cell>
        </row>
        <row r="27">
          <cell r="O27">
            <v>1.0195099999999999</v>
          </cell>
          <cell r="P27">
            <v>1.0306599999999999</v>
          </cell>
        </row>
        <row r="28">
          <cell r="O28">
            <v>0.97566200000000003</v>
          </cell>
          <cell r="P28">
            <v>0.97566200000000003</v>
          </cell>
        </row>
        <row r="29">
          <cell r="O29">
            <v>0.97290299999999996</v>
          </cell>
          <cell r="P29">
            <v>0.97290299999999996</v>
          </cell>
        </row>
        <row r="30">
          <cell r="O30">
            <v>0.969611</v>
          </cell>
          <cell r="P30">
            <v>0.96557999999999999</v>
          </cell>
        </row>
        <row r="31">
          <cell r="O31">
            <v>0.98050499999999996</v>
          </cell>
          <cell r="P31">
            <v>1.00732</v>
          </cell>
        </row>
        <row r="32">
          <cell r="O32" t="str">
            <v xml:space="preserve"> </v>
          </cell>
          <cell r="P32" t="str">
            <v xml:space="preserve"> </v>
          </cell>
        </row>
        <row r="33">
          <cell r="O33">
            <v>0.98662499999999997</v>
          </cell>
          <cell r="P33">
            <v>0.98662499999999997</v>
          </cell>
        </row>
        <row r="34">
          <cell r="O34">
            <v>0.98662499999999997</v>
          </cell>
          <cell r="P34">
            <v>0.99715500000000001</v>
          </cell>
        </row>
      </sheetData>
      <sheetData sheetId="1"/>
      <sheetData sheetId="2"/>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 Company Debt with Ownership"/>
      <sheetName val="Sheet1"/>
      <sheetName val="Sheet1 (2)"/>
      <sheetName val="__FDSCACHE__"/>
      <sheetName val="Company at a Glance"/>
    </sheetNames>
    <sheetDataSet>
      <sheetData sheetId="0" refreshError="1"/>
      <sheetData sheetId="1"/>
      <sheetData sheetId="2"/>
      <sheetData sheetId="3"/>
      <sheetData sheetId="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ynn DCF Assumptions (LBO)"/>
      <sheetName val="Wynn Financials (LBO)"/>
      <sheetName val="Wynn LBO Assumptions"/>
      <sheetName val="LBO_Summary"/>
      <sheetName val="Wynn LBO Calcs"/>
      <sheetName val="Unused Sheets ---&gt;"/>
      <sheetName val="LBO Analysis - MBA Only"/>
      <sheetName val="LBO_Summary (2)"/>
      <sheetName val="LBO_Summary (prelim)"/>
      <sheetName val="DCF Solution"/>
      <sheetName val="&gt;&gt;&gt; Original Data"/>
      <sheetName val="Cashflow Statement"/>
      <sheetName val="Income Statement"/>
      <sheetName val="Balance Sheet"/>
    </sheetNames>
    <sheetDataSet>
      <sheetData sheetId="0" refreshError="1">
        <row r="71">
          <cell r="O71">
            <v>300000</v>
          </cell>
        </row>
        <row r="90">
          <cell r="B90" t="str">
            <v>Inventory (% of COGS)</v>
          </cell>
          <cell r="C90" t="str">
            <v>[%]</v>
          </cell>
          <cell r="D90" t="str">
            <v>[calc],[input]</v>
          </cell>
          <cell r="F90">
            <v>3.5928475416120487E-2</v>
          </cell>
          <cell r="G90">
            <v>5.0143139957918303E-2</v>
          </cell>
          <cell r="H90">
            <v>4.4583540442673035E-2</v>
          </cell>
          <cell r="I90">
            <v>2.7536488296350411E-2</v>
          </cell>
          <cell r="J90">
            <v>1.865167789004463E-2</v>
          </cell>
          <cell r="K90">
            <v>3.5368664400621377E-2</v>
          </cell>
          <cell r="O90">
            <v>3.5368664400621377E-2</v>
          </cell>
          <cell r="P90">
            <v>3.5368664400621377E-2</v>
          </cell>
          <cell r="Q90">
            <v>3.5368664400621377E-2</v>
          </cell>
          <cell r="R90">
            <v>3.5368664400621377E-2</v>
          </cell>
          <cell r="S90">
            <v>3.5368664400621377E-2</v>
          </cell>
          <cell r="T90">
            <v>3.5368664400621377E-2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ynn DCF Assumptions (LBO)"/>
      <sheetName val="Wynn Financials (LBO)"/>
      <sheetName val="Wynn LBO Assumptions"/>
      <sheetName val="LBO_Summary"/>
      <sheetName val="Wynn LBO Calcs"/>
      <sheetName val="Unused Sheets ---&gt;"/>
      <sheetName val="LBO Analysis - MBA Only"/>
      <sheetName val="LBO_Summary (2)"/>
      <sheetName val="LBO_Summary (prelim)"/>
      <sheetName val="DCF Solution"/>
      <sheetName val="&gt;&gt;&gt; Original Data"/>
      <sheetName val="Cashflow Statement"/>
      <sheetName val="Income Statement"/>
      <sheetName val="Balance Sheet"/>
    </sheetNames>
    <sheetDataSet>
      <sheetData sheetId="0" refreshError="1">
        <row r="71">
          <cell r="O71">
            <v>300000</v>
          </cell>
        </row>
        <row r="90">
          <cell r="B90" t="str">
            <v>Inventory (% of COGS)</v>
          </cell>
          <cell r="C90" t="str">
            <v>[%]</v>
          </cell>
          <cell r="D90" t="str">
            <v>[calc],[input]</v>
          </cell>
          <cell r="F90">
            <v>3.5928475416120487E-2</v>
          </cell>
          <cell r="G90">
            <v>5.0143139957918303E-2</v>
          </cell>
          <cell r="H90">
            <v>4.4583540442673035E-2</v>
          </cell>
          <cell r="I90">
            <v>2.7536488296350411E-2</v>
          </cell>
          <cell r="J90">
            <v>1.865167789004463E-2</v>
          </cell>
          <cell r="K90">
            <v>3.5368664400621377E-2</v>
          </cell>
          <cell r="O90">
            <v>3.5368664400621377E-2</v>
          </cell>
          <cell r="P90">
            <v>3.5368664400621377E-2</v>
          </cell>
          <cell r="Q90">
            <v>3.5368664400621377E-2</v>
          </cell>
          <cell r="R90">
            <v>3.5368664400621377E-2</v>
          </cell>
          <cell r="S90">
            <v>3.5368664400621377E-2</v>
          </cell>
          <cell r="T90">
            <v>3.5368664400621377E-2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ynn Financials (LBO)"/>
      <sheetName val="Wynn DCF Assumptions (LBO)"/>
      <sheetName val="Wynn LBO Assumptions"/>
      <sheetName val="LBO_Summary"/>
      <sheetName val="Wynn LBO Calcs"/>
      <sheetName val="Unused Sheets ---&gt;"/>
      <sheetName val="LBO Analysis - MBA Only"/>
      <sheetName val="LBO_Summary (2)"/>
      <sheetName val="LBO_Summary (prelim)"/>
      <sheetName val="DCF Solution"/>
      <sheetName val="&gt;&gt;&gt; Original Data"/>
      <sheetName val="Cashflow Statement"/>
      <sheetName val="Income Statement"/>
      <sheetName val="Balance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nibclive.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msci.com/documents/10199/178e6643-6ae6-47b9-82be-e1fc565ededb"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5" tint="-0.499984740745262"/>
  </sheetPr>
  <dimension ref="A1:XFC79"/>
  <sheetViews>
    <sheetView showGridLines="0" zoomScale="200" zoomScaleNormal="100" workbookViewId="0">
      <selection sqref="A1:XFD1048576"/>
    </sheetView>
  </sheetViews>
  <sheetFormatPr baseColWidth="10" defaultColWidth="9.5" defaultRowHeight="12.75" customHeight="1" zeroHeight="1"/>
  <cols>
    <col min="1" max="1" width="0.5" style="2" customWidth="1"/>
    <col min="2" max="2" width="1.5" style="1014" customWidth="1"/>
    <col min="3" max="3" width="40.5" style="2" customWidth="1"/>
    <col min="4" max="4" width="24.1640625" style="2" customWidth="1"/>
    <col min="5" max="5" width="4.83203125" style="2" customWidth="1"/>
    <col min="6" max="6" width="8.5" style="2" customWidth="1"/>
    <col min="7" max="7" width="11.5" style="2" customWidth="1"/>
    <col min="8" max="8" width="6.83203125" style="2" customWidth="1"/>
    <col min="9" max="9" width="0.5" style="2" customWidth="1"/>
    <col min="10" max="16383" width="0" style="2" hidden="1" customWidth="1"/>
    <col min="16384" max="16384" width="4.5" style="2" hidden="1" customWidth="1"/>
  </cols>
  <sheetData>
    <row r="1" spans="1:9" ht="8.25" customHeight="1">
      <c r="A1" s="495"/>
      <c r="B1" s="495"/>
      <c r="C1" s="496"/>
      <c r="D1" s="496"/>
      <c r="E1" s="496"/>
      <c r="F1" s="496"/>
      <c r="G1" s="496"/>
      <c r="H1" s="496"/>
      <c r="I1" s="496"/>
    </row>
    <row r="2" spans="1:9" ht="11.25" customHeight="1">
      <c r="A2" s="495"/>
      <c r="B2" s="494"/>
      <c r="C2" s="501" t="s">
        <v>0</v>
      </c>
      <c r="D2" s="497"/>
      <c r="E2" s="496"/>
      <c r="F2" s="496"/>
      <c r="G2" s="496"/>
      <c r="H2" s="496"/>
      <c r="I2" s="496"/>
    </row>
    <row r="3" spans="1:9" ht="11.25" customHeight="1">
      <c r="A3" s="495"/>
      <c r="B3" s="495"/>
      <c r="C3" s="501" t="str">
        <f>'DCF - Assumptions'!F8&amp;" Valuation Model"</f>
        <v>Diageo PLC Valuation Model</v>
      </c>
      <c r="D3" s="496"/>
      <c r="E3" s="496"/>
      <c r="F3" s="496"/>
      <c r="G3" s="496"/>
      <c r="H3" s="496"/>
      <c r="I3" s="496"/>
    </row>
    <row r="4" spans="1:9" ht="7.5" customHeight="1">
      <c r="A4" s="495"/>
      <c r="B4" s="495"/>
      <c r="C4" s="496"/>
      <c r="D4" s="496"/>
      <c r="E4" s="496"/>
      <c r="F4" s="496"/>
      <c r="G4" s="496"/>
      <c r="H4" s="496"/>
      <c r="I4" s="496"/>
    </row>
    <row r="5" spans="1:9" ht="101.25" customHeight="1">
      <c r="B5" s="2"/>
      <c r="C5" s="479"/>
    </row>
    <row r="6" spans="1:9" ht="13">
      <c r="B6" s="2"/>
    </row>
    <row r="7" spans="1:9" ht="15">
      <c r="B7" s="2"/>
      <c r="C7" s="479"/>
    </row>
    <row r="8" spans="1:9" ht="15">
      <c r="B8" s="2"/>
      <c r="C8" s="479"/>
    </row>
    <row r="9" spans="1:9" ht="13">
      <c r="B9" s="2"/>
    </row>
    <row r="10" spans="1:9" ht="15">
      <c r="B10" s="2"/>
      <c r="C10" s="479"/>
    </row>
    <row r="11" spans="1:9" ht="15">
      <c r="B11" s="2"/>
      <c r="C11" s="479"/>
    </row>
    <row r="12" spans="1:9" ht="15">
      <c r="B12" s="2"/>
      <c r="C12" s="479"/>
    </row>
    <row r="13" spans="1:9" ht="15">
      <c r="B13" s="2"/>
      <c r="C13" s="479"/>
    </row>
    <row r="14" spans="1:9" ht="15">
      <c r="B14" s="2"/>
      <c r="C14" s="479"/>
    </row>
    <row r="15" spans="1:9" ht="15">
      <c r="B15" s="2"/>
      <c r="C15" s="479"/>
    </row>
    <row r="16" spans="1:9" ht="15">
      <c r="B16" s="2"/>
      <c r="C16" s="479"/>
    </row>
    <row r="17" spans="1:9" ht="13.5" customHeight="1">
      <c r="B17" s="2"/>
      <c r="C17" s="479"/>
    </row>
    <row r="18" spans="1:9" s="507" customFormat="1" ht="13.5" customHeight="1">
      <c r="A18" s="505"/>
      <c r="B18" s="503"/>
      <c r="C18" s="503" t="s">
        <v>1</v>
      </c>
      <c r="D18" s="503"/>
      <c r="E18" s="503"/>
      <c r="F18" s="503"/>
      <c r="G18" s="506"/>
      <c r="H18" s="503"/>
      <c r="I18" s="503"/>
    </row>
    <row r="19" spans="1:9" s="3" customFormat="1" ht="6" customHeight="1"/>
    <row r="20" spans="1:9" s="3" customFormat="1" ht="12.75" customHeight="1">
      <c r="A20" s="489"/>
      <c r="C20" s="1341" t="s">
        <v>2</v>
      </c>
      <c r="D20" s="1341"/>
      <c r="E20" s="1341"/>
      <c r="F20" s="1341"/>
      <c r="G20" s="1341"/>
      <c r="H20" s="1341"/>
    </row>
    <row r="21" spans="1:9" s="3" customFormat="1" ht="57" customHeight="1">
      <c r="C21" s="1341"/>
      <c r="D21" s="1341"/>
      <c r="E21" s="1341"/>
      <c r="F21" s="1341"/>
      <c r="G21" s="1341"/>
      <c r="H21" s="1341"/>
    </row>
    <row r="22" spans="1:9" s="3" customFormat="1" ht="6" customHeight="1">
      <c r="C22" s="661"/>
      <c r="D22" s="661"/>
      <c r="E22" s="661"/>
      <c r="F22" s="661"/>
      <c r="G22" s="661"/>
      <c r="H22" s="661"/>
    </row>
    <row r="23" spans="1:9" s="484" customFormat="1" ht="11.5" customHeight="1">
      <c r="C23" s="482" t="s">
        <v>3</v>
      </c>
      <c r="F23" s="484" t="s">
        <v>4</v>
      </c>
    </row>
    <row r="24" spans="1:9" s="3" customFormat="1" ht="8.5" customHeight="1"/>
    <row r="25" spans="1:9" s="507" customFormat="1" ht="11">
      <c r="A25" s="505"/>
      <c r="B25" s="503"/>
      <c r="C25" s="503" t="s">
        <v>5</v>
      </c>
      <c r="D25" s="503" t="s">
        <v>6</v>
      </c>
      <c r="E25" s="503"/>
      <c r="F25" s="503"/>
      <c r="G25" s="506"/>
      <c r="H25" s="503"/>
      <c r="I25" s="503"/>
    </row>
    <row r="26" spans="1:9" s="3" customFormat="1" ht="13.5" customHeight="1">
      <c r="C26" s="480" t="s">
        <v>7</v>
      </c>
      <c r="D26" s="481"/>
      <c r="E26" s="481"/>
      <c r="F26" s="482"/>
      <c r="G26" s="483"/>
      <c r="H26" s="481"/>
    </row>
    <row r="27" spans="1:9" s="3" customFormat="1" ht="13.5" customHeight="1">
      <c r="C27" s="484" t="s">
        <v>8</v>
      </c>
      <c r="D27" s="482" t="s">
        <v>9</v>
      </c>
      <c r="E27" s="482"/>
      <c r="F27" s="482"/>
      <c r="G27" s="485"/>
      <c r="H27" s="482"/>
    </row>
    <row r="28" spans="1:9" s="3" customFormat="1" ht="13.5" customHeight="1">
      <c r="C28" s="484" t="s">
        <v>10</v>
      </c>
      <c r="D28" s="3" t="s">
        <v>11</v>
      </c>
      <c r="E28" s="482"/>
      <c r="F28" s="482"/>
      <c r="G28" s="482"/>
      <c r="H28" s="486"/>
    </row>
    <row r="29" spans="1:9" s="3" customFormat="1" ht="13.5" customHeight="1">
      <c r="C29" s="484" t="s">
        <v>12</v>
      </c>
      <c r="D29" s="3" t="s">
        <v>13</v>
      </c>
      <c r="E29" s="482"/>
      <c r="F29" s="482"/>
      <c r="G29" s="482"/>
      <c r="H29" s="486"/>
    </row>
    <row r="30" spans="1:9" s="3" customFormat="1" ht="13.5" customHeight="1">
      <c r="C30" s="484" t="s">
        <v>14</v>
      </c>
      <c r="D30" s="3" t="s">
        <v>15</v>
      </c>
      <c r="E30" s="482"/>
      <c r="F30" s="482"/>
      <c r="G30" s="482"/>
      <c r="H30" s="486"/>
    </row>
    <row r="31" spans="1:9" s="3" customFormat="1" ht="13.5" customHeight="1">
      <c r="C31" s="484" t="s">
        <v>16</v>
      </c>
      <c r="D31" s="482" t="s">
        <v>17</v>
      </c>
      <c r="E31" s="482"/>
      <c r="F31" s="482"/>
      <c r="G31" s="485"/>
      <c r="H31" s="482"/>
    </row>
    <row r="32" spans="1:9" s="3" customFormat="1" ht="13.5" customHeight="1">
      <c r="C32" s="484" t="s">
        <v>18</v>
      </c>
      <c r="D32" s="482" t="s">
        <v>19</v>
      </c>
      <c r="E32" s="482"/>
      <c r="F32" s="482"/>
      <c r="G32" s="485"/>
      <c r="H32" s="482"/>
    </row>
    <row r="33" spans="2:8" s="3" customFormat="1" ht="13.5" customHeight="1">
      <c r="B33" s="94"/>
      <c r="C33" s="484"/>
      <c r="D33" s="482"/>
      <c r="E33" s="482"/>
      <c r="F33" s="482"/>
      <c r="G33" s="485"/>
      <c r="H33" s="482"/>
    </row>
    <row r="34" spans="2:8" s="3" customFormat="1" ht="13.5" customHeight="1">
      <c r="B34" s="94"/>
      <c r="C34" s="487" t="s">
        <v>29</v>
      </c>
      <c r="D34" s="482"/>
      <c r="E34" s="482"/>
      <c r="F34" s="482"/>
      <c r="G34" s="485"/>
      <c r="H34" s="482"/>
    </row>
    <row r="35" spans="2:8" s="3" customFormat="1" ht="13.5" customHeight="1">
      <c r="B35" s="94"/>
      <c r="C35" s="484" t="s">
        <v>30</v>
      </c>
      <c r="D35" s="482" t="s">
        <v>31</v>
      </c>
      <c r="E35" s="482"/>
      <c r="F35" s="482"/>
      <c r="G35" s="485"/>
      <c r="H35" s="486"/>
    </row>
    <row r="36" spans="2:8" s="3" customFormat="1" ht="13.5" customHeight="1">
      <c r="B36" s="94"/>
      <c r="C36" s="484" t="s">
        <v>32</v>
      </c>
      <c r="D36" s="482" t="s">
        <v>33</v>
      </c>
      <c r="E36" s="482"/>
      <c r="F36" s="482"/>
      <c r="G36" s="485"/>
      <c r="H36" s="486"/>
    </row>
    <row r="37" spans="2:8" s="3" customFormat="1" ht="13.5" customHeight="1">
      <c r="B37" s="94"/>
      <c r="C37" s="484" t="s">
        <v>34</v>
      </c>
      <c r="D37" s="482" t="s">
        <v>35</v>
      </c>
      <c r="E37" s="482"/>
      <c r="F37" s="482"/>
      <c r="G37" s="485"/>
      <c r="H37" s="482"/>
    </row>
    <row r="38" spans="2:8" s="3" customFormat="1" ht="13.5" customHeight="1">
      <c r="B38" s="94"/>
      <c r="C38" s="487"/>
      <c r="D38" s="482"/>
      <c r="E38" s="482"/>
      <c r="F38" s="482"/>
      <c r="G38" s="485"/>
      <c r="H38" s="482"/>
    </row>
    <row r="39" spans="2:8" s="3" customFormat="1" ht="13.5" customHeight="1">
      <c r="B39" s="94"/>
      <c r="C39" s="487" t="s">
        <v>36</v>
      </c>
      <c r="D39" s="482"/>
      <c r="E39" s="482"/>
      <c r="F39" s="482"/>
      <c r="G39" s="485"/>
      <c r="H39" s="482"/>
    </row>
    <row r="40" spans="2:8" s="3" customFormat="1" ht="13.5" customHeight="1">
      <c r="B40" s="94"/>
      <c r="C40" s="484" t="s">
        <v>37</v>
      </c>
      <c r="D40" s="482" t="s">
        <v>38</v>
      </c>
      <c r="E40" s="482"/>
      <c r="F40" s="482"/>
      <c r="G40" s="485"/>
      <c r="H40" s="482"/>
    </row>
    <row r="41" spans="2:8" s="3" customFormat="1" ht="13.5" customHeight="1">
      <c r="B41" s="94"/>
      <c r="C41" s="484" t="s">
        <v>39</v>
      </c>
      <c r="D41" s="482" t="s">
        <v>40</v>
      </c>
      <c r="E41" s="482"/>
      <c r="F41" s="482"/>
      <c r="G41" s="485"/>
      <c r="H41" s="482"/>
    </row>
    <row r="42" spans="2:8" s="3" customFormat="1" ht="13.5" customHeight="1">
      <c r="B42" s="94"/>
      <c r="D42" s="482"/>
      <c r="E42" s="482"/>
      <c r="F42" s="482"/>
      <c r="G42" s="485"/>
      <c r="H42" s="486"/>
    </row>
    <row r="43" spans="2:8" s="3" customFormat="1" ht="13.5" customHeight="1">
      <c r="B43" s="94"/>
      <c r="C43" s="487" t="s">
        <v>20</v>
      </c>
      <c r="D43" s="482"/>
      <c r="E43" s="482"/>
      <c r="F43" s="482"/>
      <c r="G43" s="485"/>
      <c r="H43" s="482"/>
    </row>
    <row r="44" spans="2:8" s="3" customFormat="1" ht="13.5" customHeight="1">
      <c r="B44" s="94"/>
      <c r="C44" s="484" t="s">
        <v>21</v>
      </c>
      <c r="D44" s="482" t="s">
        <v>22</v>
      </c>
      <c r="E44" s="482"/>
      <c r="F44" s="482"/>
      <c r="G44" s="485"/>
      <c r="H44" s="482"/>
    </row>
    <row r="45" spans="2:8" s="3" customFormat="1" ht="13.5" customHeight="1">
      <c r="B45" s="94"/>
      <c r="C45" s="484" t="s">
        <v>23</v>
      </c>
      <c r="D45" s="482" t="s">
        <v>24</v>
      </c>
      <c r="E45" s="482"/>
      <c r="F45" s="482"/>
      <c r="G45" s="485"/>
      <c r="H45" s="482"/>
    </row>
    <row r="46" spans="2:8" s="3" customFormat="1" ht="13.5" customHeight="1">
      <c r="B46" s="94"/>
      <c r="C46" s="484" t="s">
        <v>25</v>
      </c>
      <c r="D46" s="482" t="s">
        <v>26</v>
      </c>
      <c r="E46" s="482"/>
      <c r="F46" s="482"/>
      <c r="G46" s="485"/>
      <c r="H46" s="482"/>
    </row>
    <row r="47" spans="2:8" s="3" customFormat="1" ht="13.5" customHeight="1">
      <c r="B47" s="94"/>
      <c r="C47" s="484" t="s">
        <v>27</v>
      </c>
      <c r="D47" s="482" t="s">
        <v>28</v>
      </c>
      <c r="E47" s="482"/>
      <c r="F47" s="482"/>
      <c r="G47" s="485"/>
      <c r="H47" s="482"/>
    </row>
    <row r="48" spans="2:8" s="3" customFormat="1" ht="13.5" customHeight="1">
      <c r="B48" s="94"/>
      <c r="C48" s="487"/>
      <c r="D48" s="482"/>
      <c r="E48" s="482"/>
      <c r="F48" s="482"/>
      <c r="G48" s="485"/>
      <c r="H48" s="482"/>
    </row>
    <row r="49" spans="1:10" s="504" customFormat="1" ht="11">
      <c r="B49" s="505"/>
      <c r="C49" s="503" t="s">
        <v>41</v>
      </c>
      <c r="D49" s="503"/>
      <c r="E49" s="503"/>
      <c r="F49" s="503"/>
      <c r="G49" s="503"/>
      <c r="H49" s="503"/>
      <c r="I49" s="503"/>
      <c r="J49" s="503"/>
    </row>
    <row r="50" spans="1:10" s="3" customFormat="1" ht="11">
      <c r="A50" s="488"/>
      <c r="B50" s="488"/>
      <c r="C50" s="488"/>
      <c r="D50" s="488"/>
      <c r="E50" s="488"/>
      <c r="F50" s="488"/>
      <c r="G50" s="488"/>
      <c r="H50" s="488"/>
      <c r="I50" s="488"/>
    </row>
    <row r="51" spans="1:10" s="3" customFormat="1" ht="11">
      <c r="A51" s="489"/>
      <c r="C51" s="972" t="s">
        <v>42</v>
      </c>
      <c r="D51" s="973"/>
      <c r="E51" s="974"/>
      <c r="F51" s="973"/>
      <c r="G51" s="973"/>
      <c r="H51" s="973"/>
    </row>
    <row r="52" spans="1:10" s="3" customFormat="1" ht="3.75" customHeight="1">
      <c r="A52" s="488"/>
      <c r="B52" s="488"/>
      <c r="C52" s="488"/>
      <c r="D52" s="488"/>
      <c r="E52" s="488"/>
      <c r="F52" s="488"/>
      <c r="G52" s="488"/>
      <c r="H52" s="488"/>
      <c r="I52" s="488"/>
    </row>
    <row r="53" spans="1:10" s="3" customFormat="1" ht="11">
      <c r="A53" s="489"/>
      <c r="C53" s="490" t="s">
        <v>43</v>
      </c>
      <c r="D53" s="481"/>
      <c r="E53" s="481"/>
      <c r="F53" s="481"/>
      <c r="G53" s="959" t="s">
        <v>44</v>
      </c>
      <c r="H53" s="958"/>
    </row>
    <row r="54" spans="1:10" s="3" customFormat="1" ht="12.75" customHeight="1">
      <c r="A54" s="489"/>
      <c r="C54" s="490" t="s">
        <v>45</v>
      </c>
      <c r="D54" s="481"/>
      <c r="E54" s="481"/>
      <c r="F54" s="481"/>
      <c r="G54" s="960" t="s">
        <v>44</v>
      </c>
      <c r="H54" s="957"/>
    </row>
    <row r="55" spans="1:10" s="3" customFormat="1" ht="12" thickBot="1">
      <c r="A55" s="489"/>
      <c r="C55" s="490" t="s">
        <v>46</v>
      </c>
      <c r="D55" s="481"/>
      <c r="E55" s="481"/>
      <c r="F55" s="481"/>
      <c r="G55" s="492" t="s">
        <v>47</v>
      </c>
      <c r="H55" s="493"/>
    </row>
    <row r="56" spans="1:10" s="3" customFormat="1" ht="12" thickBot="1">
      <c r="A56" s="489"/>
      <c r="C56" s="490" t="s">
        <v>48</v>
      </c>
      <c r="D56" s="481"/>
      <c r="E56" s="481"/>
      <c r="F56" s="481"/>
      <c r="G56" s="955" t="s">
        <v>49</v>
      </c>
      <c r="H56" s="956"/>
    </row>
    <row r="57" spans="1:10" s="3" customFormat="1" ht="10.25" customHeight="1">
      <c r="A57" s="489"/>
      <c r="C57" s="490" t="s">
        <v>50</v>
      </c>
      <c r="D57" s="481"/>
      <c r="E57" s="481"/>
      <c r="F57" s="481"/>
      <c r="G57" s="755" t="s">
        <v>47</v>
      </c>
      <c r="H57" s="756"/>
    </row>
    <row r="58" spans="1:10" s="3" customFormat="1" ht="11">
      <c r="A58" s="489"/>
      <c r="C58" s="490" t="s">
        <v>51</v>
      </c>
      <c r="D58" s="481"/>
      <c r="E58" s="481"/>
      <c r="F58" s="481"/>
      <c r="G58" s="919" t="s">
        <v>52</v>
      </c>
      <c r="H58" s="919"/>
    </row>
    <row r="59" spans="1:10" s="3" customFormat="1" ht="11">
      <c r="A59" s="489"/>
      <c r="C59" s="490" t="s">
        <v>51</v>
      </c>
      <c r="D59" s="481"/>
      <c r="E59" s="481"/>
      <c r="F59" s="481"/>
      <c r="G59" s="920" t="s">
        <v>52</v>
      </c>
      <c r="H59" s="920"/>
    </row>
    <row r="60" spans="1:10" s="3" customFormat="1" ht="11">
      <c r="A60" s="489"/>
      <c r="C60" s="490"/>
      <c r="D60" s="481"/>
      <c r="E60" s="481"/>
      <c r="F60" s="481"/>
      <c r="G60" s="920"/>
      <c r="H60" s="920"/>
    </row>
    <row r="61" spans="1:10" s="3" customFormat="1" ht="11">
      <c r="A61" s="488"/>
      <c r="B61" s="488"/>
      <c r="C61" s="365" t="s">
        <v>53</v>
      </c>
      <c r="D61" s="488"/>
      <c r="E61" s="488"/>
      <c r="F61" s="488"/>
      <c r="G61" s="488"/>
      <c r="H61" s="488"/>
      <c r="I61" s="488"/>
    </row>
    <row r="62" spans="1:10" s="3" customFormat="1" ht="11">
      <c r="A62" s="489"/>
      <c r="C62" s="490" t="s">
        <v>54</v>
      </c>
      <c r="D62" s="502"/>
      <c r="E62" s="491"/>
      <c r="F62" s="481"/>
      <c r="G62" s="483"/>
      <c r="H62" s="481"/>
    </row>
    <row r="63" spans="1:10" s="3" customFormat="1" ht="11">
      <c r="A63" s="489"/>
      <c r="C63" s="490" t="s">
        <v>55</v>
      </c>
      <c r="D63" s="502"/>
      <c r="E63" s="491"/>
      <c r="F63" s="481"/>
      <c r="G63" s="483"/>
      <c r="H63" s="481"/>
    </row>
    <row r="64" spans="1:10" s="3" customFormat="1" ht="11">
      <c r="A64" s="489"/>
      <c r="C64" s="490" t="s">
        <v>56</v>
      </c>
      <c r="D64" s="502"/>
      <c r="E64" s="491"/>
      <c r="F64" s="481"/>
      <c r="G64" s="483"/>
      <c r="H64" s="481"/>
    </row>
    <row r="65" spans="1:8" s="3" customFormat="1" ht="11">
      <c r="A65" s="489"/>
      <c r="C65" s="490" t="s">
        <v>57</v>
      </c>
      <c r="D65" s="481"/>
      <c r="E65" s="491"/>
      <c r="F65" s="481"/>
      <c r="G65" s="483"/>
      <c r="H65" s="481"/>
    </row>
    <row r="66" spans="1:8" s="3" customFormat="1" ht="11">
      <c r="A66" s="489"/>
      <c r="C66" s="490" t="s">
        <v>58</v>
      </c>
      <c r="D66" s="481"/>
      <c r="E66" s="491"/>
      <c r="F66" s="481"/>
      <c r="G66" s="483"/>
      <c r="H66" s="481"/>
    </row>
    <row r="67" spans="1:8" s="3" customFormat="1" ht="11">
      <c r="A67" s="489"/>
    </row>
    <row r="68" spans="1:8" s="500" customFormat="1" ht="11">
      <c r="A68" s="498"/>
      <c r="B68" s="499"/>
      <c r="C68" s="503" t="s">
        <v>995</v>
      </c>
      <c r="D68" s="499"/>
      <c r="E68" s="499"/>
      <c r="F68" s="499"/>
      <c r="G68" s="499"/>
      <c r="H68" s="499"/>
    </row>
    <row r="69" spans="1:8" ht="12.75" hidden="1" customHeight="1">
      <c r="B69" s="2"/>
    </row>
    <row r="70" spans="1:8" s="3" customFormat="1" ht="11" hidden="1"/>
    <row r="71" spans="1:8" ht="13" hidden="1">
      <c r="B71" s="2"/>
    </row>
    <row r="72" spans="1:8" ht="13" hidden="1">
      <c r="B72" s="2"/>
    </row>
    <row r="73" spans="1:8" ht="13" hidden="1">
      <c r="B73" s="2"/>
    </row>
    <row r="74" spans="1:8" ht="13" hidden="1">
      <c r="B74" s="2"/>
    </row>
    <row r="75" spans="1:8" ht="12.75" hidden="1" customHeight="1">
      <c r="B75" s="2"/>
    </row>
    <row r="76" spans="1:8" ht="12.75" hidden="1" customHeight="1">
      <c r="B76" s="2"/>
    </row>
    <row r="77" spans="1:8" ht="12.75" hidden="1" customHeight="1">
      <c r="B77" s="2"/>
    </row>
    <row r="78" spans="1:8" ht="12.75" hidden="1" customHeight="1">
      <c r="B78" s="2"/>
    </row>
    <row r="79" spans="1:8" ht="12.75" hidden="1" customHeight="1">
      <c r="B79" s="2"/>
    </row>
  </sheetData>
  <sheetProtection formatCells="0" formatColumns="0" formatRows="0" insertColumns="0" insertRows="0" insertHyperlinks="0" deleteColumns="0" deleteRows="0" sort="0" autoFilter="0" pivotTables="0"/>
  <mergeCells count="1">
    <mergeCell ref="C20:H21"/>
  </mergeCells>
  <conditionalFormatting sqref="H28:H30 H33 H35:H37 H42:H47">
    <cfRule type="cellIs" dxfId="86" priority="1" stopIfTrue="1" operator="equal">
      <formula>1</formula>
    </cfRule>
  </conditionalFormatting>
  <hyperlinks>
    <hyperlink ref="C40" location="'Precedents - Selection'!A1" display="Precedents - Selection" xr:uid="{00000000-0004-0000-0000-000000000000}"/>
    <hyperlink ref="C41" location="'Precedents - Dataset'!A1" display="Precedents - Dataset" xr:uid="{00000000-0004-0000-0000-000001000000}"/>
    <hyperlink ref="C35" location="'Comps - Selection'!A1" display="Comps - Selection" xr:uid="{00000000-0004-0000-0000-000002000000}"/>
    <hyperlink ref="C37" location="'Comps - Dataset'!A1" display="Comps - Dataset" xr:uid="{00000000-0004-0000-0000-000003000000}"/>
    <hyperlink ref="C29" location="'DCF - Financials'!A1" display="Financials" xr:uid="{00000000-0004-0000-0000-000004000000}"/>
    <hyperlink ref="C30" location="'DCF - Capital Structure'!A1" display="DCF - Capital Structure" xr:uid="{00000000-0004-0000-0000-000005000000}"/>
    <hyperlink ref="C31" location="'DCF - Valuation'!A1" display="DCF Valuation " xr:uid="{00000000-0004-0000-0000-000006000000}"/>
    <hyperlink ref="C28" location="'DCF - Assumptions'!A1" display="DCF - Assumptions" xr:uid="{00000000-0004-0000-0000-000007000000}"/>
    <hyperlink ref="C27" location="'DCF - Outputs'!A1" display="DCF - Outputs" xr:uid="{00000000-0004-0000-0000-000008000000}"/>
    <hyperlink ref="C32" location="'DCF - Assumptions Document'!A1" display="DCF - Assumptions Document" xr:uid="{00000000-0004-0000-0000-000009000000}"/>
    <hyperlink ref="C44" location="'LBO - Outputs'!A1" display="LBO - Outputs" xr:uid="{00000000-0004-0000-0000-00000A000000}"/>
    <hyperlink ref="C45" location="'LBO - Assumptions'!A1" display="LBO - Assumptions" xr:uid="{00000000-0004-0000-0000-00000B000000}"/>
    <hyperlink ref="C46" location="'LBO - Financials'!A1" display="LBO - Financials" xr:uid="{00000000-0004-0000-0000-00000C000000}"/>
    <hyperlink ref="C47" location="'LBO - Assumptions Document'!A1" display="LBO - Assumptions Document" xr:uid="{00000000-0004-0000-0000-00000D000000}"/>
    <hyperlink ref="F23" r:id="rId1" xr:uid="{00000000-0004-0000-0000-00000E000000}"/>
    <hyperlink ref="C36" location="'Comps - Outputs'!A1" display="Comps - Outputs" xr:uid="{308FBD25-D7E1-4E5C-92D1-EFC54F2AB48B}"/>
  </hyperlinks>
  <printOptions horizontalCentered="1" verticalCentered="1"/>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6654A"/>
  </sheetPr>
  <dimension ref="A1:CV92"/>
  <sheetViews>
    <sheetView showGridLines="0" topLeftCell="A61" zoomScale="143" zoomScaleNormal="100" workbookViewId="0">
      <selection activeCell="N27" sqref="N27"/>
    </sheetView>
  </sheetViews>
  <sheetFormatPr baseColWidth="10" defaultColWidth="0" defaultRowHeight="15" zeroHeight="1"/>
  <cols>
    <col min="1" max="1" width="2.5" customWidth="1"/>
    <col min="2" max="2" width="1" customWidth="1"/>
    <col min="3" max="3" width="35.83203125" customWidth="1"/>
    <col min="4" max="4" width="6.5" customWidth="1"/>
    <col min="5" max="6" width="0" hidden="1" customWidth="1"/>
    <col min="7" max="8" width="7.1640625" customWidth="1"/>
    <col min="9" max="13" width="8" customWidth="1"/>
    <col min="14" max="17" width="8.5" customWidth="1"/>
    <col min="18" max="18" width="7.5" customWidth="1"/>
    <col min="19" max="20" width="7.1640625" customWidth="1"/>
    <col min="21" max="21" width="3.5" customWidth="1"/>
    <col min="22" max="22" width="6.1640625" bestFit="1" customWidth="1"/>
    <col min="23" max="23" width="5.5" customWidth="1"/>
    <col min="24" max="24" width="2.1640625" customWidth="1"/>
    <col min="25" max="100" width="0" hidden="1" customWidth="1"/>
    <col min="101" max="16384" width="8.83203125" hidden="1"/>
  </cols>
  <sheetData>
    <row r="1" spans="1:100" s="26" customFormat="1" ht="13">
      <c r="A1" s="36"/>
      <c r="B1" s="36" t="str">
        <f>'DCF - Assumptions'!$F$8&amp;" | Discounted Cash Flows - Outputs"</f>
        <v>Diageo PLC | Discounted Cash Flows - Outputs</v>
      </c>
      <c r="C1" s="35"/>
      <c r="V1" s="34" t="str">
        <f>IF(V6=W6,"OK","Check")</f>
        <v>OK</v>
      </c>
      <c r="W1" s="34" t="str">
        <f>IF(V5=W5,"OK","Check")</f>
        <v>OK</v>
      </c>
    </row>
    <row r="2" spans="1:100" s="32" customFormat="1" ht="2.25" customHeight="1">
      <c r="A2" s="33"/>
      <c r="B2" s="33"/>
      <c r="U2" s="31"/>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row>
    <row r="3" spans="1:100" s="28" customFormat="1" ht="3" customHeight="1">
      <c r="A3" s="29"/>
      <c r="B3" s="29"/>
      <c r="U3" s="27"/>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row>
    <row r="4" spans="1:100" s="3" customFormat="1" ht="11.25" customHeight="1">
      <c r="A4" s="25"/>
      <c r="B4" s="25"/>
      <c r="C4" s="2"/>
      <c r="D4" s="2"/>
      <c r="E4" s="2"/>
      <c r="F4" s="2"/>
      <c r="G4" s="2"/>
      <c r="H4" s="2"/>
      <c r="I4" s="2"/>
      <c r="J4" s="2"/>
      <c r="K4" s="2"/>
      <c r="L4" s="2"/>
      <c r="M4" s="2"/>
      <c r="N4" s="2"/>
      <c r="O4" s="2"/>
      <c r="P4" s="2"/>
      <c r="Q4" s="2"/>
      <c r="R4" s="2"/>
      <c r="S4" s="2"/>
      <c r="T4" s="2"/>
      <c r="U4" s="1"/>
      <c r="V4" s="1"/>
      <c r="W4" s="1"/>
      <c r="X4" s="1"/>
    </row>
    <row r="5" spans="1:100">
      <c r="C5" s="926" t="s">
        <v>59</v>
      </c>
      <c r="D5" s="927"/>
      <c r="E5" s="927"/>
      <c r="F5" s="927"/>
      <c r="G5" s="927"/>
      <c r="H5" s="927"/>
      <c r="I5" s="927"/>
      <c r="J5" s="927"/>
      <c r="K5" s="927"/>
      <c r="L5" s="927"/>
      <c r="M5" s="927"/>
      <c r="N5" s="927"/>
      <c r="O5" s="927"/>
      <c r="P5" s="927"/>
      <c r="Q5" s="927"/>
      <c r="R5" s="927"/>
      <c r="S5" s="927"/>
      <c r="T5" s="927"/>
      <c r="U5" s="1"/>
      <c r="V5" s="5">
        <f>ROWS(C5:C80)</f>
        <v>76</v>
      </c>
      <c r="W5" s="24">
        <v>76</v>
      </c>
      <c r="X5" s="1"/>
    </row>
    <row r="6" spans="1:100">
      <c r="C6" s="559"/>
      <c r="D6" s="559"/>
      <c r="E6" s="559"/>
      <c r="F6" s="559"/>
      <c r="G6" s="559"/>
      <c r="H6" s="559"/>
      <c r="I6" s="559"/>
      <c r="J6" s="559"/>
      <c r="K6" s="760"/>
      <c r="L6" s="760"/>
      <c r="M6" s="760" t="s">
        <v>60</v>
      </c>
      <c r="N6" s="1111"/>
      <c r="O6" s="1111"/>
      <c r="P6" s="1111"/>
      <c r="Q6" s="1111"/>
      <c r="R6" s="1111"/>
      <c r="S6" s="1111"/>
      <c r="T6" s="1111"/>
      <c r="U6" s="1"/>
      <c r="V6" s="5">
        <f>SUM(V7:V85)</f>
        <v>66</v>
      </c>
      <c r="W6" s="24">
        <v>66</v>
      </c>
      <c r="X6" s="1"/>
    </row>
    <row r="7" spans="1:100">
      <c r="C7" s="1229" t="s">
        <v>61</v>
      </c>
      <c r="D7" s="1113"/>
      <c r="E7" s="1113"/>
      <c r="F7" s="1113"/>
      <c r="G7" s="1113"/>
      <c r="H7" s="1113">
        <f>'DCF - Assumptions'!G$7</f>
        <v>2019</v>
      </c>
      <c r="I7" s="1113">
        <f>'DCF - Assumptions'!H$7</f>
        <v>2020</v>
      </c>
      <c r="J7" s="1113">
        <f>'DCF - Assumptions'!I$7</f>
        <v>2021</v>
      </c>
      <c r="K7" s="1113">
        <f>'DCF - Assumptions'!J$7</f>
        <v>2022</v>
      </c>
      <c r="L7" s="1113">
        <f>'DCF - Assumptions'!K$7</f>
        <v>2023</v>
      </c>
      <c r="M7" s="1189">
        <f>'DCF - Assumptions'!L$7</f>
        <v>2024</v>
      </c>
      <c r="N7" s="1114">
        <f>'DCF - Assumptions'!M$7</f>
        <v>2025</v>
      </c>
      <c r="O7" s="1114">
        <f>'DCF - Assumptions'!N$7</f>
        <v>2026</v>
      </c>
      <c r="P7" s="1114">
        <f>'DCF - Assumptions'!O$7</f>
        <v>2027</v>
      </c>
      <c r="Q7" s="1114">
        <f>'DCF - Assumptions'!P$7</f>
        <v>2028</v>
      </c>
      <c r="R7" s="1115">
        <f>'DCF - Assumptions'!Q$7</f>
        <v>2029</v>
      </c>
      <c r="S7" s="1114">
        <f>'DCF - Assumptions'!R$7</f>
        <v>2030</v>
      </c>
      <c r="T7" s="1115">
        <f>'DCF - Assumptions'!S$7</f>
        <v>2031</v>
      </c>
      <c r="U7" s="1"/>
      <c r="V7" s="5">
        <f>IF(NOT(ISBLANK(C7)), 1, 0)</f>
        <v>1</v>
      </c>
      <c r="W7" s="24">
        <v>1</v>
      </c>
      <c r="X7" s="1"/>
    </row>
    <row r="8" spans="1:100">
      <c r="C8" s="770"/>
      <c r="D8" s="771"/>
      <c r="E8" s="771"/>
      <c r="F8" s="771"/>
      <c r="G8" s="771"/>
      <c r="H8" s="771"/>
      <c r="I8" s="771"/>
      <c r="J8" s="771"/>
      <c r="K8" s="771"/>
      <c r="L8" s="771"/>
      <c r="M8" s="772"/>
      <c r="N8" s="772"/>
      <c r="O8" s="772"/>
      <c r="P8" s="772"/>
      <c r="Q8" s="772"/>
      <c r="R8" s="773"/>
      <c r="S8" s="772"/>
      <c r="T8" s="773"/>
      <c r="U8" s="1"/>
      <c r="V8" s="5">
        <f t="shared" ref="V8:V71" si="0">IF(NOT(ISBLANK(C8)), 1, 0)</f>
        <v>0</v>
      </c>
      <c r="W8" s="24">
        <v>0</v>
      </c>
      <c r="X8" s="1"/>
    </row>
    <row r="9" spans="1:100">
      <c r="C9" s="913" t="str">
        <f>'DCF - Assumptions'!C80</f>
        <v>North America Net Sales</v>
      </c>
      <c r="D9" s="914"/>
      <c r="E9" s="914"/>
      <c r="F9" s="914"/>
      <c r="G9" s="914"/>
      <c r="H9" s="1163">
        <f>'DCF - Assumptions'!G80</f>
        <v>4460</v>
      </c>
      <c r="I9" s="1163">
        <f>'DCF - Assumptions'!H80</f>
        <v>4623</v>
      </c>
      <c r="J9" s="1163">
        <f>'DCF - Assumptions'!I80</f>
        <v>5209</v>
      </c>
      <c r="K9" s="1163">
        <f>'DCF - Assumptions'!J80</f>
        <v>6095</v>
      </c>
      <c r="L9" s="1163">
        <f>'DCF - Assumptions'!K80</f>
        <v>6758</v>
      </c>
      <c r="M9" s="1163">
        <f>'DCF - Assumptions'!L80</f>
        <v>6893.16</v>
      </c>
      <c r="N9" s="1163">
        <f>'DCF - Assumptions'!M80</f>
        <v>7113.7411199999997</v>
      </c>
      <c r="O9" s="1163">
        <f>'DCF - Assumptions'!N80</f>
        <v>7419.6319881599993</v>
      </c>
      <c r="P9" s="1163">
        <f>'DCF - Assumptions'!O80</f>
        <v>7790.6135875679993</v>
      </c>
      <c r="Q9" s="1163">
        <f>'DCF - Assumptions'!P80</f>
        <v>8297.0034707599189</v>
      </c>
      <c r="R9" s="1163">
        <f>'DCF - Assumptions'!Q80</f>
        <v>8836.3086963593123</v>
      </c>
      <c r="S9" s="1163">
        <f>'DCF - Assumptions'!R80</f>
        <v>9410.6687616226664</v>
      </c>
      <c r="T9" s="1163">
        <f>'DCF - Assumptions'!S80</f>
        <v>10022.36223112814</v>
      </c>
      <c r="U9" s="1"/>
      <c r="V9" s="5">
        <f t="shared" si="0"/>
        <v>1</v>
      </c>
      <c r="W9" s="24">
        <v>1</v>
      </c>
      <c r="X9" s="1"/>
    </row>
    <row r="10" spans="1:100">
      <c r="C10" s="1160" t="str">
        <f>'DCF - Assumptions'!C82</f>
        <v>Europe Net Sales</v>
      </c>
      <c r="D10" s="1161"/>
      <c r="E10" s="1161"/>
      <c r="F10" s="1161"/>
      <c r="G10" s="1161"/>
      <c r="H10" s="1163">
        <f>'DCF - Assumptions'!G82</f>
        <v>2939</v>
      </c>
      <c r="I10" s="1163">
        <f>'DCF - Assumptions'!H82</f>
        <v>2567</v>
      </c>
      <c r="J10" s="1163">
        <f>'DCF - Assumptions'!I82</f>
        <v>2558</v>
      </c>
      <c r="K10" s="1163">
        <f>'DCF - Assumptions'!J82</f>
        <v>3212</v>
      </c>
      <c r="L10" s="1163">
        <f>'DCF - Assumptions'!K82</f>
        <v>3569</v>
      </c>
      <c r="M10" s="1163">
        <f>'DCF - Assumptions'!L82</f>
        <v>3776.0020000000004</v>
      </c>
      <c r="N10" s="1163">
        <f>'DCF - Assumptions'!M82</f>
        <v>3927.0420800000006</v>
      </c>
      <c r="O10" s="1163">
        <f>'DCF - Assumptions'!N82</f>
        <v>4135.1753102400007</v>
      </c>
      <c r="P10" s="1163">
        <f>'DCF - Assumptions'!O82</f>
        <v>4341.9340757520013</v>
      </c>
      <c r="Q10" s="1163">
        <f>'DCF - Assumptions'!P82</f>
        <v>4559.0307795396011</v>
      </c>
      <c r="R10" s="1163">
        <f>'DCF - Assumptions'!Q82</f>
        <v>4786.9823185165815</v>
      </c>
      <c r="S10" s="1163">
        <f>'DCF - Assumptions'!R82</f>
        <v>5026.3314344424107</v>
      </c>
      <c r="T10" s="1163">
        <f>'DCF - Assumptions'!S82</f>
        <v>5277.6480061645316</v>
      </c>
      <c r="U10" s="1"/>
      <c r="V10" s="5">
        <f t="shared" si="0"/>
        <v>1</v>
      </c>
      <c r="W10" s="24">
        <v>1</v>
      </c>
      <c r="X10" s="1"/>
    </row>
    <row r="11" spans="1:100">
      <c r="C11" s="1160" t="str">
        <f>'DCF - Assumptions'!C84</f>
        <v>Africa Net Sales</v>
      </c>
      <c r="D11" s="1161"/>
      <c r="E11" s="1161"/>
      <c r="F11" s="1161"/>
      <c r="G11" s="1161"/>
      <c r="H11" s="1163">
        <f>'DCF - Assumptions'!G84</f>
        <v>1597</v>
      </c>
      <c r="I11" s="1163">
        <f>'DCF - Assumptions'!H84</f>
        <v>1346</v>
      </c>
      <c r="J11" s="1163">
        <f>'DCF - Assumptions'!I84</f>
        <v>1412</v>
      </c>
      <c r="K11" s="1163">
        <f>'DCF - Assumptions'!J84</f>
        <v>1682</v>
      </c>
      <c r="L11" s="1163">
        <f>'DCF - Assumptions'!K84</f>
        <v>1699</v>
      </c>
      <c r="M11" s="1163">
        <f>'DCF - Assumptions'!L84</f>
        <v>1833.221</v>
      </c>
      <c r="N11" s="1163">
        <f>'DCF - Assumptions'!M84</f>
        <v>1923.0488289999998</v>
      </c>
      <c r="O11" s="1163">
        <f>'DCF - Assumptions'!N84</f>
        <v>2011.5090751339999</v>
      </c>
      <c r="P11" s="1163">
        <f>'DCF - Assumptions'!O84</f>
        <v>2104.038492590164</v>
      </c>
      <c r="Q11" s="1163">
        <f>'DCF - Assumptions'!P84</f>
        <v>2200.8242632493116</v>
      </c>
      <c r="R11" s="1163">
        <f>'DCF - Assumptions'!Q84</f>
        <v>2302.0621793587802</v>
      </c>
      <c r="S11" s="1163">
        <f>'DCF - Assumptions'!R84</f>
        <v>2407.957039609284</v>
      </c>
      <c r="T11" s="1163">
        <f>'DCF - Assumptions'!S84</f>
        <v>2518.7230634313114</v>
      </c>
      <c r="U11" s="1"/>
      <c r="V11" s="5">
        <f t="shared" si="0"/>
        <v>1</v>
      </c>
      <c r="W11" s="24">
        <v>1</v>
      </c>
      <c r="X11" s="1"/>
    </row>
    <row r="12" spans="1:100">
      <c r="C12" s="1160" t="str">
        <f>'DCF - Assumptions'!C86</f>
        <v>LatAm and Caribbean Net Sales</v>
      </c>
      <c r="D12" s="1161"/>
      <c r="E12" s="1161"/>
      <c r="F12" s="1161"/>
      <c r="G12" s="1161"/>
      <c r="H12" s="1163">
        <f>'DCF - Assumptions'!G86</f>
        <v>1130</v>
      </c>
      <c r="I12" s="1163">
        <f>'DCF - Assumptions'!H86</f>
        <v>908</v>
      </c>
      <c r="J12" s="1163">
        <f>'DCF - Assumptions'!I86</f>
        <v>1046</v>
      </c>
      <c r="K12" s="1163">
        <f>'DCF - Assumptions'!J86</f>
        <v>1525</v>
      </c>
      <c r="L12" s="1163">
        <f>'DCF - Assumptions'!K86</f>
        <v>1799</v>
      </c>
      <c r="M12" s="1163">
        <f>'DCF - Assumptions'!L86</f>
        <v>1687.462</v>
      </c>
      <c r="N12" s="1163">
        <f>'DCF - Assumptions'!M86</f>
        <v>1873.0828200000001</v>
      </c>
      <c r="O12" s="1163">
        <f>'DCF - Assumptions'!N86</f>
        <v>2021.05636278</v>
      </c>
      <c r="P12" s="1163">
        <f>'DCF - Assumptions'!O86</f>
        <v>2180.7198154396201</v>
      </c>
      <c r="Q12" s="1163">
        <f>'DCF - Assumptions'!P86</f>
        <v>2352.9966808593499</v>
      </c>
      <c r="R12" s="1163">
        <f>'DCF - Assumptions'!Q86</f>
        <v>2538.8834186472386</v>
      </c>
      <c r="S12" s="1163">
        <f>'DCF - Assumptions'!R86</f>
        <v>2739.4552087203701</v>
      </c>
      <c r="T12" s="1163">
        <f>'DCF - Assumptions'!S86</f>
        <v>2955.8721702092794</v>
      </c>
      <c r="U12" s="1"/>
      <c r="V12" s="5">
        <f t="shared" si="0"/>
        <v>1</v>
      </c>
      <c r="W12" s="24">
        <v>1</v>
      </c>
      <c r="X12" s="1"/>
    </row>
    <row r="13" spans="1:100">
      <c r="C13" s="1160" t="str">
        <f>'DCF - Assumptions'!C88</f>
        <v>Asia Pacific Net Sales</v>
      </c>
      <c r="D13" s="1161"/>
      <c r="E13" s="1161"/>
      <c r="F13" s="1161"/>
      <c r="G13" s="1161"/>
      <c r="H13" s="1163">
        <f>'DCF - Assumptions'!G88</f>
        <v>2688</v>
      </c>
      <c r="I13" s="1163">
        <f>'DCF - Assumptions'!H88</f>
        <v>2270</v>
      </c>
      <c r="J13" s="1163">
        <f>'DCF - Assumptions'!I88</f>
        <v>2488</v>
      </c>
      <c r="K13" s="1163">
        <f>'DCF - Assumptions'!J88</f>
        <v>2884</v>
      </c>
      <c r="L13" s="1163">
        <f>'DCF - Assumptions'!K88</f>
        <v>3200</v>
      </c>
      <c r="M13" s="1163">
        <f>'DCF - Assumptions'!L88</f>
        <v>3497.6</v>
      </c>
      <c r="N13" s="1163">
        <f>'DCF - Assumptions'!M88</f>
        <v>3808.8863999999999</v>
      </c>
      <c r="O13" s="1163">
        <f>'DCF - Assumptions'!N88</f>
        <v>4147.8772896</v>
      </c>
      <c r="P13" s="1163">
        <f>'DCF - Assumptions'!O88</f>
        <v>4496.2989819264003</v>
      </c>
      <c r="Q13" s="1163">
        <f>'DCF - Assumptions'!P88</f>
        <v>4856.0029004805128</v>
      </c>
      <c r="R13" s="1163">
        <f>'DCF - Assumptions'!Q88</f>
        <v>5244.4831325189543</v>
      </c>
      <c r="S13" s="1163">
        <f>'DCF - Assumptions'!R88</f>
        <v>5664.0417831204713</v>
      </c>
      <c r="T13" s="1163">
        <f>'DCF - Assumptions'!S88</f>
        <v>6117.1651257701096</v>
      </c>
      <c r="U13" s="1"/>
      <c r="V13" s="5">
        <f t="shared" si="0"/>
        <v>1</v>
      </c>
      <c r="W13" s="24">
        <v>1</v>
      </c>
      <c r="X13" s="1"/>
    </row>
    <row r="14" spans="1:100">
      <c r="C14" s="915" t="str">
        <f>'DCF - Assumptions'!C90</f>
        <v>Corporate Net Sales</v>
      </c>
      <c r="D14" s="916"/>
      <c r="E14" s="916"/>
      <c r="F14" s="916"/>
      <c r="G14" s="916"/>
      <c r="H14" s="1163">
        <f>'DCF - Assumptions'!G90</f>
        <v>53</v>
      </c>
      <c r="I14" s="1163">
        <f>'DCF - Assumptions'!H90</f>
        <v>38</v>
      </c>
      <c r="J14" s="1163">
        <f>'DCF - Assumptions'!I90</f>
        <v>20</v>
      </c>
      <c r="K14" s="1163">
        <f>'DCF - Assumptions'!J90</f>
        <v>54</v>
      </c>
      <c r="L14" s="1163">
        <f>'DCF - Assumptions'!K90</f>
        <v>88</v>
      </c>
      <c r="M14" s="1163">
        <f>'DCF - Assumptions'!L90</f>
        <v>88</v>
      </c>
      <c r="N14" s="1163">
        <f>'DCF - Assumptions'!M90</f>
        <v>88</v>
      </c>
      <c r="O14" s="1163">
        <f>'DCF - Assumptions'!N90</f>
        <v>88</v>
      </c>
      <c r="P14" s="1163">
        <f>'DCF - Assumptions'!O90</f>
        <v>88</v>
      </c>
      <c r="Q14" s="1163">
        <f>'DCF - Assumptions'!P90</f>
        <v>88</v>
      </c>
      <c r="R14" s="1163">
        <f>'DCF - Assumptions'!Q90</f>
        <v>88</v>
      </c>
      <c r="S14" s="1163">
        <f>'DCF - Assumptions'!R90</f>
        <v>88</v>
      </c>
      <c r="T14" s="1163">
        <f>'DCF - Assumptions'!S90</f>
        <v>88</v>
      </c>
      <c r="U14" s="1"/>
      <c r="V14" s="5">
        <f t="shared" si="0"/>
        <v>1</v>
      </c>
      <c r="W14" s="24">
        <v>1</v>
      </c>
      <c r="X14" s="1"/>
    </row>
    <row r="15" spans="1:100">
      <c r="C15" s="561" t="s">
        <v>62</v>
      </c>
      <c r="D15" s="561"/>
      <c r="E15" s="561"/>
      <c r="F15" s="561"/>
      <c r="G15" s="553"/>
      <c r="H15" s="553">
        <f>SUM(H9:H14)</f>
        <v>12867</v>
      </c>
      <c r="I15" s="553">
        <f t="shared" ref="I15:T15" si="1">SUM(I9:I14)</f>
        <v>11752</v>
      </c>
      <c r="J15" s="553">
        <f t="shared" si="1"/>
        <v>12733</v>
      </c>
      <c r="K15" s="553">
        <f t="shared" si="1"/>
        <v>15452</v>
      </c>
      <c r="L15" s="553">
        <f t="shared" si="1"/>
        <v>17113</v>
      </c>
      <c r="M15" s="553">
        <f t="shared" si="1"/>
        <v>17775.445</v>
      </c>
      <c r="N15" s="553">
        <f t="shared" si="1"/>
        <v>18733.801249</v>
      </c>
      <c r="O15" s="553">
        <f t="shared" si="1"/>
        <v>19823.250025914</v>
      </c>
      <c r="P15" s="553">
        <f t="shared" si="1"/>
        <v>21001.604953276186</v>
      </c>
      <c r="Q15" s="553">
        <f t="shared" si="1"/>
        <v>22353.858094888696</v>
      </c>
      <c r="R15" s="553">
        <f t="shared" si="1"/>
        <v>23796.719745400867</v>
      </c>
      <c r="S15" s="553">
        <f t="shared" si="1"/>
        <v>25336.454227515202</v>
      </c>
      <c r="T15" s="553">
        <f t="shared" si="1"/>
        <v>26979.770596703373</v>
      </c>
      <c r="U15" s="1"/>
      <c r="V15" s="5">
        <f t="shared" si="0"/>
        <v>1</v>
      </c>
      <c r="W15" s="24">
        <v>1</v>
      </c>
      <c r="X15" s="1"/>
    </row>
    <row r="16" spans="1:100">
      <c r="C16" s="761" t="s">
        <v>63</v>
      </c>
      <c r="D16" s="762"/>
      <c r="E16" s="762"/>
      <c r="F16" s="762"/>
      <c r="G16" s="763"/>
      <c r="H16" s="763"/>
      <c r="I16" s="763">
        <f>IFERROR(I15/H15-1,0)</f>
        <v>-8.665578611953062E-2</v>
      </c>
      <c r="J16" s="763">
        <f t="shared" ref="J16:T16" si="2">IFERROR(J15/I15-1,0)</f>
        <v>8.3475153165418758E-2</v>
      </c>
      <c r="K16" s="763">
        <f t="shared" si="2"/>
        <v>0.21353962145605898</v>
      </c>
      <c r="L16" s="763">
        <f t="shared" si="2"/>
        <v>0.10749417551126061</v>
      </c>
      <c r="M16" s="763">
        <f t="shared" si="2"/>
        <v>3.8710044995033055E-2</v>
      </c>
      <c r="N16" s="763">
        <f t="shared" si="2"/>
        <v>5.3914613614455265E-2</v>
      </c>
      <c r="O16" s="763">
        <f t="shared" si="2"/>
        <v>5.8154176103056177E-2</v>
      </c>
      <c r="P16" s="763">
        <f t="shared" si="2"/>
        <v>5.9443074461643652E-2</v>
      </c>
      <c r="Q16" s="763">
        <f t="shared" si="2"/>
        <v>6.4388085797298267E-2</v>
      </c>
      <c r="R16" s="763">
        <f t="shared" si="2"/>
        <v>6.4546426142075619E-2</v>
      </c>
      <c r="S16" s="763">
        <f t="shared" si="2"/>
        <v>6.4703643972271241E-2</v>
      </c>
      <c r="T16" s="763">
        <f t="shared" si="2"/>
        <v>6.4859761134355542E-2</v>
      </c>
      <c r="U16" s="2"/>
      <c r="V16" s="5">
        <f t="shared" si="0"/>
        <v>1</v>
      </c>
      <c r="W16" s="24">
        <v>1</v>
      </c>
      <c r="X16" s="1"/>
    </row>
    <row r="17" spans="3:24">
      <c r="C17" s="552" t="str">
        <f>'DCF - Financials'!C14</f>
        <v>Cost of Sales</v>
      </c>
      <c r="D17" s="552"/>
      <c r="E17" s="552"/>
      <c r="F17" s="552"/>
      <c r="G17" s="557"/>
      <c r="H17" s="557">
        <f>'DCF - Financials'!G15</f>
        <v>-4866</v>
      </c>
      <c r="I17" s="557">
        <f>'DCF - Financials'!H15</f>
        <v>-4654</v>
      </c>
      <c r="J17" s="557">
        <f>'DCF - Financials'!I15</f>
        <v>-5038</v>
      </c>
      <c r="K17" s="557">
        <f>'DCF - Financials'!J15</f>
        <v>-5973</v>
      </c>
      <c r="L17" s="557">
        <f>'DCF - Financials'!K15</f>
        <v>-6899</v>
      </c>
      <c r="M17" s="557">
        <f>'DCF - Financials'!L15</f>
        <v>-7110.1779999999999</v>
      </c>
      <c r="N17" s="557">
        <f>'DCF - Financials'!M15</f>
        <v>-7493.5204996000002</v>
      </c>
      <c r="O17" s="557">
        <f>'DCF - Financials'!N15</f>
        <v>-7929.3000103656004</v>
      </c>
      <c r="P17" s="557">
        <f>'DCF - Financials'!O15</f>
        <v>-8400.6419813104749</v>
      </c>
      <c r="Q17" s="557">
        <f>'DCF - Financials'!P15</f>
        <v>-8941.5432379554786</v>
      </c>
      <c r="R17" s="557">
        <f>'DCF - Financials'!Q15</f>
        <v>-9518.6878981603477</v>
      </c>
      <c r="S17" s="557">
        <f>'DCF - Financials'!R15</f>
        <v>-10134.581691006082</v>
      </c>
      <c r="T17" s="557">
        <f>'DCF - Financials'!S15</f>
        <v>-10791.90823868135</v>
      </c>
      <c r="U17" s="1"/>
      <c r="V17" s="5">
        <f t="shared" si="0"/>
        <v>1</v>
      </c>
      <c r="W17" s="24">
        <v>1</v>
      </c>
      <c r="X17" s="1"/>
    </row>
    <row r="18" spans="3:24">
      <c r="C18" s="917" t="s">
        <v>64</v>
      </c>
      <c r="D18" s="917"/>
      <c r="E18" s="917"/>
      <c r="F18" s="917"/>
      <c r="G18" s="918"/>
      <c r="H18" s="918">
        <f t="shared" ref="H18:T18" si="3">SUM(H17:H17)</f>
        <v>-4866</v>
      </c>
      <c r="I18" s="918">
        <f t="shared" si="3"/>
        <v>-4654</v>
      </c>
      <c r="J18" s="918">
        <f t="shared" si="3"/>
        <v>-5038</v>
      </c>
      <c r="K18" s="918">
        <f t="shared" si="3"/>
        <v>-5973</v>
      </c>
      <c r="L18" s="918">
        <f t="shared" si="3"/>
        <v>-6899</v>
      </c>
      <c r="M18" s="918">
        <f t="shared" si="3"/>
        <v>-7110.1779999999999</v>
      </c>
      <c r="N18" s="918">
        <f t="shared" si="3"/>
        <v>-7493.5204996000002</v>
      </c>
      <c r="O18" s="918">
        <f t="shared" si="3"/>
        <v>-7929.3000103656004</v>
      </c>
      <c r="P18" s="918">
        <f t="shared" si="3"/>
        <v>-8400.6419813104749</v>
      </c>
      <c r="Q18" s="918">
        <f t="shared" si="3"/>
        <v>-8941.5432379554786</v>
      </c>
      <c r="R18" s="918">
        <f t="shared" si="3"/>
        <v>-9518.6878981603477</v>
      </c>
      <c r="S18" s="918">
        <f t="shared" si="3"/>
        <v>-10134.581691006082</v>
      </c>
      <c r="T18" s="918">
        <f t="shared" si="3"/>
        <v>-10791.90823868135</v>
      </c>
      <c r="V18" s="5">
        <f t="shared" si="0"/>
        <v>1</v>
      </c>
      <c r="W18" s="24">
        <v>1</v>
      </c>
      <c r="X18" s="1"/>
    </row>
    <row r="19" spans="3:24">
      <c r="C19" s="552" t="str">
        <f>'DCF - Financials'!C21</f>
        <v>Marketing</v>
      </c>
      <c r="D19" s="552"/>
      <c r="E19" s="552"/>
      <c r="F19" s="552"/>
      <c r="G19" s="557"/>
      <c r="H19" s="557">
        <f>'DCF - Financials'!G21</f>
        <v>-2042</v>
      </c>
      <c r="I19" s="557">
        <f>'DCF - Financials'!H21</f>
        <v>-1841</v>
      </c>
      <c r="J19" s="557">
        <f>'DCF - Financials'!I21</f>
        <v>-2163</v>
      </c>
      <c r="K19" s="557">
        <f>'DCF - Financials'!J21</f>
        <v>-2721</v>
      </c>
      <c r="L19" s="557">
        <f>'DCF - Financials'!K21</f>
        <v>-3051</v>
      </c>
      <c r="M19" s="557">
        <f>'DCF - Financials'!L21</f>
        <v>-3252.9064349999999</v>
      </c>
      <c r="N19" s="557">
        <f>'DCF - Financials'!M21</f>
        <v>-3372.0842248199997</v>
      </c>
      <c r="O19" s="557">
        <f>'DCF - Financials'!N21</f>
        <v>-3568.18500466452</v>
      </c>
      <c r="P19" s="557">
        <f>'DCF - Financials'!O21</f>
        <v>-3780.2888915897133</v>
      </c>
      <c r="Q19" s="557">
        <f>'DCF - Financials'!P21</f>
        <v>-4023.6944570799651</v>
      </c>
      <c r="R19" s="557">
        <f>'DCF - Financials'!Q21</f>
        <v>-4235.8161146813545</v>
      </c>
      <c r="S19" s="557">
        <f>'DCF - Financials'!R21</f>
        <v>-4459.2159440426749</v>
      </c>
      <c r="T19" s="557">
        <f>'DCF - Financials'!S21</f>
        <v>-4721.4598544230903</v>
      </c>
      <c r="V19" s="5">
        <f t="shared" si="0"/>
        <v>1</v>
      </c>
      <c r="W19" s="24">
        <v>1</v>
      </c>
      <c r="X19" s="1"/>
    </row>
    <row r="20" spans="3:24">
      <c r="C20" s="552" t="str">
        <f>'DCF - Financials'!C22</f>
        <v>Other Operating Items</v>
      </c>
      <c r="D20" s="552"/>
      <c r="E20" s="552"/>
      <c r="F20" s="552"/>
      <c r="G20" s="557"/>
      <c r="H20" s="557">
        <f>'DCF - Financials'!G22</f>
        <v>-1917</v>
      </c>
      <c r="I20" s="557">
        <f>'DCF - Financials'!H22</f>
        <v>-3120</v>
      </c>
      <c r="J20" s="557">
        <f>'DCF - Financials'!I22</f>
        <v>-1801</v>
      </c>
      <c r="K20" s="557">
        <f>'DCF - Financials'!J22</f>
        <v>-2349</v>
      </c>
      <c r="L20" s="557">
        <f>'DCF - Financials'!K22</f>
        <v>-2531</v>
      </c>
      <c r="M20" s="557">
        <f>'DCF - Financials'!L22</f>
        <v>-3039.601095</v>
      </c>
      <c r="N20" s="557">
        <f>'DCF - Financials'!M22</f>
        <v>-3203.4800135790001</v>
      </c>
      <c r="O20" s="557">
        <f>'DCF - Financials'!N22</f>
        <v>-3389.775754431294</v>
      </c>
      <c r="P20" s="557">
        <f>'DCF - Financials'!O22</f>
        <v>-3591.274447010228</v>
      </c>
      <c r="Q20" s="557">
        <f>'DCF - Financials'!P22</f>
        <v>-3822.5097342259673</v>
      </c>
      <c r="R20" s="557">
        <f>'DCF - Financials'!Q22</f>
        <v>-4069.2390764635488</v>
      </c>
      <c r="S20" s="557">
        <f>'DCF - Financials'!R22</f>
        <v>-4332.5336729050996</v>
      </c>
      <c r="T20" s="557">
        <f>'DCF - Financials'!S22</f>
        <v>-4613.5407720362773</v>
      </c>
      <c r="V20" s="5">
        <f t="shared" si="0"/>
        <v>1</v>
      </c>
      <c r="W20" s="24">
        <v>1</v>
      </c>
      <c r="X20" s="1"/>
    </row>
    <row r="21" spans="3:24">
      <c r="C21" s="917" t="s">
        <v>65</v>
      </c>
      <c r="D21" s="917"/>
      <c r="E21" s="917"/>
      <c r="F21" s="917"/>
      <c r="G21" s="918"/>
      <c r="H21" s="918">
        <f>SUM(H19:H20)</f>
        <v>-3959</v>
      </c>
      <c r="I21" s="918">
        <f>SUM(I19:I20)</f>
        <v>-4961</v>
      </c>
      <c r="J21" s="918">
        <f t="shared" ref="J21:T21" si="4">SUM(J19:J20)</f>
        <v>-3964</v>
      </c>
      <c r="K21" s="918">
        <f t="shared" si="4"/>
        <v>-5070</v>
      </c>
      <c r="L21" s="918">
        <f t="shared" si="4"/>
        <v>-5582</v>
      </c>
      <c r="M21" s="918">
        <f t="shared" si="4"/>
        <v>-6292.5075299999999</v>
      </c>
      <c r="N21" s="918">
        <f t="shared" si="4"/>
        <v>-6575.5642383989998</v>
      </c>
      <c r="O21" s="918">
        <f t="shared" si="4"/>
        <v>-6957.960759095814</v>
      </c>
      <c r="P21" s="918">
        <f t="shared" si="4"/>
        <v>-7371.5633385999408</v>
      </c>
      <c r="Q21" s="918">
        <f t="shared" si="4"/>
        <v>-7846.2041913059329</v>
      </c>
      <c r="R21" s="918">
        <f t="shared" si="4"/>
        <v>-8305.0551911449038</v>
      </c>
      <c r="S21" s="918">
        <f t="shared" si="4"/>
        <v>-8791.7496169477745</v>
      </c>
      <c r="T21" s="918">
        <f t="shared" si="4"/>
        <v>-9335.0006264593685</v>
      </c>
      <c r="V21" s="5">
        <f t="shared" si="0"/>
        <v>1</v>
      </c>
      <c r="W21" s="24">
        <v>1</v>
      </c>
      <c r="X21" s="1"/>
    </row>
    <row r="22" spans="3:24">
      <c r="C22" s="552"/>
      <c r="D22" s="552"/>
      <c r="E22" s="552"/>
      <c r="F22" s="552"/>
      <c r="G22" s="557"/>
      <c r="H22" s="557"/>
      <c r="I22" s="557"/>
      <c r="J22" s="557"/>
      <c r="K22" s="557"/>
      <c r="L22" s="557"/>
      <c r="M22" s="557"/>
      <c r="N22" s="557"/>
      <c r="O22" s="557"/>
      <c r="P22" s="557"/>
      <c r="Q22" s="557"/>
      <c r="R22" s="557"/>
      <c r="S22" s="557"/>
      <c r="T22" s="557"/>
      <c r="V22" s="5">
        <f t="shared" si="0"/>
        <v>0</v>
      </c>
      <c r="W22" s="24">
        <v>0</v>
      </c>
      <c r="X22" s="1"/>
    </row>
    <row r="23" spans="3:24">
      <c r="C23" s="561" t="s">
        <v>66</v>
      </c>
      <c r="D23" s="553"/>
      <c r="E23" s="553"/>
      <c r="F23" s="553"/>
      <c r="G23" s="553"/>
      <c r="H23" s="553">
        <f>'DCF - Financials'!G49</f>
        <v>4872</v>
      </c>
      <c r="I23" s="553">
        <f>'DCF - Financials'!H49</f>
        <v>4235</v>
      </c>
      <c r="J23" s="553">
        <f>'DCF - Financials'!I49</f>
        <v>4526</v>
      </c>
      <c r="K23" s="553">
        <f>'DCF - Financials'!J49</f>
        <v>5637</v>
      </c>
      <c r="L23" s="553">
        <f>'DCF - Financials'!K49</f>
        <v>6396</v>
      </c>
      <c r="M23" s="553">
        <f>'DCF - Financials'!L49</f>
        <v>6828.7414453014162</v>
      </c>
      <c r="N23" s="553">
        <f>'DCF - Financials'!M49</f>
        <v>6453.7417254671418</v>
      </c>
      <c r="O23" s="553">
        <f>'DCF - Financials'!N49</f>
        <v>6939.503986234462</v>
      </c>
      <c r="P23" s="553">
        <f>'DCF - Financials'!O49</f>
        <v>7364.5173423140604</v>
      </c>
      <c r="Q23" s="553">
        <f>'DCF - Financials'!P49</f>
        <v>7946.1982327167962</v>
      </c>
      <c r="R23" s="553">
        <f>'DCF - Financials'!Q49</f>
        <v>8319.3347354496746</v>
      </c>
      <c r="S23" s="553">
        <f>'DCF - Financials'!R49</f>
        <v>8930.3778566957517</v>
      </c>
      <c r="T23" s="553">
        <f>'DCF - Financials'!S49</f>
        <v>9528.9534360182752</v>
      </c>
      <c r="V23" s="5">
        <f t="shared" si="0"/>
        <v>1</v>
      </c>
      <c r="W23" s="24">
        <v>1</v>
      </c>
      <c r="X23" s="2"/>
    </row>
    <row r="24" spans="3:24">
      <c r="C24" s="552" t="str">
        <f>'DCF - Financials'!C51</f>
        <v>Lease Interest</v>
      </c>
      <c r="D24" s="552"/>
      <c r="E24" s="552"/>
      <c r="F24" s="552"/>
      <c r="G24" s="557"/>
      <c r="H24" s="557">
        <f>'DCF - Financials'!G51</f>
        <v>-7</v>
      </c>
      <c r="I24" s="557">
        <f>'DCF - Financials'!H51</f>
        <v>-15</v>
      </c>
      <c r="J24" s="557">
        <f>'DCF - Financials'!I51</f>
        <v>-16</v>
      </c>
      <c r="K24" s="557">
        <f>'DCF - Financials'!J51</f>
        <v>-12</v>
      </c>
      <c r="L24" s="557">
        <f>'DCF - Financials'!K51</f>
        <v>-15</v>
      </c>
      <c r="M24" s="557">
        <f>'DCF - Financials'!L51</f>
        <v>-14.736116535403923</v>
      </c>
      <c r="N24" s="557">
        <f>'DCF - Financials'!M51</f>
        <v>-15.014981420173044</v>
      </c>
      <c r="O24" s="557">
        <f>'DCF - Financials'!N51</f>
        <v>-15.779876690785676</v>
      </c>
      <c r="P24" s="557">
        <f>'DCF - Financials'!O51</f>
        <v>-16.56796058343819</v>
      </c>
      <c r="Q24" s="557">
        <f>'DCF - Financials'!P51</f>
        <v>-17.409644444793489</v>
      </c>
      <c r="R24" s="557">
        <f>'DCF - Financials'!Q51</f>
        <v>-18.316375677836007</v>
      </c>
      <c r="S24" s="557">
        <f>'DCF - Financials'!R51</f>
        <v>-19.274316256239711</v>
      </c>
      <c r="T24" s="557">
        <f>'DCF - Financials'!S51</f>
        <v>-20.291182804965413</v>
      </c>
      <c r="V24" s="5">
        <f t="shared" si="0"/>
        <v>1</v>
      </c>
      <c r="W24" s="24">
        <v>1</v>
      </c>
      <c r="X24" s="1"/>
    </row>
    <row r="25" spans="3:24">
      <c r="C25" s="552" t="str">
        <f>'DCF - Financials'!C52</f>
        <v>Non-operating items</v>
      </c>
      <c r="D25" s="552"/>
      <c r="E25" s="552"/>
      <c r="F25" s="552"/>
      <c r="G25" s="557"/>
      <c r="H25" s="557">
        <f>'DCF - Financials'!G52</f>
        <v>-144</v>
      </c>
      <c r="I25" s="557">
        <f>'DCF - Financials'!H52</f>
        <v>23</v>
      </c>
      <c r="J25" s="557">
        <f>'DCF - Financials'!I52</f>
        <v>-14</v>
      </c>
      <c r="K25" s="557">
        <f>'DCF - Financials'!J52</f>
        <v>17</v>
      </c>
      <c r="L25" s="557">
        <f>'DCF - Financials'!K52</f>
        <v>-328</v>
      </c>
      <c r="M25" s="557">
        <f>'DCF - Financials'!L52</f>
        <v>0</v>
      </c>
      <c r="N25" s="557">
        <f>'DCF - Financials'!M52</f>
        <v>0</v>
      </c>
      <c r="O25" s="557">
        <f>'DCF - Financials'!N52</f>
        <v>0</v>
      </c>
      <c r="P25" s="557">
        <f>'DCF - Financials'!O52</f>
        <v>0</v>
      </c>
      <c r="Q25" s="557">
        <f>'DCF - Financials'!P52</f>
        <v>0</v>
      </c>
      <c r="R25" s="557">
        <f>'DCF - Financials'!Q52</f>
        <v>0</v>
      </c>
      <c r="S25" s="557">
        <f>'DCF - Financials'!R52</f>
        <v>0</v>
      </c>
      <c r="T25" s="557">
        <f>'DCF - Financials'!S52</f>
        <v>0</v>
      </c>
      <c r="V25" s="5">
        <f t="shared" si="0"/>
        <v>1</v>
      </c>
      <c r="W25" s="24">
        <v>1</v>
      </c>
      <c r="X25" s="1"/>
    </row>
    <row r="26" spans="3:24">
      <c r="C26" s="561" t="s">
        <v>67</v>
      </c>
      <c r="D26" s="553"/>
      <c r="E26" s="553"/>
      <c r="F26" s="553"/>
      <c r="G26" s="553"/>
      <c r="H26" s="553">
        <f>SUM(H23:H25)</f>
        <v>4721</v>
      </c>
      <c r="I26" s="553">
        <f t="shared" ref="I26:T26" si="5">SUM(I23:I25)</f>
        <v>4243</v>
      </c>
      <c r="J26" s="553">
        <f t="shared" si="5"/>
        <v>4496</v>
      </c>
      <c r="K26" s="553">
        <f t="shared" si="5"/>
        <v>5642</v>
      </c>
      <c r="L26" s="553">
        <f t="shared" si="5"/>
        <v>6053</v>
      </c>
      <c r="M26" s="553">
        <f>SUM(M23:M25)</f>
        <v>6814.0053287660121</v>
      </c>
      <c r="N26" s="553">
        <f t="shared" si="5"/>
        <v>6438.7267440469686</v>
      </c>
      <c r="O26" s="553">
        <f t="shared" si="5"/>
        <v>6923.7241095436766</v>
      </c>
      <c r="P26" s="553">
        <f t="shared" si="5"/>
        <v>7347.949381730622</v>
      </c>
      <c r="Q26" s="553">
        <f t="shared" si="5"/>
        <v>7928.7885882720029</v>
      </c>
      <c r="R26" s="553">
        <f t="shared" si="5"/>
        <v>8301.0183597718387</v>
      </c>
      <c r="S26" s="553">
        <f t="shared" si="5"/>
        <v>8911.1035404395116</v>
      </c>
      <c r="T26" s="553">
        <f t="shared" si="5"/>
        <v>9508.6622532133097</v>
      </c>
      <c r="V26" s="5">
        <f t="shared" si="0"/>
        <v>1</v>
      </c>
      <c r="W26" s="24">
        <v>1</v>
      </c>
      <c r="X26" s="2"/>
    </row>
    <row r="27" spans="3:24">
      <c r="C27" s="761" t="s">
        <v>68</v>
      </c>
      <c r="D27" s="762"/>
      <c r="E27" s="762"/>
      <c r="F27" s="762"/>
      <c r="G27" s="763"/>
      <c r="H27" s="763">
        <f t="shared" ref="H27:T27" si="6">IFERROR(H26/H15,0)</f>
        <v>0.36690759306753712</v>
      </c>
      <c r="I27" s="763">
        <f t="shared" si="6"/>
        <v>0.36104492852280462</v>
      </c>
      <c r="J27" s="763">
        <f t="shared" si="6"/>
        <v>0.35309824864525247</v>
      </c>
      <c r="K27" s="763">
        <f t="shared" si="6"/>
        <v>0.36513072741392699</v>
      </c>
      <c r="L27" s="763">
        <f t="shared" si="6"/>
        <v>0.35370770759072051</v>
      </c>
      <c r="M27" s="763">
        <f>IFERROR(M26/M15,0)</f>
        <v>0.38333810088951431</v>
      </c>
      <c r="N27" s="763">
        <f>IFERROR(N26/N15,0)</f>
        <v>0.34369568986383181</v>
      </c>
      <c r="O27" s="763">
        <f>IFERROR(O26/O15,0)</f>
        <v>0.34927290431652824</v>
      </c>
      <c r="P27" s="763">
        <f>IFERROR(P26/P15,0)</f>
        <v>0.34987561179624821</v>
      </c>
      <c r="Q27" s="763">
        <f>IFERROR(Q26/Q15,0)</f>
        <v>0.3546944135824569</v>
      </c>
      <c r="R27" s="763">
        <f>IFERROR(R26/R15,0)</f>
        <v>0.34883036185590899</v>
      </c>
      <c r="S27" s="763">
        <f t="shared" si="6"/>
        <v>0.35171075875179564</v>
      </c>
      <c r="T27" s="763">
        <f t="shared" si="6"/>
        <v>0.3524367347428507</v>
      </c>
      <c r="V27" s="5">
        <f t="shared" si="0"/>
        <v>1</v>
      </c>
      <c r="W27" s="24">
        <v>1</v>
      </c>
      <c r="X27" s="1"/>
    </row>
    <row r="28" spans="3:24">
      <c r="C28" s="761" t="s">
        <v>69</v>
      </c>
      <c r="D28" s="762"/>
      <c r="E28" s="762"/>
      <c r="F28" s="762"/>
      <c r="G28" s="763"/>
      <c r="H28" s="763"/>
      <c r="I28" s="763">
        <f t="shared" ref="I28:T28" si="7">IFERROR(IF(OR(H26&lt;0,I26&lt;0),0,I26/H26-1),0)</f>
        <v>-0.10124973522558778</v>
      </c>
      <c r="J28" s="763">
        <f t="shared" si="7"/>
        <v>5.962762196559046E-2</v>
      </c>
      <c r="K28" s="763">
        <f t="shared" si="7"/>
        <v>0.25489323843416378</v>
      </c>
      <c r="L28" s="763">
        <f t="shared" si="7"/>
        <v>7.2846508330379312E-2</v>
      </c>
      <c r="M28" s="763">
        <f>IFERROR(IF(OR(L26&lt;0,M26&lt;0),0,M26/L26-1),0)</f>
        <v>0.12572366244275757</v>
      </c>
      <c r="N28" s="763">
        <f>IFERROR(IF(OR(M26&lt;0,N26&lt;0),0,N26/M26-1),0)</f>
        <v>-5.5074595133462356E-2</v>
      </c>
      <c r="O28" s="763">
        <f>IFERROR(IF(OR(N26&lt;0,O26&lt;0),0,O26/N26-1),0)</f>
        <v>7.5325042477555115E-2</v>
      </c>
      <c r="P28" s="763">
        <f>IFERROR(IF(OR(O26&lt;0,P26&lt;0),0,P26/O26-1),0)</f>
        <v>6.1271255970784866E-2</v>
      </c>
      <c r="Q28" s="763">
        <f>IFERROR(IF(OR(P26&lt;0,Q26&lt;0),0,Q26/P26-1),0)</f>
        <v>7.9047796380516067E-2</v>
      </c>
      <c r="R28" s="763">
        <f t="shared" si="7"/>
        <v>4.6946613263270098E-2</v>
      </c>
      <c r="S28" s="763">
        <f t="shared" si="7"/>
        <v>7.3495221215778894E-2</v>
      </c>
      <c r="T28" s="763">
        <f t="shared" si="7"/>
        <v>6.7057767880489116E-2</v>
      </c>
      <c r="V28" s="5">
        <f t="shared" si="0"/>
        <v>1</v>
      </c>
      <c r="W28" s="24">
        <v>1</v>
      </c>
      <c r="X28" s="1"/>
    </row>
    <row r="29" spans="3:24">
      <c r="C29" s="2"/>
      <c r="D29" s="2"/>
      <c r="E29" s="554"/>
      <c r="F29" s="554"/>
      <c r="G29" s="2"/>
      <c r="H29" s="2"/>
      <c r="I29" s="2"/>
      <c r="J29" s="2"/>
      <c r="K29" s="2"/>
      <c r="L29" s="2"/>
      <c r="M29" s="2"/>
      <c r="N29" s="2"/>
      <c r="O29" s="2"/>
      <c r="P29" s="2"/>
      <c r="Q29" s="2"/>
      <c r="R29" s="2"/>
      <c r="S29" s="2"/>
      <c r="T29" s="2"/>
      <c r="V29" s="5">
        <f t="shared" si="0"/>
        <v>0</v>
      </c>
      <c r="W29" s="24">
        <v>0</v>
      </c>
      <c r="X29" s="1"/>
    </row>
    <row r="30" spans="3:24">
      <c r="C30" s="926" t="s">
        <v>70</v>
      </c>
      <c r="D30" s="927"/>
      <c r="E30" s="927"/>
      <c r="F30" s="927"/>
      <c r="G30" s="927"/>
      <c r="H30" s="927"/>
      <c r="I30" s="927"/>
      <c r="J30" s="927"/>
      <c r="K30" s="927"/>
      <c r="L30" s="927"/>
      <c r="M30" s="927"/>
      <c r="N30" s="927"/>
      <c r="O30" s="927"/>
      <c r="P30" s="927"/>
      <c r="Q30" s="927"/>
      <c r="R30" s="927"/>
      <c r="S30" s="927"/>
      <c r="T30" s="927"/>
      <c r="V30" s="5">
        <f t="shared" si="0"/>
        <v>1</v>
      </c>
      <c r="W30" s="24">
        <v>1</v>
      </c>
      <c r="X30" s="1"/>
    </row>
    <row r="31" spans="3:24">
      <c r="C31" s="559"/>
      <c r="D31" s="559"/>
      <c r="E31" s="559"/>
      <c r="F31" s="559"/>
      <c r="G31" s="559"/>
      <c r="H31" s="559"/>
      <c r="I31" s="559"/>
      <c r="J31" s="559"/>
      <c r="K31" s="559"/>
      <c r="L31" s="559"/>
      <c r="M31" s="1111" t="s">
        <v>60</v>
      </c>
      <c r="N31" s="1111"/>
      <c r="O31" s="1111"/>
      <c r="P31" s="1111"/>
      <c r="Q31" s="1111"/>
      <c r="R31" s="1111"/>
      <c r="S31" s="1111"/>
      <c r="T31" s="1111"/>
      <c r="V31" s="5">
        <f t="shared" si="0"/>
        <v>0</v>
      </c>
      <c r="W31" s="24">
        <v>0</v>
      </c>
      <c r="X31" s="1"/>
    </row>
    <row r="32" spans="3:24">
      <c r="C32" s="1231" t="str">
        <f>'DCF - Outputs'!C7</f>
        <v>* All amounts in millions of pounds sterling except per share and multiples</v>
      </c>
      <c r="D32" s="1113"/>
      <c r="E32" s="1113"/>
      <c r="F32" s="1113"/>
      <c r="G32" s="1113"/>
      <c r="H32" s="1113">
        <f>'DCF - Assumptions'!G$7</f>
        <v>2019</v>
      </c>
      <c r="I32" s="1113">
        <f>'DCF - Assumptions'!H$7</f>
        <v>2020</v>
      </c>
      <c r="J32" s="1113">
        <f>'DCF - Assumptions'!I$7</f>
        <v>2021</v>
      </c>
      <c r="K32" s="1113">
        <f>'DCF - Assumptions'!J$7</f>
        <v>2022</v>
      </c>
      <c r="L32" s="1113">
        <f>'DCF - Assumptions'!K$7</f>
        <v>2023</v>
      </c>
      <c r="M32" s="1114">
        <f>'DCF - Assumptions'!L$7</f>
        <v>2024</v>
      </c>
      <c r="N32" s="1114">
        <f>'DCF - Assumptions'!M$7</f>
        <v>2025</v>
      </c>
      <c r="O32" s="1114">
        <f>'DCF - Assumptions'!N$7</f>
        <v>2026</v>
      </c>
      <c r="P32" s="1114">
        <f>'DCF - Assumptions'!O$7</f>
        <v>2027</v>
      </c>
      <c r="Q32" s="1114">
        <f>'DCF - Assumptions'!P$7</f>
        <v>2028</v>
      </c>
      <c r="R32" s="1115">
        <f>'DCF - Assumptions'!Q$7</f>
        <v>2029</v>
      </c>
      <c r="S32" s="1114">
        <f>'DCF - Assumptions'!R$7</f>
        <v>2030</v>
      </c>
      <c r="T32" s="1115">
        <f>'DCF - Assumptions'!S$7</f>
        <v>2031</v>
      </c>
      <c r="V32" s="5">
        <f t="shared" si="0"/>
        <v>1</v>
      </c>
      <c r="W32" s="24">
        <v>1</v>
      </c>
      <c r="X32" s="1"/>
    </row>
    <row r="33" spans="3:24">
      <c r="C33" s="770"/>
      <c r="D33" s="771"/>
      <c r="E33" s="771"/>
      <c r="F33" s="771"/>
      <c r="G33" s="771"/>
      <c r="H33" s="771"/>
      <c r="I33" s="771"/>
      <c r="J33" s="771"/>
      <c r="K33" s="771"/>
      <c r="L33" s="771"/>
      <c r="M33" s="772"/>
      <c r="N33" s="772"/>
      <c r="O33" s="772"/>
      <c r="P33" s="772"/>
      <c r="Q33" s="772"/>
      <c r="R33" s="773"/>
      <c r="S33" s="772"/>
      <c r="T33" s="773"/>
      <c r="V33" s="5">
        <f t="shared" si="0"/>
        <v>0</v>
      </c>
      <c r="W33" s="24">
        <v>0</v>
      </c>
      <c r="X33" s="1"/>
    </row>
    <row r="34" spans="3:24">
      <c r="C34" s="764" t="str">
        <f>C26</f>
        <v>Adjusted EBITDA</v>
      </c>
      <c r="D34" s="757"/>
      <c r="E34" s="757"/>
      <c r="F34" s="757"/>
      <c r="G34" s="757"/>
      <c r="H34" s="757">
        <f t="shared" ref="H34:T34" si="8">H26</f>
        <v>4721</v>
      </c>
      <c r="I34" s="757">
        <f t="shared" si="8"/>
        <v>4243</v>
      </c>
      <c r="J34" s="757">
        <f t="shared" si="8"/>
        <v>4496</v>
      </c>
      <c r="K34" s="757">
        <f t="shared" si="8"/>
        <v>5642</v>
      </c>
      <c r="L34" s="757">
        <f t="shared" si="8"/>
        <v>6053</v>
      </c>
      <c r="M34" s="757">
        <f t="shared" si="8"/>
        <v>6814.0053287660121</v>
      </c>
      <c r="N34" s="757">
        <f t="shared" si="8"/>
        <v>6438.7267440469686</v>
      </c>
      <c r="O34" s="757">
        <f t="shared" si="8"/>
        <v>6923.7241095436766</v>
      </c>
      <c r="P34" s="757">
        <f t="shared" si="8"/>
        <v>7347.949381730622</v>
      </c>
      <c r="Q34" s="757">
        <f t="shared" si="8"/>
        <v>7928.7885882720029</v>
      </c>
      <c r="R34" s="757">
        <f t="shared" si="8"/>
        <v>8301.0183597718387</v>
      </c>
      <c r="S34" s="757">
        <f t="shared" si="8"/>
        <v>8911.1035404395116</v>
      </c>
      <c r="T34" s="757">
        <f t="shared" si="8"/>
        <v>9508.6622532133097</v>
      </c>
      <c r="V34" s="5">
        <f t="shared" si="0"/>
        <v>1</v>
      </c>
      <c r="W34" s="24">
        <v>1</v>
      </c>
      <c r="X34" s="2"/>
    </row>
    <row r="35" spans="3:24">
      <c r="C35" s="552" t="s">
        <v>71</v>
      </c>
      <c r="D35" s="552"/>
      <c r="E35" s="552"/>
      <c r="F35" s="552"/>
      <c r="G35" s="557"/>
      <c r="H35" s="557">
        <f>SUM('DCF - Financials'!G62:G64)-'DCF - Financials'!G51-'DCF - Financials'!G48</f>
        <v>-194</v>
      </c>
      <c r="I35" s="557">
        <f>SUM('DCF - Financials'!H62:H64)-'DCF - Financials'!H51-'DCF - Financials'!H48</f>
        <v>-386</v>
      </c>
      <c r="J35" s="557">
        <f>SUM('DCF - Financials'!I62:I64)-'DCF - Financials'!I51-'DCF - Financials'!I48</f>
        <v>30</v>
      </c>
      <c r="K35" s="557">
        <f>SUM('DCF - Financials'!J62:J64)-'DCF - Financials'!J51-'DCF - Financials'!J48</f>
        <v>-251</v>
      </c>
      <c r="L35" s="557">
        <f>SUM('DCF - Financials'!K62:K64)-'DCF - Financials'!K51-'DCF - Financials'!K48</f>
        <v>-99</v>
      </c>
      <c r="M35" s="557">
        <f>SUM('DCF - Financials'!L62:L64)-'DCF - Financials'!L51-'DCF - Financials'!L48</f>
        <v>-136.26388346459606</v>
      </c>
      <c r="N35" s="557">
        <f>SUM('DCF - Financials'!M62:M64)-'DCF - Financials'!M51-'DCF - Financials'!M48</f>
        <v>-135.98501857982694</v>
      </c>
      <c r="O35" s="557">
        <f>SUM('DCF - Financials'!N62:N64)-'DCF - Financials'!N51-'DCF - Financials'!N48</f>
        <v>-135.22012330921433</v>
      </c>
      <c r="P35" s="557">
        <f>SUM('DCF - Financials'!O62:O64)-'DCF - Financials'!O51-'DCF - Financials'!O48</f>
        <v>-134.43203941656182</v>
      </c>
      <c r="Q35" s="557">
        <f>SUM('DCF - Financials'!P62:P64)-'DCF - Financials'!P51-'DCF - Financials'!P48</f>
        <v>-133.59035555520651</v>
      </c>
      <c r="R35" s="557">
        <f>SUM('DCF - Financials'!Q62:Q64)-'DCF - Financials'!Q51-'DCF - Financials'!Q48</f>
        <v>-132.68362432216401</v>
      </c>
      <c r="S35" s="557">
        <f>SUM('DCF - Financials'!R62:R64)-'DCF - Financials'!R51-'DCF - Financials'!R48</f>
        <v>-131.7256837437603</v>
      </c>
      <c r="T35" s="557">
        <f>SUM('DCF - Financials'!S62:S64)-'DCF - Financials'!S51-'DCF - Financials'!S48</f>
        <v>-130.70881719503458</v>
      </c>
      <c r="V35" s="5">
        <f t="shared" si="0"/>
        <v>1</v>
      </c>
      <c r="W35" s="24">
        <v>1</v>
      </c>
      <c r="X35" s="2"/>
    </row>
    <row r="36" spans="3:24">
      <c r="C36" s="552" t="str">
        <f>'DCF - Financials'!C34</f>
        <v>Provision for income taxes</v>
      </c>
      <c r="D36" s="552"/>
      <c r="E36" s="552"/>
      <c r="F36" s="552"/>
      <c r="G36" s="557"/>
      <c r="H36" s="557">
        <f>'DCF - Financials'!G69</f>
        <v>-805</v>
      </c>
      <c r="I36" s="557">
        <f>'DCF - Financials'!H69</f>
        <v>-901</v>
      </c>
      <c r="J36" s="557">
        <f>'DCF - Financials'!I69</f>
        <v>-852</v>
      </c>
      <c r="K36" s="557">
        <f>'DCF - Financials'!J69</f>
        <v>-949</v>
      </c>
      <c r="L36" s="557">
        <f>'DCF - Financials'!K69</f>
        <v>-1201</v>
      </c>
      <c r="M36" s="557">
        <f>'DCF - Financials'!L69</f>
        <v>-855.30696774954936</v>
      </c>
      <c r="N36" s="557">
        <f>'DCF - Financials'!M69</f>
        <v>-921.16279996590652</v>
      </c>
      <c r="O36" s="557">
        <f>'DCF - Financials'!N69</f>
        <v>-999.56149947618792</v>
      </c>
      <c r="P36" s="557">
        <f>'DCF - Financials'!O69</f>
        <v>-1047.2734109600706</v>
      </c>
      <c r="Q36" s="557">
        <f>'DCF - Financials'!P69</f>
        <v>-1137.7222412757085</v>
      </c>
      <c r="R36" s="557">
        <f>'DCF - Financials'!Q69</f>
        <v>-1213.3818734788995</v>
      </c>
      <c r="S36" s="557">
        <f>'DCF - Financials'!R69</f>
        <v>-1298.9454083837934</v>
      </c>
      <c r="T36" s="557">
        <f>'DCF - Financials'!S69</f>
        <v>-1381.4144548992883</v>
      </c>
      <c r="V36" s="5">
        <f t="shared" si="0"/>
        <v>1</v>
      </c>
      <c r="W36" s="24">
        <v>1</v>
      </c>
      <c r="X36" s="2"/>
    </row>
    <row r="37" spans="3:24">
      <c r="C37" s="552" t="s">
        <v>72</v>
      </c>
      <c r="D37" s="552"/>
      <c r="E37" s="552"/>
      <c r="F37" s="552"/>
      <c r="G37" s="557"/>
      <c r="H37" s="557">
        <f>'DCF - Financials'!G75</f>
        <v>-222</v>
      </c>
      <c r="I37" s="557">
        <f>'DCF - Financials'!H75</f>
        <v>-328</v>
      </c>
      <c r="J37" s="557">
        <f>'DCF - Financials'!I75</f>
        <v>331</v>
      </c>
      <c r="K37" s="557">
        <f>'DCF - Financials'!J75</f>
        <v>-179</v>
      </c>
      <c r="L37" s="557">
        <f>'DCF - Financials'!K75</f>
        <v>-1175</v>
      </c>
      <c r="M37" s="557">
        <f>'DCF - Financials'!L75</f>
        <v>61.222667788690273</v>
      </c>
      <c r="N37" s="557">
        <f>'DCF - Financials'!M75</f>
        <v>-226.75591377864254</v>
      </c>
      <c r="O37" s="557">
        <f>'DCF - Financials'!N75</f>
        <v>-258.54097130974651</v>
      </c>
      <c r="P37" s="557">
        <f>'DCF - Financials'!O75</f>
        <v>-278.16160084833206</v>
      </c>
      <c r="Q37" s="557">
        <f>'DCF - Financials'!P75</f>
        <v>-320.00158564526726</v>
      </c>
      <c r="R37" s="557">
        <f>'DCF - Financials'!Q75</f>
        <v>-338.66769810978872</v>
      </c>
      <c r="S37" s="557">
        <f>'DCF - Financials'!R75</f>
        <v>-358.44209212896442</v>
      </c>
      <c r="T37" s="557">
        <f>'DCF - Financials'!S75</f>
        <v>-379.39104186720851</v>
      </c>
      <c r="V37" s="5">
        <f t="shared" si="0"/>
        <v>1</v>
      </c>
      <c r="W37" s="24">
        <v>1</v>
      </c>
      <c r="X37" s="2"/>
    </row>
    <row r="38" spans="3:24">
      <c r="C38" s="552" t="s">
        <v>73</v>
      </c>
      <c r="D38" s="552"/>
      <c r="E38" s="552"/>
      <c r="F38" s="552"/>
      <c r="G38" s="557"/>
      <c r="H38" s="557">
        <f>'DCF - Financials'!G116</f>
        <v>-270</v>
      </c>
      <c r="I38" s="557">
        <f>'DCF - Financials'!H116</f>
        <v>-805</v>
      </c>
      <c r="J38" s="557">
        <f>'DCF - Financials'!I116</f>
        <v>-1091</v>
      </c>
      <c r="K38" s="557">
        <f>'DCF - Financials'!J116</f>
        <v>-1341</v>
      </c>
      <c r="L38" s="557">
        <f>'DCF - Financials'!K116</f>
        <v>-1197</v>
      </c>
      <c r="M38" s="557">
        <f>'DCF - Financials'!L116</f>
        <v>-1606.0000536129971</v>
      </c>
      <c r="N38" s="557">
        <f>'DCF - Financials'!M116</f>
        <v>-1639.630873293281</v>
      </c>
      <c r="O38" s="557">
        <f>'DCF - Financials'!N116</f>
        <v>-1692.3587027283584</v>
      </c>
      <c r="P38" s="557">
        <f>'DCF - Financials'!O116</f>
        <v>-1797.750259206839</v>
      </c>
      <c r="Q38" s="557">
        <f>'DCF - Financials'!P116</f>
        <v>-1949.5077890605892</v>
      </c>
      <c r="R38" s="557">
        <f>'DCF - Financials'!Q116</f>
        <v>-2056.6723458540055</v>
      </c>
      <c r="S38" s="557">
        <f>'DCF - Financials'!R116</f>
        <v>-2182.8051297068132</v>
      </c>
      <c r="T38" s="557">
        <f>'DCF - Financials'!S116</f>
        <v>-2329.6446518329308</v>
      </c>
      <c r="V38" s="5">
        <f t="shared" si="0"/>
        <v>1</v>
      </c>
      <c r="W38" s="24">
        <v>1</v>
      </c>
      <c r="X38" s="2"/>
    </row>
    <row r="39" spans="3:24">
      <c r="C39" s="553" t="s">
        <v>74</v>
      </c>
      <c r="D39" s="553"/>
      <c r="E39" s="553"/>
      <c r="F39" s="553"/>
      <c r="G39" s="553"/>
      <c r="H39" s="553">
        <f t="shared" ref="H39" si="9">SUM(H34:H38)</f>
        <v>3230</v>
      </c>
      <c r="I39" s="553">
        <f>SUM(I34:I38)</f>
        <v>1823</v>
      </c>
      <c r="J39" s="553">
        <f t="shared" ref="J39:T39" si="10">SUM(J34:J38)</f>
        <v>2914</v>
      </c>
      <c r="K39" s="553">
        <f t="shared" si="10"/>
        <v>2922</v>
      </c>
      <c r="L39" s="553">
        <f t="shared" si="10"/>
        <v>2381</v>
      </c>
      <c r="M39" s="553">
        <f t="shared" si="10"/>
        <v>4277.6570917275594</v>
      </c>
      <c r="N39" s="553">
        <f t="shared" si="10"/>
        <v>3515.1921384293109</v>
      </c>
      <c r="O39" s="553">
        <f t="shared" si="10"/>
        <v>3838.0428127201694</v>
      </c>
      <c r="P39" s="553">
        <f t="shared" si="10"/>
        <v>4090.3320712988184</v>
      </c>
      <c r="Q39" s="553">
        <f t="shared" si="10"/>
        <v>4387.9666167352316</v>
      </c>
      <c r="R39" s="553">
        <f t="shared" si="10"/>
        <v>4559.6128180069809</v>
      </c>
      <c r="S39" s="553">
        <f t="shared" si="10"/>
        <v>4939.1852264761801</v>
      </c>
      <c r="T39" s="553">
        <f t="shared" si="10"/>
        <v>5287.5032874188473</v>
      </c>
      <c r="V39" s="5">
        <f t="shared" si="0"/>
        <v>1</v>
      </c>
      <c r="W39" s="24">
        <v>1</v>
      </c>
      <c r="X39" s="2"/>
    </row>
    <row r="40" spans="3:24">
      <c r="C40" s="552" t="s">
        <v>75</v>
      </c>
      <c r="D40" s="552"/>
      <c r="E40" s="552"/>
      <c r="F40" s="552"/>
      <c r="G40" s="557"/>
      <c r="H40" s="557">
        <f>SUM('DCF - Financials'!G65:G68)</f>
        <v>-252</v>
      </c>
      <c r="I40" s="557">
        <f>SUM('DCF - Financials'!H65:H68)</f>
        <v>-308</v>
      </c>
      <c r="J40" s="557">
        <f>SUM('DCF - Financials'!I65:I68)</f>
        <v>-351</v>
      </c>
      <c r="K40" s="557">
        <f>SUM('DCF - Financials'!J65:J68)</f>
        <v>-328</v>
      </c>
      <c r="L40" s="557">
        <f>SUM('DCF - Financials'!K65:K68)</f>
        <v>-554</v>
      </c>
      <c r="M40" s="557">
        <f>SUM('DCF - Financials'!L65:L68)</f>
        <v>-566.45591653540396</v>
      </c>
      <c r="N40" s="557">
        <f>SUM('DCF - Financials'!M65:M68)</f>
        <v>-536.85127679247273</v>
      </c>
      <c r="O40" s="557">
        <f>SUM('DCF - Financials'!N65:N68)</f>
        <v>-425.31787229151075</v>
      </c>
      <c r="P40" s="557">
        <f>SUM('DCF - Financials'!O65:O68)</f>
        <v>-485.75993141230117</v>
      </c>
      <c r="Q40" s="557">
        <f>SUM('DCF - Financials'!P65:P68)</f>
        <v>-380.82628439823975</v>
      </c>
      <c r="R40" s="557">
        <f>SUM('DCF - Financials'!Q65:Q68)</f>
        <v>-418.26047699942643</v>
      </c>
      <c r="S40" s="557">
        <f>SUM('DCF - Financials'!R65:R68)</f>
        <v>-437.61604268735385</v>
      </c>
      <c r="T40" s="557">
        <f>SUM('DCF - Financials'!S65:S68)</f>
        <v>-477.67396349972364</v>
      </c>
      <c r="V40" s="5">
        <f t="shared" si="0"/>
        <v>1</v>
      </c>
      <c r="W40" s="24">
        <v>1</v>
      </c>
      <c r="X40" s="2"/>
    </row>
    <row r="41" spans="3:24">
      <c r="C41" s="552" t="s">
        <v>76</v>
      </c>
      <c r="D41" s="552"/>
      <c r="E41" s="552"/>
      <c r="F41" s="552"/>
      <c r="G41" s="557"/>
      <c r="H41" s="557">
        <f>SUM('DCF - Financials'!G95:G97,'DCF - Financials'!G99:G101)</f>
        <v>2319</v>
      </c>
      <c r="I41" s="557">
        <f>SUM('DCF - Financials'!H95:H97,'DCF - Financials'!H99:H101)</f>
        <v>4083</v>
      </c>
      <c r="J41" s="557">
        <f>SUM('DCF - Financials'!I95:I97,'DCF - Financials'!I99:I101)</f>
        <v>-969</v>
      </c>
      <c r="K41" s="557">
        <f>SUM('DCF - Financials'!J95:J97,'DCF - Financials'!J99:J101)</f>
        <v>821</v>
      </c>
      <c r="L41" s="557">
        <f>SUM('DCF - Financials'!K95:K97,'DCF - Financials'!K99:K101)</f>
        <v>948</v>
      </c>
      <c r="M41" s="557">
        <f>SUM('DCF - Financials'!L95:L97,'DCF - Financials'!L99:L101)</f>
        <v>4139.2649205448333</v>
      </c>
      <c r="N41" s="557">
        <f>SUM('DCF - Financials'!M95:M97,'DCF - Financials'!M99:M101)</f>
        <v>-211.50736280862623</v>
      </c>
      <c r="O41" s="557">
        <f>SUM('DCF - Financials'!N95:N97,'DCF - Financials'!N99:N101)</f>
        <v>2417.5697708948219</v>
      </c>
      <c r="P41" s="557">
        <f>SUM('DCF - Financials'!O95:O97,'DCF - Financials'!O99:O101)</f>
        <v>819.44837838777357</v>
      </c>
      <c r="Q41" s="557">
        <f>SUM('DCF - Financials'!P95:P97,'DCF - Financials'!P99:P101)</f>
        <v>1970.3689489700068</v>
      </c>
      <c r="R41" s="557">
        <f>SUM('DCF - Financials'!Q95:Q97,'DCF - Financials'!Q99:Q101)</f>
        <v>1363.5447123495239</v>
      </c>
      <c r="S41" s="557">
        <f>SUM('DCF - Financials'!R95:R97,'DCF - Financials'!R99:R101)</f>
        <v>2053.5437864362543</v>
      </c>
      <c r="T41" s="557">
        <f>SUM('DCF - Financials'!S95:S97,'DCF - Financials'!S99:S101)</f>
        <v>2017.1241857940129</v>
      </c>
      <c r="V41" s="5">
        <f t="shared" si="0"/>
        <v>1</v>
      </c>
      <c r="W41" s="24">
        <v>1</v>
      </c>
      <c r="X41" s="2"/>
    </row>
    <row r="42" spans="3:24">
      <c r="C42" s="552" t="s">
        <v>77</v>
      </c>
      <c r="D42" s="552"/>
      <c r="E42" s="552"/>
      <c r="F42" s="552"/>
      <c r="G42" s="557"/>
      <c r="H42" s="557">
        <f>SUM('DCF - Financials'!G94,'DCF - Financials'!G98)</f>
        <v>-896</v>
      </c>
      <c r="I42" s="557">
        <f>SUM('DCF - Financials'!H94,'DCF - Financials'!H98)</f>
        <v>-173</v>
      </c>
      <c r="J42" s="557">
        <f>SUM('DCF - Financials'!I94,'DCF - Financials'!I98)</f>
        <v>-119</v>
      </c>
      <c r="K42" s="557">
        <f>SUM('DCF - Financials'!J94,'DCF - Financials'!J98)</f>
        <v>-81</v>
      </c>
      <c r="L42" s="557">
        <f>SUM('DCF - Financials'!K94,'DCF - Financials'!K98)</f>
        <v>-243</v>
      </c>
      <c r="M42" s="557">
        <f>SUM('DCF - Financials'!L94,'DCF - Financials'!L98)</f>
        <v>-97</v>
      </c>
      <c r="N42" s="557">
        <f>SUM('DCF - Financials'!M94,'DCF - Financials'!M98)</f>
        <v>-97</v>
      </c>
      <c r="O42" s="557">
        <f>SUM('DCF - Financials'!N94,'DCF - Financials'!N98)</f>
        <v>-97</v>
      </c>
      <c r="P42" s="557">
        <f>SUM('DCF - Financials'!O94,'DCF - Financials'!O98)</f>
        <v>-97</v>
      </c>
      <c r="Q42" s="557">
        <f>SUM('DCF - Financials'!P94,'DCF - Financials'!P98)</f>
        <v>-97</v>
      </c>
      <c r="R42" s="557">
        <f>SUM('DCF - Financials'!Q94,'DCF - Financials'!Q98)</f>
        <v>-97</v>
      </c>
      <c r="S42" s="557">
        <f>SUM('DCF - Financials'!R94,'DCF - Financials'!R98)</f>
        <v>-97</v>
      </c>
      <c r="T42" s="557">
        <f>SUM('DCF - Financials'!S94,'DCF - Financials'!S98)</f>
        <v>-97</v>
      </c>
      <c r="V42" s="5">
        <f t="shared" si="0"/>
        <v>1</v>
      </c>
      <c r="W42" s="24">
        <v>1</v>
      </c>
      <c r="X42" s="2"/>
    </row>
    <row r="43" spans="3:24">
      <c r="C43" s="561" t="s">
        <v>78</v>
      </c>
      <c r="D43" s="553"/>
      <c r="E43" s="553"/>
      <c r="F43" s="553"/>
      <c r="G43" s="553"/>
      <c r="H43" s="553">
        <f>SUM(H39:H42)</f>
        <v>4401</v>
      </c>
      <c r="I43" s="553">
        <f t="shared" ref="I43:T43" si="11">SUM(I39:I42)</f>
        <v>5425</v>
      </c>
      <c r="J43" s="553">
        <f t="shared" si="11"/>
        <v>1475</v>
      </c>
      <c r="K43" s="553">
        <f t="shared" si="11"/>
        <v>3334</v>
      </c>
      <c r="L43" s="553">
        <f t="shared" si="11"/>
        <v>2532</v>
      </c>
      <c r="M43" s="553">
        <f t="shared" si="11"/>
        <v>7753.4660957369888</v>
      </c>
      <c r="N43" s="553">
        <f t="shared" si="11"/>
        <v>2669.8334988282122</v>
      </c>
      <c r="O43" s="553">
        <f t="shared" si="11"/>
        <v>5733.2947113234804</v>
      </c>
      <c r="P43" s="553">
        <f t="shared" si="11"/>
        <v>4327.0205182742902</v>
      </c>
      <c r="Q43" s="553">
        <f t="shared" si="11"/>
        <v>5880.5092813069987</v>
      </c>
      <c r="R43" s="553">
        <f t="shared" si="11"/>
        <v>5407.8970533570782</v>
      </c>
      <c r="S43" s="553">
        <f t="shared" si="11"/>
        <v>6458.1129702250801</v>
      </c>
      <c r="T43" s="553">
        <f t="shared" si="11"/>
        <v>6729.9535097131366</v>
      </c>
      <c r="V43" s="5">
        <f t="shared" si="0"/>
        <v>1</v>
      </c>
      <c r="W43" s="24">
        <v>1</v>
      </c>
      <c r="X43" s="2"/>
    </row>
    <row r="44" spans="3:24">
      <c r="C44" s="552" t="s">
        <v>79</v>
      </c>
      <c r="D44" s="552"/>
      <c r="E44" s="552"/>
      <c r="F44" s="552"/>
      <c r="G44" s="557"/>
      <c r="H44" s="557">
        <f>SUM('DCF - Financials'!G90:G93)</f>
        <v>-2724</v>
      </c>
      <c r="I44" s="557">
        <f>SUM('DCF - Financials'!H90:H93)</f>
        <v>-1227</v>
      </c>
      <c r="J44" s="557">
        <f>SUM('DCF - Financials'!I90:I93)</f>
        <v>-60</v>
      </c>
      <c r="K44" s="557">
        <f>SUM('DCF - Financials'!J90:J93)</f>
        <v>-2281</v>
      </c>
      <c r="L44" s="557">
        <f>SUM('DCF - Financials'!K90:K93)</f>
        <v>-1352</v>
      </c>
      <c r="M44" s="557">
        <f>SUM('DCF - Financials'!L90:L93)</f>
        <v>-6743.4160957369886</v>
      </c>
      <c r="N44" s="557">
        <f>SUM('DCF - Financials'!M90:M93)</f>
        <v>-2386.1834988282117</v>
      </c>
      <c r="O44" s="557">
        <f>SUM('DCF - Financials'!N90:N93)</f>
        <v>-5397.7922113234808</v>
      </c>
      <c r="P44" s="557">
        <f>SUM('DCF - Financials'!O90:O93)</f>
        <v>-4027.8380182742912</v>
      </c>
      <c r="Q44" s="557">
        <f>SUM('DCF - Financials'!P90:P93)</f>
        <v>-5578.7341563069986</v>
      </c>
      <c r="R44" s="557">
        <f>SUM('DCF - Financials'!Q90:Q93)</f>
        <v>-5107.9379283570779</v>
      </c>
      <c r="S44" s="557">
        <f>SUM('DCF - Financials'!R90:R93)</f>
        <v>-6158.0242139750808</v>
      </c>
      <c r="T44" s="557">
        <f>SUM('DCF - Financials'!S90:S93)</f>
        <v>-6429.9555534631363</v>
      </c>
      <c r="V44" s="5">
        <f t="shared" si="0"/>
        <v>1</v>
      </c>
      <c r="W44" s="24">
        <v>1</v>
      </c>
      <c r="X44" s="2"/>
    </row>
    <row r="45" spans="3:24">
      <c r="C45" s="552" t="s">
        <v>80</v>
      </c>
      <c r="D45" s="552"/>
      <c r="E45" s="552"/>
      <c r="F45" s="552"/>
      <c r="G45" s="557"/>
      <c r="H45" s="557">
        <f>'DCF - Financials'!G102</f>
        <v>-1623</v>
      </c>
      <c r="I45" s="557">
        <f>'DCF - Financials'!H102</f>
        <v>-1646</v>
      </c>
      <c r="J45" s="557">
        <f>'DCF - Financials'!I102</f>
        <v>-1646</v>
      </c>
      <c r="K45" s="557">
        <f>'DCF - Financials'!J102</f>
        <v>-1718</v>
      </c>
      <c r="L45" s="557">
        <f>'DCF - Financials'!K102</f>
        <v>-1761</v>
      </c>
      <c r="M45" s="557">
        <f>'DCF - Financials'!L102</f>
        <v>0</v>
      </c>
      <c r="N45" s="557">
        <f>'DCF - Financials'!M102</f>
        <v>0</v>
      </c>
      <c r="O45" s="557">
        <f>'DCF - Financials'!N102</f>
        <v>0</v>
      </c>
      <c r="P45" s="557">
        <f>'DCF - Financials'!O102</f>
        <v>0</v>
      </c>
      <c r="Q45" s="557">
        <f>'DCF - Financials'!P102</f>
        <v>0</v>
      </c>
      <c r="R45" s="557">
        <f>'DCF - Financials'!Q102</f>
        <v>0</v>
      </c>
      <c r="S45" s="557">
        <f>'DCF - Financials'!R102</f>
        <v>0</v>
      </c>
      <c r="T45" s="557">
        <f>'DCF - Financials'!S102</f>
        <v>0</v>
      </c>
      <c r="V45" s="5">
        <f t="shared" si="0"/>
        <v>1</v>
      </c>
      <c r="W45" s="24">
        <v>1</v>
      </c>
      <c r="X45" s="2"/>
    </row>
    <row r="46" spans="3:24">
      <c r="C46" s="561" t="s">
        <v>81</v>
      </c>
      <c r="D46" s="561"/>
      <c r="E46" s="561"/>
      <c r="F46" s="561"/>
      <c r="G46" s="553"/>
      <c r="H46" s="553">
        <f t="shared" ref="H46:T46" si="12">SUM(H43:H45)</f>
        <v>54</v>
      </c>
      <c r="I46" s="553">
        <f t="shared" si="12"/>
        <v>2552</v>
      </c>
      <c r="J46" s="553">
        <f t="shared" si="12"/>
        <v>-231</v>
      </c>
      <c r="K46" s="553">
        <f t="shared" si="12"/>
        <v>-665</v>
      </c>
      <c r="L46" s="553">
        <f t="shared" si="12"/>
        <v>-581</v>
      </c>
      <c r="M46" s="553">
        <f t="shared" si="12"/>
        <v>1010.0500000000002</v>
      </c>
      <c r="N46" s="553">
        <f t="shared" si="12"/>
        <v>283.65000000000055</v>
      </c>
      <c r="O46" s="553">
        <f t="shared" si="12"/>
        <v>335.5024999999996</v>
      </c>
      <c r="P46" s="553">
        <f t="shared" si="12"/>
        <v>299.18249999999898</v>
      </c>
      <c r="Q46" s="553">
        <f t="shared" si="12"/>
        <v>301.77512500000012</v>
      </c>
      <c r="R46" s="553">
        <f t="shared" si="12"/>
        <v>299.95912500000031</v>
      </c>
      <c r="S46" s="553">
        <f t="shared" si="12"/>
        <v>300.08875624999928</v>
      </c>
      <c r="T46" s="553">
        <f t="shared" si="12"/>
        <v>299.99795625000024</v>
      </c>
      <c r="V46" s="5">
        <f t="shared" si="0"/>
        <v>1</v>
      </c>
      <c r="W46" s="24">
        <v>1</v>
      </c>
      <c r="X46" s="1"/>
    </row>
    <row r="47" spans="3:24">
      <c r="C47" s="562"/>
      <c r="D47" s="562"/>
      <c r="E47" s="562"/>
      <c r="F47" s="562"/>
      <c r="G47" s="563"/>
      <c r="H47" s="563"/>
      <c r="I47" s="563"/>
      <c r="J47" s="563"/>
      <c r="K47" s="563"/>
      <c r="L47" s="563"/>
      <c r="M47" s="563"/>
      <c r="N47" s="563"/>
      <c r="O47" s="563"/>
      <c r="P47" s="563"/>
      <c r="Q47" s="563"/>
      <c r="R47" s="563"/>
      <c r="S47" s="563"/>
      <c r="T47" s="563"/>
      <c r="V47" s="5">
        <f t="shared" si="0"/>
        <v>0</v>
      </c>
      <c r="W47" s="24">
        <v>0</v>
      </c>
      <c r="X47" s="1"/>
    </row>
    <row r="48" spans="3:24">
      <c r="C48" s="561" t="s">
        <v>82</v>
      </c>
      <c r="D48" s="553"/>
      <c r="E48" s="553"/>
      <c r="F48" s="553"/>
      <c r="G48" s="553"/>
      <c r="H48" s="553">
        <f>'DCF - Financials'!G129</f>
        <v>932</v>
      </c>
      <c r="I48" s="553">
        <f>'DCF - Financials'!H129</f>
        <v>3323</v>
      </c>
      <c r="J48" s="553">
        <f>'DCF - Financials'!I129</f>
        <v>2749</v>
      </c>
      <c r="K48" s="553">
        <f>'DCF - Financials'!J129</f>
        <v>2285</v>
      </c>
      <c r="L48" s="553">
        <f>'DCF - Financials'!K129</f>
        <v>1439</v>
      </c>
      <c r="M48" s="553">
        <f>'DCF - Financials'!L129</f>
        <v>2485</v>
      </c>
      <c r="N48" s="553">
        <f>'DCF - Financials'!M129</f>
        <v>2820.9500000000003</v>
      </c>
      <c r="O48" s="553">
        <f>'DCF - Financials'!N129</f>
        <v>3173.25</v>
      </c>
      <c r="P48" s="553">
        <f>'DCF - Financials'!O129</f>
        <v>3490.0474999999997</v>
      </c>
      <c r="Q48" s="553">
        <f>'DCF - Financials'!P129</f>
        <v>3807.6624999999995</v>
      </c>
      <c r="R48" s="553">
        <f>'DCF - Financials'!Q129</f>
        <v>4123.502375</v>
      </c>
      <c r="S48" s="553">
        <f>'DCF - Financials'!R129</f>
        <v>4439.3831249999994</v>
      </c>
      <c r="T48" s="553">
        <f>'DCF - Financials'!S129</f>
        <v>4755.1751187500004</v>
      </c>
      <c r="V48" s="5">
        <f t="shared" si="0"/>
        <v>1</v>
      </c>
      <c r="W48" s="24">
        <v>1</v>
      </c>
      <c r="X48" s="1"/>
    </row>
    <row r="49" spans="3:24">
      <c r="C49" s="764" t="s">
        <v>83</v>
      </c>
      <c r="D49" s="757"/>
      <c r="E49" s="757"/>
      <c r="F49" s="757"/>
      <c r="G49" s="757"/>
      <c r="H49" s="757">
        <f>'DCF - Financials'!G145+'DCF - Financials'!G154</f>
        <v>12555</v>
      </c>
      <c r="I49" s="757">
        <f>'DCF - Financials'!H145+'DCF - Financials'!H154</f>
        <v>16785</v>
      </c>
      <c r="J49" s="757">
        <f>'DCF - Financials'!I145+'DCF - Financials'!I154</f>
        <v>14727</v>
      </c>
      <c r="K49" s="757">
        <f>'DCF - Financials'!J145+'DCF - Financials'!J154</f>
        <v>16020</v>
      </c>
      <c r="L49" s="757">
        <f>'DCF - Financials'!K145+'DCF - Financials'!K154</f>
        <v>16502</v>
      </c>
      <c r="M49" s="757">
        <f>'DCF - Financials'!L145+'DCF - Financials'!L154</f>
        <v>20668.737010637131</v>
      </c>
      <c r="N49" s="757">
        <f>'DCF - Financials'!M145+'DCF - Financials'!M154</f>
        <v>20486.275686690835</v>
      </c>
      <c r="O49" s="757">
        <f>'DCF - Financials'!N145+'DCF - Financials'!N154</f>
        <v>22896.684027628766</v>
      </c>
      <c r="P49" s="757">
        <f>'DCF - Financials'!O145+'DCF - Financials'!O154</f>
        <v>23708.158956781539</v>
      </c>
      <c r="Q49" s="757">
        <f>'DCF - Financials'!P145+'DCF - Financials'!P154</f>
        <v>25666.801794053008</v>
      </c>
      <c r="R49" s="757">
        <f>'DCF - Financials'!Q145+'DCF - Financials'!Q154</f>
        <v>27017.104428953808</v>
      </c>
      <c r="S49" s="757">
        <f>'DCF - Financials'!R145+'DCF - Financials'!R154</f>
        <v>29055.525943991939</v>
      </c>
      <c r="T49" s="757">
        <f>'DCF - Financials'!S145+'DCF - Financials'!S154</f>
        <v>31055.42957058116</v>
      </c>
      <c r="V49" s="5">
        <f t="shared" si="0"/>
        <v>1</v>
      </c>
      <c r="W49" s="24">
        <v>1</v>
      </c>
      <c r="X49" s="1"/>
    </row>
    <row r="50" spans="3:24">
      <c r="C50" s="764" t="s">
        <v>84</v>
      </c>
      <c r="D50" s="757"/>
      <c r="E50" s="757"/>
      <c r="F50" s="757"/>
      <c r="G50" s="757"/>
      <c r="H50" s="757">
        <f>H49-H48</f>
        <v>11623</v>
      </c>
      <c r="I50" s="757">
        <f t="shared" ref="I50:T50" si="13">I49-I48</f>
        <v>13462</v>
      </c>
      <c r="J50" s="757">
        <f t="shared" si="13"/>
        <v>11978</v>
      </c>
      <c r="K50" s="757">
        <f t="shared" si="13"/>
        <v>13735</v>
      </c>
      <c r="L50" s="757">
        <f t="shared" si="13"/>
        <v>15063</v>
      </c>
      <c r="M50" s="757">
        <f t="shared" si="13"/>
        <v>18183.737010637131</v>
      </c>
      <c r="N50" s="757">
        <f t="shared" si="13"/>
        <v>17665.325686690834</v>
      </c>
      <c r="O50" s="757">
        <f t="shared" si="13"/>
        <v>19723.434027628766</v>
      </c>
      <c r="P50" s="757">
        <f t="shared" si="13"/>
        <v>20218.111456781538</v>
      </c>
      <c r="Q50" s="757">
        <f t="shared" si="13"/>
        <v>21859.13929405301</v>
      </c>
      <c r="R50" s="757">
        <f t="shared" si="13"/>
        <v>22893.602053953808</v>
      </c>
      <c r="S50" s="757">
        <f t="shared" si="13"/>
        <v>24616.142818991939</v>
      </c>
      <c r="T50" s="757">
        <f t="shared" si="13"/>
        <v>26300.254451831159</v>
      </c>
      <c r="V50" s="5">
        <f t="shared" si="0"/>
        <v>1</v>
      </c>
      <c r="W50" s="24">
        <v>1</v>
      </c>
      <c r="X50" s="1"/>
    </row>
    <row r="51" spans="3:24">
      <c r="C51" s="1116" t="s">
        <v>85</v>
      </c>
      <c r="D51" s="1117"/>
      <c r="E51" s="1117"/>
      <c r="F51" s="1117"/>
      <c r="G51" s="1117"/>
      <c r="H51" s="1117">
        <f>'DCF - Capital Structure'!G65</f>
        <v>0</v>
      </c>
      <c r="I51" s="1117">
        <f>'DCF - Capital Structure'!H65</f>
        <v>-525</v>
      </c>
      <c r="J51" s="1117">
        <f>'DCF - Capital Structure'!I65</f>
        <v>-465</v>
      </c>
      <c r="K51" s="1117">
        <f>'DCF - Capital Structure'!J65</f>
        <v>-475</v>
      </c>
      <c r="L51" s="1117">
        <f>'DCF - Capital Structure'!K65</f>
        <v>-756</v>
      </c>
      <c r="M51" s="1117">
        <f>'DCF - Capital Structure'!L65</f>
        <v>-742.40591653540389</v>
      </c>
      <c r="N51" s="1117">
        <f>'DCF - Capital Structure'!M65</f>
        <v>-740.25127679247271</v>
      </c>
      <c r="O51" s="1117">
        <f>'DCF - Capital Structure'!N65</f>
        <v>-630.87207229151079</v>
      </c>
      <c r="P51" s="1117">
        <f>'DCF - Capital Structure'!O65</f>
        <v>-703.99693141230114</v>
      </c>
      <c r="Q51" s="1117">
        <f>'DCF - Capital Structure'!P65</f>
        <v>-729.12960939823972</v>
      </c>
      <c r="R51" s="1117">
        <f>'DCF - Capital Structure'!Q65</f>
        <v>-788.79685199942639</v>
      </c>
      <c r="S51" s="1117">
        <f>'DCF - Capital Structure'!R65</f>
        <v>-830.2612089373539</v>
      </c>
      <c r="T51" s="1117">
        <f>'DCF - Capital Structure'!S65</f>
        <v>-892.43078224972362</v>
      </c>
      <c r="V51" s="5">
        <f t="shared" si="0"/>
        <v>1</v>
      </c>
      <c r="W51" s="24">
        <v>1</v>
      </c>
      <c r="X51" s="1"/>
    </row>
    <row r="52" spans="3:24">
      <c r="C52" s="585"/>
      <c r="D52" s="564"/>
      <c r="E52" s="564"/>
      <c r="F52" s="564"/>
      <c r="G52" s="564"/>
      <c r="H52" s="564"/>
      <c r="I52" s="564"/>
      <c r="J52" s="564"/>
      <c r="K52" s="564"/>
      <c r="L52" s="564"/>
      <c r="M52" s="564"/>
      <c r="N52" s="564"/>
      <c r="O52" s="564"/>
      <c r="P52" s="564"/>
      <c r="Q52" s="564"/>
      <c r="R52" s="564"/>
      <c r="S52" s="564"/>
      <c r="T52" s="564"/>
      <c r="V52" s="5">
        <f t="shared" si="0"/>
        <v>0</v>
      </c>
      <c r="W52" s="24">
        <v>0</v>
      </c>
      <c r="X52" s="1"/>
    </row>
    <row r="53" spans="3:24">
      <c r="C53" s="777" t="s">
        <v>86</v>
      </c>
      <c r="D53" s="778"/>
      <c r="E53" s="778"/>
      <c r="F53" s="778"/>
      <c r="G53" s="779"/>
      <c r="H53" s="779">
        <f t="shared" ref="H53:T53" si="14">IFERROR(H50/H34,0)</f>
        <v>2.4619783944079643</v>
      </c>
      <c r="I53" s="779">
        <f t="shared" si="14"/>
        <v>3.1727551260900309</v>
      </c>
      <c r="J53" s="779">
        <f t="shared" si="14"/>
        <v>2.6641459074733098</v>
      </c>
      <c r="K53" s="779">
        <f t="shared" si="14"/>
        <v>2.4344204182913862</v>
      </c>
      <c r="L53" s="779">
        <f t="shared" si="14"/>
        <v>2.4885180902032049</v>
      </c>
      <c r="M53" s="779">
        <f t="shared" si="14"/>
        <v>2.6685827400035405</v>
      </c>
      <c r="N53" s="779">
        <f t="shared" si="14"/>
        <v>2.7436054345719212</v>
      </c>
      <c r="O53" s="779">
        <f t="shared" si="14"/>
        <v>2.8486741695039437</v>
      </c>
      <c r="P53" s="779">
        <f t="shared" si="14"/>
        <v>2.7515311288140198</v>
      </c>
      <c r="Q53" s="779">
        <f t="shared" si="14"/>
        <v>2.756933048560068</v>
      </c>
      <c r="R53" s="779">
        <f t="shared" si="14"/>
        <v>2.7579269267611957</v>
      </c>
      <c r="S53" s="779">
        <f t="shared" si="14"/>
        <v>2.7624123889124768</v>
      </c>
      <c r="T53" s="780">
        <f t="shared" si="14"/>
        <v>2.7659258212629627</v>
      </c>
      <c r="V53" s="5">
        <f t="shared" si="0"/>
        <v>1</v>
      </c>
      <c r="W53" s="24">
        <v>1</v>
      </c>
      <c r="X53" s="1"/>
    </row>
    <row r="54" spans="3:24">
      <c r="C54" s="781" t="s">
        <v>87</v>
      </c>
      <c r="D54" s="782"/>
      <c r="E54" s="782"/>
      <c r="F54" s="782"/>
      <c r="G54" s="783"/>
      <c r="H54" s="783">
        <f>IFERROR(-H34/H51,0)</f>
        <v>0</v>
      </c>
      <c r="I54" s="783">
        <f t="shared" ref="I54:T54" si="15">IFERROR(-I34/I51,0)</f>
        <v>8.0819047619047613</v>
      </c>
      <c r="J54" s="783">
        <f t="shared" si="15"/>
        <v>9.6688172043010745</v>
      </c>
      <c r="K54" s="783">
        <f t="shared" si="15"/>
        <v>11.877894736842105</v>
      </c>
      <c r="L54" s="783">
        <f t="shared" si="15"/>
        <v>8.0066137566137563</v>
      </c>
      <c r="M54" s="783">
        <f t="shared" si="15"/>
        <v>9.1782745490028237</v>
      </c>
      <c r="N54" s="783">
        <f t="shared" si="15"/>
        <v>8.6980285558521864</v>
      </c>
      <c r="O54" s="783">
        <f t="shared" si="15"/>
        <v>10.974846428681964</v>
      </c>
      <c r="P54" s="783">
        <f t="shared" si="15"/>
        <v>10.437473593797868</v>
      </c>
      <c r="Q54" s="783">
        <f t="shared" si="15"/>
        <v>10.874319854896219</v>
      </c>
      <c r="R54" s="783">
        <f t="shared" si="15"/>
        <v>10.523645395808293</v>
      </c>
      <c r="S54" s="783">
        <f t="shared" si="15"/>
        <v>10.732891582210346</v>
      </c>
      <c r="T54" s="783">
        <f t="shared" si="15"/>
        <v>10.654789640091725</v>
      </c>
      <c r="V54" s="5">
        <f t="shared" si="0"/>
        <v>1</v>
      </c>
      <c r="W54" s="24">
        <v>1</v>
      </c>
      <c r="X54" s="1"/>
    </row>
    <row r="55" spans="3:24">
      <c r="C55" s="568"/>
      <c r="D55" s="552"/>
      <c r="E55" s="552"/>
      <c r="F55" s="552"/>
      <c r="G55" s="557"/>
      <c r="H55" s="557"/>
      <c r="I55" s="557"/>
      <c r="J55" s="557"/>
      <c r="K55" s="557"/>
      <c r="L55" s="557"/>
      <c r="M55" s="557"/>
      <c r="N55" s="557"/>
      <c r="O55" s="557"/>
      <c r="P55" s="557"/>
      <c r="Q55" s="557"/>
      <c r="R55" s="557"/>
      <c r="S55" s="557"/>
      <c r="T55" s="557"/>
      <c r="V55" s="5">
        <f t="shared" si="0"/>
        <v>0</v>
      </c>
      <c r="W55" s="24">
        <v>0</v>
      </c>
      <c r="X55" s="1"/>
    </row>
    <row r="56" spans="3:24">
      <c r="C56" s="765" t="s">
        <v>88</v>
      </c>
      <c r="D56" s="758"/>
      <c r="E56" s="758"/>
      <c r="F56" s="758"/>
      <c r="G56" s="565"/>
      <c r="H56" s="565">
        <f>'DCF - Assumptions'!G197</f>
        <v>2428</v>
      </c>
      <c r="I56" s="565">
        <f>'DCF - Assumptions'!H197</f>
        <v>2354</v>
      </c>
      <c r="J56" s="565">
        <f>'DCF - Assumptions'!I197</f>
        <v>2345</v>
      </c>
      <c r="K56" s="565">
        <f>'DCF - Assumptions'!J197</f>
        <v>2325</v>
      </c>
      <c r="L56" s="565">
        <f>'DCF - Assumptions'!K197</f>
        <v>2271</v>
      </c>
      <c r="M56" s="759">
        <f>'DCF - Assumptions'!L197</f>
        <v>2093.4227889798276</v>
      </c>
      <c r="N56" s="759">
        <f>'DCF - Assumptions'!M197</f>
        <v>2035.1094390481069</v>
      </c>
      <c r="O56" s="759">
        <f>'DCF - Assumptions'!N197</f>
        <v>1894.3639317432353</v>
      </c>
      <c r="P56" s="759">
        <f>'DCF - Assumptions'!O197</f>
        <v>1791.1160844653439</v>
      </c>
      <c r="Q56" s="759">
        <f>'DCF - Assumptions'!P197</f>
        <v>1645.4179301507859</v>
      </c>
      <c r="R56" s="759">
        <f>'DCF - Assumptions'!Q197</f>
        <v>1512.6061606418086</v>
      </c>
      <c r="S56" s="759">
        <f>'DCF - Assumptions'!R197</f>
        <v>1351.0519859218534</v>
      </c>
      <c r="T56" s="759">
        <f>'DCF - Assumptions'!S197</f>
        <v>1182.0546507148249</v>
      </c>
      <c r="V56" s="5">
        <f t="shared" si="0"/>
        <v>1</v>
      </c>
      <c r="W56" s="24">
        <v>1</v>
      </c>
      <c r="X56" s="1"/>
    </row>
    <row r="57" spans="3:24">
      <c r="C57" s="765" t="str">
        <f>'DCF - Financials'!C41</f>
        <v>Diluted adjusted earnings (loss) per share attributable to parent company</v>
      </c>
      <c r="D57" s="758"/>
      <c r="E57" s="758"/>
      <c r="F57" s="758"/>
      <c r="G57" s="766"/>
      <c r="H57" s="1164">
        <f>'DCF - Financials'!G41</f>
        <v>1.3014827018121911</v>
      </c>
      <c r="I57" s="1164">
        <f>'DCF - Financials'!H41</f>
        <v>0.59855564995751909</v>
      </c>
      <c r="J57" s="1164">
        <f>'DCF - Financials'!I41</f>
        <v>1.1343283582089552</v>
      </c>
      <c r="K57" s="1164">
        <f>'DCF - Financials'!J41</f>
        <v>1.3974193548387097</v>
      </c>
      <c r="L57" s="1164">
        <f>'DCF - Financials'!K41</f>
        <v>1.6442095992954646</v>
      </c>
      <c r="M57" s="1164">
        <f>'DCF - Financials'!L41</f>
        <v>1.5729158162759698</v>
      </c>
      <c r="N57" s="1164">
        <f>'DCF - Financials'!M41</f>
        <v>1.7425652117738364</v>
      </c>
      <c r="O57" s="1164">
        <f>'DCF - Financials'!N41</f>
        <v>2.0313582424181011</v>
      </c>
      <c r="P57" s="1164">
        <f>'DCF - Financials'!O41</f>
        <v>2.2510065594406425</v>
      </c>
      <c r="Q57" s="1164">
        <f>'DCF - Financials'!P41</f>
        <v>2.6619533460968636</v>
      </c>
      <c r="R57" s="1164">
        <f>'DCF - Financials'!Q41</f>
        <v>3.0882471900266433</v>
      </c>
      <c r="S57" s="1164">
        <f>'DCF - Financials'!R41</f>
        <v>3.7013423463406681</v>
      </c>
      <c r="T57" s="1164">
        <f>'DCF - Financials'!S41</f>
        <v>4.4991125441411102</v>
      </c>
      <c r="V57" s="5">
        <f t="shared" si="0"/>
        <v>1</v>
      </c>
      <c r="W57" s="24">
        <v>1</v>
      </c>
      <c r="X57" s="1"/>
    </row>
    <row r="58" spans="3:24">
      <c r="C58" s="552"/>
      <c r="D58" s="552"/>
      <c r="E58" s="552"/>
      <c r="F58" s="552"/>
      <c r="G58" s="557" t="s">
        <v>89</v>
      </c>
      <c r="H58" s="557"/>
      <c r="I58" s="557"/>
      <c r="J58" s="557"/>
      <c r="K58" s="557"/>
      <c r="L58" s="557"/>
      <c r="M58" s="557"/>
      <c r="N58" s="557"/>
      <c r="O58" s="557"/>
      <c r="P58" s="557"/>
      <c r="Q58" s="557"/>
      <c r="R58" s="557"/>
      <c r="S58" s="557"/>
      <c r="T58" s="1118"/>
      <c r="V58" s="5">
        <f t="shared" si="0"/>
        <v>0</v>
      </c>
      <c r="W58" s="24">
        <v>0</v>
      </c>
      <c r="X58" s="1"/>
    </row>
    <row r="59" spans="3:24">
      <c r="C59" s="566" t="s">
        <v>90</v>
      </c>
      <c r="D59" s="562"/>
      <c r="E59" s="562"/>
      <c r="F59" s="562"/>
      <c r="G59" s="563"/>
      <c r="H59" s="563" t="str">
        <f>IF(ROUND(H46-'DCF - Financials'!G107,1)=0,"OK", H46-'DCF - Financials'!G107)</f>
        <v>OK</v>
      </c>
      <c r="I59" s="563" t="str">
        <f>IF(ROUND(I46-'DCF - Financials'!H107,1)=0,"OK", I46-'DCF - Financials'!H107)</f>
        <v>OK</v>
      </c>
      <c r="J59" s="563" t="str">
        <f>IF(ROUND(J46-'DCF - Financials'!I107,1)=0,"OK", J46-'DCF - Financials'!I107)</f>
        <v>OK</v>
      </c>
      <c r="K59" s="563" t="str">
        <f>IF(ROUND(K46-'DCF - Financials'!J107,1)=0,"OK", K46-'DCF - Financials'!J107)</f>
        <v>OK</v>
      </c>
      <c r="L59" s="563" t="str">
        <f>IF(ROUND(L46-'DCF - Financials'!K107,1)=0,"OK", L46-'DCF - Financials'!K107)</f>
        <v>OK</v>
      </c>
      <c r="M59" s="563" t="str">
        <f>IF(ROUND(M46-'DCF - Financials'!L107,1)=0,"OK", M46-'DCF - Financials'!L107)</f>
        <v>OK</v>
      </c>
      <c r="N59" s="563" t="str">
        <f>IF(ROUND(N46-'DCF - Financials'!M107,1)=0,"OK", N46-'DCF - Financials'!M107)</f>
        <v>OK</v>
      </c>
      <c r="O59" s="563" t="str">
        <f>IF(ROUND(O46-'DCF - Financials'!N107,1)=0,"OK", O46-'DCF - Financials'!N107)</f>
        <v>OK</v>
      </c>
      <c r="P59" s="563" t="str">
        <f>IF(ROUND(P46-'DCF - Financials'!O107,1)=0,"OK", P46-'DCF - Financials'!O107)</f>
        <v>OK</v>
      </c>
      <c r="Q59" s="563" t="str">
        <f>IF(ROUND(Q46-'DCF - Financials'!P107,1)=0,"OK", Q46-'DCF - Financials'!P107)</f>
        <v>OK</v>
      </c>
      <c r="R59" s="563" t="str">
        <f>IF(ROUND(R46-'DCF - Financials'!Q107,1)=0,"OK", R46-'DCF - Financials'!Q107)</f>
        <v>OK</v>
      </c>
      <c r="S59" s="563" t="str">
        <f>IF(ROUND(S46-'DCF - Financials'!R107,1)=0,"OK", S46-'DCF - Financials'!R107)</f>
        <v>OK</v>
      </c>
      <c r="T59" s="567" t="str">
        <f>IF(ROUND(T46-'DCF - Financials'!S107,1)=0,"OK", T46-'DCF - Financials'!S107)</f>
        <v>OK</v>
      </c>
      <c r="V59" s="5">
        <f t="shared" si="0"/>
        <v>1</v>
      </c>
      <c r="W59" s="24">
        <v>1</v>
      </c>
      <c r="X59" s="1"/>
    </row>
    <row r="60" spans="3:24">
      <c r="C60" s="568"/>
      <c r="D60" s="569"/>
      <c r="E60" s="569"/>
      <c r="F60" s="569"/>
      <c r="G60" s="569"/>
      <c r="H60" s="569"/>
      <c r="I60" s="569"/>
      <c r="J60" s="569"/>
      <c r="K60" s="569"/>
      <c r="L60" s="569"/>
      <c r="M60" s="569"/>
      <c r="N60" s="569"/>
      <c r="O60" s="569"/>
      <c r="P60" s="569"/>
      <c r="Q60" s="569"/>
      <c r="R60" s="569"/>
      <c r="S60" s="569"/>
      <c r="T60" s="569"/>
      <c r="V60" s="5">
        <f t="shared" si="0"/>
        <v>0</v>
      </c>
      <c r="W60" s="24">
        <v>0</v>
      </c>
      <c r="X60" s="2"/>
    </row>
    <row r="61" spans="3:24">
      <c r="C61" s="568"/>
      <c r="D61" s="569"/>
      <c r="E61" s="569"/>
      <c r="F61" s="569"/>
      <c r="G61" s="569"/>
      <c r="H61" s="569"/>
      <c r="I61" s="569"/>
      <c r="J61" s="569"/>
      <c r="K61" s="569"/>
      <c r="L61" s="569"/>
      <c r="M61" s="569"/>
      <c r="N61" s="569"/>
      <c r="O61" s="569"/>
      <c r="P61" s="569"/>
      <c r="Q61" s="569"/>
      <c r="R61" s="569"/>
      <c r="S61" s="569"/>
      <c r="T61" s="569"/>
      <c r="V61" s="5">
        <f t="shared" si="0"/>
        <v>0</v>
      </c>
      <c r="W61" s="24">
        <v>0</v>
      </c>
      <c r="X61" s="2"/>
    </row>
    <row r="62" spans="3:24">
      <c r="C62" s="926" t="s">
        <v>91</v>
      </c>
      <c r="D62" s="927"/>
      <c r="E62" s="927" t="s">
        <v>92</v>
      </c>
      <c r="F62" s="927" t="s">
        <v>92</v>
      </c>
      <c r="G62" s="927"/>
      <c r="H62" s="927"/>
      <c r="I62" s="927"/>
      <c r="J62" s="927"/>
      <c r="K62" s="927"/>
      <c r="L62" s="927"/>
      <c r="M62" s="927"/>
      <c r="N62" s="927"/>
      <c r="O62" s="927"/>
      <c r="P62" s="927"/>
      <c r="Q62" s="927"/>
      <c r="R62" s="927"/>
      <c r="S62" s="927"/>
      <c r="T62" s="927"/>
      <c r="V62" s="5">
        <f t="shared" si="0"/>
        <v>1</v>
      </c>
      <c r="W62" s="24">
        <v>1</v>
      </c>
      <c r="X62" s="1"/>
    </row>
    <row r="63" spans="3:24">
      <c r="C63" s="552"/>
      <c r="D63" s="552"/>
      <c r="E63" s="552"/>
      <c r="F63" s="552"/>
      <c r="G63" s="552"/>
      <c r="H63" s="552"/>
      <c r="I63" s="552"/>
      <c r="J63" s="552"/>
      <c r="K63" s="552"/>
      <c r="L63" s="552"/>
      <c r="M63" s="1111" t="s">
        <v>60</v>
      </c>
      <c r="N63" s="1111"/>
      <c r="O63" s="1111"/>
      <c r="P63" s="1111"/>
      <c r="Q63" s="1111"/>
      <c r="R63" s="1111"/>
      <c r="S63" s="1111"/>
      <c r="T63" s="1111"/>
      <c r="V63" s="5">
        <f t="shared" si="0"/>
        <v>0</v>
      </c>
      <c r="W63" s="24">
        <v>0</v>
      </c>
      <c r="X63" s="1"/>
    </row>
    <row r="64" spans="3:24">
      <c r="C64" s="1231" t="str">
        <f>C7</f>
        <v>* All amounts in millions of pounds sterling except per share and multiples</v>
      </c>
      <c r="D64" s="1113"/>
      <c r="E64" s="1113"/>
      <c r="F64" s="1112"/>
      <c r="G64" s="1113"/>
      <c r="H64" s="1113">
        <f>'DCF - Assumptions'!G$7</f>
        <v>2019</v>
      </c>
      <c r="I64" s="1113">
        <f>'DCF - Assumptions'!H$7</f>
        <v>2020</v>
      </c>
      <c r="J64" s="1113">
        <f>'DCF - Assumptions'!I$7</f>
        <v>2021</v>
      </c>
      <c r="K64" s="1113">
        <f>'DCF - Assumptions'!J$7</f>
        <v>2022</v>
      </c>
      <c r="L64" s="1113">
        <f>'DCF - Assumptions'!K$7</f>
        <v>2023</v>
      </c>
      <c r="M64" s="1114">
        <f>'DCF - Assumptions'!L$7</f>
        <v>2024</v>
      </c>
      <c r="N64" s="1114">
        <f>'DCF - Assumptions'!M$7</f>
        <v>2025</v>
      </c>
      <c r="O64" s="1114">
        <f>'DCF - Assumptions'!N$7</f>
        <v>2026</v>
      </c>
      <c r="P64" s="1114">
        <f>'DCF - Assumptions'!O$7</f>
        <v>2027</v>
      </c>
      <c r="Q64" s="1114">
        <f>'DCF - Assumptions'!P$7</f>
        <v>2028</v>
      </c>
      <c r="R64" s="1115">
        <f>'DCF - Assumptions'!Q$7</f>
        <v>2029</v>
      </c>
      <c r="S64" s="1114">
        <f>'DCF - Assumptions'!R$7</f>
        <v>2030</v>
      </c>
      <c r="T64" s="1115">
        <f>'DCF - Assumptions'!S$7</f>
        <v>2031</v>
      </c>
      <c r="V64" s="5">
        <f t="shared" si="0"/>
        <v>1</v>
      </c>
      <c r="W64" s="24">
        <v>1</v>
      </c>
      <c r="X64" s="1"/>
    </row>
    <row r="65" spans="3:24">
      <c r="C65" s="774" t="str">
        <f>'DCF - Valuation'!C31</f>
        <v>Net Sales</v>
      </c>
      <c r="D65" s="771"/>
      <c r="E65" s="771"/>
      <c r="F65" s="770"/>
      <c r="G65" s="771"/>
      <c r="H65" s="771"/>
      <c r="I65" s="557"/>
      <c r="J65" s="557"/>
      <c r="K65" s="557"/>
      <c r="L65" s="557"/>
      <c r="M65" s="557">
        <f>'DCF - Valuation'!L31</f>
        <v>17775.445</v>
      </c>
      <c r="N65" s="557">
        <f>'DCF - Valuation'!M31</f>
        <v>18733.801249</v>
      </c>
      <c r="O65" s="557">
        <f>'DCF - Valuation'!N31</f>
        <v>19823.250025914</v>
      </c>
      <c r="P65" s="557">
        <f>'DCF - Valuation'!O31</f>
        <v>21001.604953276186</v>
      </c>
      <c r="Q65" s="557">
        <f>'DCF - Valuation'!P31</f>
        <v>22353.858094888696</v>
      </c>
      <c r="R65" s="557">
        <f>'DCF - Valuation'!Q31</f>
        <v>23796.719745400867</v>
      </c>
      <c r="S65" s="557">
        <f>'DCF - Valuation'!R31</f>
        <v>25336.454227515202</v>
      </c>
      <c r="T65" s="557">
        <f>'DCF - Valuation'!S31</f>
        <v>26979.770596703373</v>
      </c>
      <c r="V65" s="5">
        <f t="shared" si="0"/>
        <v>1</v>
      </c>
      <c r="W65" s="24">
        <v>1</v>
      </c>
      <c r="X65" s="1"/>
    </row>
    <row r="66" spans="3:24">
      <c r="C66" s="774" t="str">
        <f>'DCF - Valuation'!C36</f>
        <v>Adjusted EBIT</v>
      </c>
      <c r="D66" s="771"/>
      <c r="E66" s="771"/>
      <c r="F66" s="770"/>
      <c r="G66" s="771"/>
      <c r="H66" s="771"/>
      <c r="I66" s="771"/>
      <c r="J66" s="771"/>
      <c r="K66" s="771"/>
      <c r="L66" s="771"/>
      <c r="M66" s="557">
        <f>'DCF - Valuation'!L36</f>
        <v>4728.0233534645959</v>
      </c>
      <c r="N66" s="557">
        <f>'DCF - Valuation'!M36</f>
        <v>5019.7015295808287</v>
      </c>
      <c r="O66" s="557">
        <f>'DCF - Valuation'!N36</f>
        <v>5290.2093797617999</v>
      </c>
      <c r="P66" s="557">
        <f>'DCF - Valuation'!O36</f>
        <v>5582.831672782333</v>
      </c>
      <c r="Q66" s="557">
        <f>'DCF - Valuation'!P36</f>
        <v>5918.7010211824909</v>
      </c>
      <c r="R66" s="557">
        <f>'DCF - Valuation'!Q36</f>
        <v>6324.6602804177801</v>
      </c>
      <c r="S66" s="557">
        <f>'DCF - Valuation'!R36</f>
        <v>6760.8486033051058</v>
      </c>
      <c r="T66" s="557">
        <f>'DCF - Valuation'!S36</f>
        <v>7202.5705487576888</v>
      </c>
      <c r="V66" s="5">
        <f t="shared" si="0"/>
        <v>1</v>
      </c>
      <c r="W66" s="24">
        <v>1</v>
      </c>
      <c r="X66" s="1"/>
    </row>
    <row r="67" spans="3:24">
      <c r="C67" s="774" t="s">
        <v>93</v>
      </c>
      <c r="D67" s="771"/>
      <c r="E67" s="771"/>
      <c r="F67" s="770"/>
      <c r="G67" s="771"/>
      <c r="H67" s="771"/>
      <c r="I67" s="771"/>
      <c r="J67" s="771"/>
      <c r="K67" s="771"/>
      <c r="L67" s="771"/>
      <c r="M67" s="557">
        <f>'DCF - Valuation'!L39</f>
        <v>2085.9819753014162</v>
      </c>
      <c r="N67" s="557">
        <f>'DCF - Valuation'!M39</f>
        <v>1419.0252144661404</v>
      </c>
      <c r="O67" s="557">
        <f>'DCF - Valuation'!N39</f>
        <v>1633.5147297818771</v>
      </c>
      <c r="P67" s="557">
        <f>'DCF - Valuation'!O39</f>
        <v>1765.1177089482894</v>
      </c>
      <c r="Q67" s="557">
        <f>'DCF - Valuation'!P39</f>
        <v>2010.087567089512</v>
      </c>
      <c r="R67" s="557">
        <f>'DCF - Valuation'!Q39</f>
        <v>1976.3580793540591</v>
      </c>
      <c r="S67" s="557">
        <f>'DCF - Valuation'!R39</f>
        <v>2150.2549371344057</v>
      </c>
      <c r="T67" s="557">
        <f>'DCF - Valuation'!S39</f>
        <v>2306.0917044556209</v>
      </c>
      <c r="V67" s="5">
        <f t="shared" si="0"/>
        <v>1</v>
      </c>
      <c r="W67" s="24">
        <v>1</v>
      </c>
      <c r="X67" s="1"/>
    </row>
    <row r="68" spans="3:24">
      <c r="C68" s="774" t="str">
        <f>'DCF - Valuation'!C37</f>
        <v>Less: Tax (EBIT * Tax Rate)</v>
      </c>
      <c r="D68" s="771"/>
      <c r="E68" s="771"/>
      <c r="F68" s="770"/>
      <c r="G68" s="771"/>
      <c r="H68" s="771"/>
      <c r="I68" s="771"/>
      <c r="J68" s="771"/>
      <c r="K68" s="771"/>
      <c r="L68" s="771"/>
      <c r="M68" s="557">
        <f>'DCF - Valuation'!L37</f>
        <v>-968.29918278954926</v>
      </c>
      <c r="N68" s="557">
        <f>'DCF - Valuation'!M37</f>
        <v>-1028.0348732581538</v>
      </c>
      <c r="O68" s="557">
        <f>'DCF - Valuation'!N37</f>
        <v>-1083.4348809752166</v>
      </c>
      <c r="P68" s="557">
        <f>'DCF - Valuation'!O37</f>
        <v>-1143.3639265858219</v>
      </c>
      <c r="Q68" s="557">
        <f>'DCF - Valuation'!P37</f>
        <v>-1212.1499691381741</v>
      </c>
      <c r="R68" s="557">
        <f>'DCF - Valuation'!Q37</f>
        <v>-1295.2904254295615</v>
      </c>
      <c r="S68" s="557">
        <f>'DCF - Valuation'!R37</f>
        <v>-1384.6217939568858</v>
      </c>
      <c r="T68" s="557">
        <f>'DCF - Valuation'!S37</f>
        <v>-1475.0864483855748</v>
      </c>
      <c r="V68" s="5">
        <f t="shared" si="0"/>
        <v>1</v>
      </c>
      <c r="W68" s="24">
        <v>1</v>
      </c>
      <c r="X68" s="1"/>
    </row>
    <row r="69" spans="3:24">
      <c r="C69" s="774" t="s">
        <v>94</v>
      </c>
      <c r="D69" s="771"/>
      <c r="E69" s="771"/>
      <c r="F69" s="770"/>
      <c r="G69" s="771"/>
      <c r="H69" s="771"/>
      <c r="I69" s="771"/>
      <c r="J69" s="771"/>
      <c r="K69" s="771"/>
      <c r="L69" s="771"/>
      <c r="M69" s="557">
        <f>'DCF - Valuation'!L38</f>
        <v>-1606.0000536129971</v>
      </c>
      <c r="N69" s="557">
        <f>'DCF - Valuation'!M38</f>
        <v>-1639.630873293281</v>
      </c>
      <c r="O69" s="557">
        <f>'DCF - Valuation'!N38</f>
        <v>-1692.3587027283584</v>
      </c>
      <c r="P69" s="557">
        <f>'DCF - Valuation'!O38</f>
        <v>-1797.750259206839</v>
      </c>
      <c r="Q69" s="557">
        <f>'DCF - Valuation'!P38</f>
        <v>-1949.5077890605892</v>
      </c>
      <c r="R69" s="557">
        <f>'DCF - Valuation'!Q38</f>
        <v>-2056.6723458540055</v>
      </c>
      <c r="S69" s="557">
        <f>'DCF - Valuation'!R38</f>
        <v>-2182.8051297068132</v>
      </c>
      <c r="T69" s="557">
        <f>'DCF - Valuation'!S38</f>
        <v>-2329.6446518329308</v>
      </c>
      <c r="V69" s="5">
        <f t="shared" si="0"/>
        <v>1</v>
      </c>
      <c r="W69" s="24">
        <v>1</v>
      </c>
      <c r="X69" s="1"/>
    </row>
    <row r="70" spans="3:24">
      <c r="C70" s="774" t="str">
        <f>'DCF - Valuation'!C40</f>
        <v>Change in working capital and other (cashflow statement)</v>
      </c>
      <c r="D70" s="771"/>
      <c r="E70" s="771"/>
      <c r="F70" s="770"/>
      <c r="G70" s="771"/>
      <c r="H70" s="771"/>
      <c r="I70" s="771"/>
      <c r="J70" s="771"/>
      <c r="K70" s="771"/>
      <c r="L70" s="771"/>
      <c r="M70" s="557">
        <f>'DCF - Valuation'!L40</f>
        <v>61.222667788690273</v>
      </c>
      <c r="N70" s="557">
        <f>'DCF - Valuation'!M40</f>
        <v>-226.75591377864254</v>
      </c>
      <c r="O70" s="557">
        <f>'DCF - Valuation'!N40</f>
        <v>-258.54097130974651</v>
      </c>
      <c r="P70" s="557">
        <f>'DCF - Valuation'!O40</f>
        <v>-278.16160084833206</v>
      </c>
      <c r="Q70" s="557">
        <f>'DCF - Valuation'!P40</f>
        <v>-320.00158564526726</v>
      </c>
      <c r="R70" s="557">
        <f>'DCF - Valuation'!Q40</f>
        <v>-338.66769810978872</v>
      </c>
      <c r="S70" s="557">
        <f>'DCF - Valuation'!R40</f>
        <v>-358.44209212896442</v>
      </c>
      <c r="T70" s="557">
        <f>'DCF - Valuation'!S40</f>
        <v>-379.39104186720851</v>
      </c>
      <c r="V70" s="5">
        <f t="shared" si="0"/>
        <v>1</v>
      </c>
      <c r="W70" s="24">
        <v>1</v>
      </c>
      <c r="X70" s="1"/>
    </row>
    <row r="71" spans="3:24">
      <c r="C71" s="561" t="s">
        <v>95</v>
      </c>
      <c r="D71" s="775"/>
      <c r="E71" s="776"/>
      <c r="F71" s="776"/>
      <c r="G71" s="553"/>
      <c r="H71" s="553"/>
      <c r="I71" s="553"/>
      <c r="J71" s="553"/>
      <c r="K71" s="553"/>
      <c r="L71" s="553"/>
      <c r="M71" s="553">
        <f>'DCF - Valuation'!L41</f>
        <v>4300.9287601521555</v>
      </c>
      <c r="N71" s="553">
        <f>'DCF - Valuation'!M41</f>
        <v>3544.3050837168921</v>
      </c>
      <c r="O71" s="553">
        <f>'DCF - Valuation'!N41</f>
        <v>3889.3895545303553</v>
      </c>
      <c r="P71" s="553">
        <f>'DCF - Valuation'!O41</f>
        <v>4128.6735950896291</v>
      </c>
      <c r="Q71" s="553">
        <f>'DCF - Valuation'!P41</f>
        <v>4447.1292444279725</v>
      </c>
      <c r="R71" s="553">
        <f>'DCF - Valuation'!Q41</f>
        <v>4610.3878903784835</v>
      </c>
      <c r="S71" s="553">
        <f>'DCF - Valuation'!R41</f>
        <v>4985.2345246468476</v>
      </c>
      <c r="T71" s="553">
        <f>'DCF - Valuation'!S41</f>
        <v>5324.540111127596</v>
      </c>
      <c r="V71" s="5">
        <f t="shared" si="0"/>
        <v>1</v>
      </c>
      <c r="W71" s="24">
        <v>1</v>
      </c>
      <c r="X71" s="1"/>
    </row>
    <row r="72" spans="3:24">
      <c r="C72" s="552"/>
      <c r="D72" s="552"/>
      <c r="E72" s="767"/>
      <c r="F72" s="767"/>
      <c r="G72" s="569"/>
      <c r="H72" s="569"/>
      <c r="I72" s="569"/>
      <c r="J72" s="569"/>
      <c r="K72" s="569"/>
      <c r="L72" s="569"/>
      <c r="M72" s="569"/>
      <c r="N72" s="569"/>
      <c r="O72" s="569"/>
      <c r="P72" s="569"/>
      <c r="Q72" s="569"/>
      <c r="R72" s="569"/>
      <c r="S72" s="569"/>
      <c r="T72" s="569"/>
      <c r="V72" s="5">
        <f t="shared" ref="V72:V75" si="16">IF(NOT(ISBLANK(C72)), 1, 0)</f>
        <v>0</v>
      </c>
      <c r="W72" s="24">
        <v>0</v>
      </c>
      <c r="X72" s="1"/>
    </row>
    <row r="73" spans="3:24">
      <c r="C73" s="1112" t="s">
        <v>96</v>
      </c>
      <c r="D73" s="1112"/>
      <c r="E73" s="768"/>
      <c r="F73" s="552"/>
      <c r="G73" s="552"/>
      <c r="H73" s="552"/>
      <c r="I73" s="1112" t="s">
        <v>97</v>
      </c>
      <c r="J73" s="1113"/>
      <c r="K73" s="1113"/>
      <c r="L73" s="1119"/>
      <c r="M73" s="552"/>
      <c r="R73" s="555"/>
      <c r="S73" s="555"/>
      <c r="T73" s="555"/>
      <c r="V73" s="5">
        <f t="shared" si="16"/>
        <v>1</v>
      </c>
      <c r="W73" s="24">
        <v>1</v>
      </c>
      <c r="X73" s="2"/>
    </row>
    <row r="74" spans="3:24">
      <c r="C74" s="11" t="str">
        <f>IF('DCF - Valuation'!R8=1,"EBITDA Multiple", "Revenue Multiple")</f>
        <v>EBITDA Multiple</v>
      </c>
      <c r="D74" s="1183">
        <f>IF('DCF - Valuation'!R8=1,'DCF - Valuation'!S8,'DCF - Valuation'!S10)</f>
        <v>13.669403978055193</v>
      </c>
      <c r="E74" s="552"/>
      <c r="F74" s="552"/>
      <c r="G74" s="552"/>
      <c r="H74" s="552"/>
      <c r="I74" s="552" t="s">
        <v>98</v>
      </c>
      <c r="J74" s="552"/>
      <c r="K74" s="552"/>
      <c r="L74" s="769">
        <f>'DCF - Valuation'!D20</f>
        <v>45291</v>
      </c>
      <c r="M74" s="552"/>
      <c r="R74" s="555"/>
      <c r="S74" s="555"/>
      <c r="T74" s="555"/>
      <c r="V74" s="5">
        <f t="shared" si="16"/>
        <v>1</v>
      </c>
      <c r="W74" s="24">
        <v>1</v>
      </c>
      <c r="X74" s="2"/>
    </row>
    <row r="75" spans="3:24">
      <c r="C75" s="11" t="str">
        <f>IF('DCF - Valuation'!R8=1,"Terminal Year EBITDA", "Terminal Year Revenue")</f>
        <v>Terminal Year EBITDA</v>
      </c>
      <c r="D75" s="1177">
        <f>IF('DCF - Valuation'!R8=1,'DCF - Valuation'!S9,'DCF - Valuation'!S11)</f>
        <v>9508.6622532133097</v>
      </c>
      <c r="E75" s="552"/>
      <c r="F75" s="552"/>
      <c r="G75" s="552"/>
      <c r="H75" s="552"/>
      <c r="I75" s="1185" t="s">
        <v>99</v>
      </c>
      <c r="J75" s="502"/>
      <c r="K75" s="502"/>
      <c r="L75" s="801">
        <f>'DCF - Valuation'!D8</f>
        <v>4.0500000000000001E-2</v>
      </c>
      <c r="M75" s="552"/>
      <c r="R75" s="555"/>
      <c r="S75" s="555"/>
      <c r="T75" s="555"/>
      <c r="V75" s="5">
        <f t="shared" si="16"/>
        <v>1</v>
      </c>
      <c r="W75" s="24">
        <v>1</v>
      </c>
      <c r="X75" s="2"/>
    </row>
    <row r="76" spans="3:24">
      <c r="C76" s="191" t="s">
        <v>100</v>
      </c>
      <c r="D76" s="1177">
        <f>'DCF - Valuation'!S12</f>
        <v>129977.74563005727</v>
      </c>
      <c r="E76" s="552"/>
      <c r="F76" s="552"/>
      <c r="G76" s="552"/>
      <c r="H76" s="552"/>
      <c r="I76" s="1186" t="s">
        <v>101</v>
      </c>
      <c r="J76" s="502"/>
      <c r="K76" s="502"/>
      <c r="L76" s="801">
        <f>'DCF - Valuation'!D9</f>
        <v>0.11395</v>
      </c>
      <c r="M76" s="552"/>
      <c r="R76" s="555"/>
      <c r="S76" s="555"/>
      <c r="T76" s="555"/>
      <c r="V76" s="5">
        <f>IF(NOT(ISBLANK(#REF!)), 1, 0)</f>
        <v>1</v>
      </c>
      <c r="W76" s="24">
        <v>1</v>
      </c>
      <c r="X76" s="2"/>
    </row>
    <row r="77" spans="3:24">
      <c r="C77" s="11" t="s">
        <v>102</v>
      </c>
      <c r="D77" s="1178">
        <f>'DCF - Valuation'!S13</f>
        <v>76313.105347692865</v>
      </c>
      <c r="E77" s="552"/>
      <c r="F77" s="552"/>
      <c r="G77" s="552"/>
      <c r="H77" s="552"/>
      <c r="I77" s="1185" t="s">
        <v>103</v>
      </c>
      <c r="J77" s="502"/>
      <c r="K77" s="502"/>
      <c r="L77" s="801">
        <f>'DCF - Valuation'!D10</f>
        <v>7.3449999999999988E-2</v>
      </c>
      <c r="M77" s="552"/>
      <c r="R77" s="555"/>
      <c r="S77" s="555"/>
      <c r="T77" s="555"/>
      <c r="V77" s="5">
        <f>IF(NOT(ISBLANK(#REF!)), 1, 0)</f>
        <v>1</v>
      </c>
      <c r="W77" s="24">
        <v>1</v>
      </c>
      <c r="X77" s="2"/>
    </row>
    <row r="78" spans="3:24">
      <c r="C78" s="9" t="s">
        <v>104</v>
      </c>
      <c r="D78" s="6">
        <f>'DCF - Valuation'!S15</f>
        <v>26434.662054758777</v>
      </c>
      <c r="E78" s="556"/>
      <c r="F78" s="552"/>
      <c r="G78" s="552"/>
      <c r="H78" s="552"/>
      <c r="I78" s="1185" t="s">
        <v>105</v>
      </c>
      <c r="J78" s="502"/>
      <c r="K78" s="502"/>
      <c r="L78" s="1294">
        <f>'DCF - Valuation'!D11</f>
        <v>0.61604769155598604</v>
      </c>
      <c r="M78" s="552"/>
      <c r="R78" s="555"/>
      <c r="S78" s="555"/>
      <c r="T78" s="555"/>
      <c r="V78" s="5">
        <f t="shared" ref="V78:V86" si="17">IF(NOT(ISBLANK(C76)), 1, 0)</f>
        <v>1</v>
      </c>
      <c r="W78" s="24">
        <v>1</v>
      </c>
      <c r="X78" s="2"/>
    </row>
    <row r="79" spans="3:24">
      <c r="C79" s="1180" t="s">
        <v>106</v>
      </c>
      <c r="D79" s="1227">
        <f>SUM(D77:D78)</f>
        <v>102747.76740245165</v>
      </c>
      <c r="E79" s="552"/>
      <c r="F79" s="552"/>
      <c r="G79" s="552"/>
      <c r="H79" s="552"/>
      <c r="I79" s="1187" t="s">
        <v>107</v>
      </c>
      <c r="J79" s="1225"/>
      <c r="K79" s="1225"/>
      <c r="L79" s="1188">
        <f>'DCF - Valuation'!D12</f>
        <v>8.5748702944787175E-2</v>
      </c>
      <c r="M79" s="552"/>
      <c r="R79" s="555"/>
      <c r="S79" s="555"/>
      <c r="T79" s="555"/>
      <c r="V79" s="5">
        <f t="shared" si="17"/>
        <v>1</v>
      </c>
      <c r="W79" s="24">
        <v>1</v>
      </c>
      <c r="X79" s="2"/>
    </row>
    <row r="80" spans="3:24">
      <c r="C80" s="182" t="s">
        <v>108</v>
      </c>
      <c r="D80" s="1179">
        <f>'DCF - Valuation'!S20</f>
        <v>15690</v>
      </c>
      <c r="E80" s="552"/>
      <c r="F80" s="552"/>
      <c r="G80" s="552"/>
      <c r="H80" s="552"/>
      <c r="I80" s="1186" t="s">
        <v>109</v>
      </c>
      <c r="J80" s="502"/>
      <c r="K80" s="502"/>
      <c r="L80" s="801">
        <f>'DCF - Valuation'!D13</f>
        <v>5.2062374245472803E-2</v>
      </c>
      <c r="M80" s="552"/>
      <c r="R80" s="555"/>
      <c r="S80" s="555"/>
      <c r="T80" s="555"/>
      <c r="V80" s="5">
        <f t="shared" si="17"/>
        <v>1</v>
      </c>
      <c r="W80" s="24">
        <v>1</v>
      </c>
      <c r="X80" s="2"/>
    </row>
    <row r="81" spans="3:24">
      <c r="C81" s="182" t="s">
        <v>110</v>
      </c>
      <c r="D81" s="1179">
        <f>'DCF - Valuation'!S20</f>
        <v>15690</v>
      </c>
      <c r="E81" s="556"/>
      <c r="F81" s="552"/>
      <c r="G81" s="552"/>
      <c r="H81" s="552"/>
      <c r="I81" s="1186" t="s">
        <v>111</v>
      </c>
      <c r="J81" s="502"/>
      <c r="K81" s="502"/>
      <c r="L81" s="801">
        <f>'DCF - Valuation'!D14</f>
        <v>0.20480000000000001</v>
      </c>
      <c r="M81" s="552"/>
      <c r="R81" s="555"/>
      <c r="S81" s="555"/>
      <c r="T81" s="555"/>
      <c r="V81" s="5">
        <f t="shared" si="17"/>
        <v>1</v>
      </c>
      <c r="W81" s="24">
        <v>1</v>
      </c>
      <c r="X81" s="2"/>
    </row>
    <row r="82" spans="3:24">
      <c r="C82" s="182" t="s">
        <v>112</v>
      </c>
      <c r="D82" s="1179">
        <f>'DCF - Valuation'!S21</f>
        <v>241</v>
      </c>
      <c r="E82" s="552"/>
      <c r="F82" s="552"/>
      <c r="G82" s="552"/>
      <c r="H82" s="552"/>
      <c r="I82" s="1187" t="s">
        <v>113</v>
      </c>
      <c r="J82" s="1225"/>
      <c r="K82" s="1225"/>
      <c r="L82" s="1188">
        <f>'DCF - Valuation'!D15</f>
        <v>4.1399999999999972E-2</v>
      </c>
      <c r="M82" s="552"/>
      <c r="R82" s="555"/>
      <c r="S82" s="555"/>
      <c r="T82" s="555"/>
      <c r="V82" s="5">
        <f t="shared" si="17"/>
        <v>1</v>
      </c>
      <c r="W82" s="24">
        <v>1</v>
      </c>
      <c r="X82" s="2"/>
    </row>
    <row r="83" spans="3:24">
      <c r="C83" s="182" t="s">
        <v>114</v>
      </c>
      <c r="D83" s="1179">
        <f>'DCF - Valuation'!S22</f>
        <v>1470</v>
      </c>
      <c r="E83" s="558"/>
      <c r="F83" s="552"/>
      <c r="G83" s="552"/>
      <c r="H83" s="552"/>
      <c r="I83" s="1186" t="s">
        <v>115</v>
      </c>
      <c r="J83" s="502"/>
      <c r="K83" s="502"/>
      <c r="L83" s="801">
        <f>'DCF - Valuation'!D16</f>
        <v>0.27398533759851457</v>
      </c>
      <c r="M83" s="552"/>
      <c r="R83" s="555"/>
      <c r="S83" s="555"/>
      <c r="T83" s="555"/>
      <c r="V83" s="5">
        <f t="shared" si="17"/>
        <v>1</v>
      </c>
      <c r="W83" s="24">
        <v>1</v>
      </c>
      <c r="X83" s="2"/>
    </row>
    <row r="84" spans="3:24">
      <c r="C84" s="1181" t="s">
        <v>116</v>
      </c>
      <c r="D84" s="1227">
        <f>D79-SUM(D80:D82)+D83</f>
        <v>72596.767402451645</v>
      </c>
      <c r="E84" s="552"/>
      <c r="F84" s="552"/>
      <c r="G84" s="552"/>
      <c r="H84" s="552"/>
      <c r="I84" s="1187" t="s">
        <v>117</v>
      </c>
      <c r="J84" s="1225"/>
      <c r="K84" s="1225"/>
      <c r="L84" s="1188">
        <f>'DCF - Valuation'!D17</f>
        <v>7.3597808596403413E-2</v>
      </c>
      <c r="M84" s="552"/>
      <c r="R84" s="555"/>
      <c r="S84" s="555"/>
      <c r="T84" s="555"/>
      <c r="V84" s="5">
        <f t="shared" si="17"/>
        <v>1</v>
      </c>
      <c r="W84" s="24">
        <v>1</v>
      </c>
      <c r="X84" s="2"/>
    </row>
    <row r="85" spans="3:24">
      <c r="C85" s="3" t="s">
        <v>118</v>
      </c>
      <c r="D85" s="1179">
        <f>'DCF - Valuation'!S25</f>
        <v>2240</v>
      </c>
      <c r="E85" s="552"/>
      <c r="F85" s="552"/>
      <c r="G85" s="552"/>
      <c r="H85" s="552"/>
      <c r="I85" s="502"/>
      <c r="J85" s="502"/>
      <c r="K85" s="502"/>
      <c r="L85" s="502"/>
      <c r="M85" s="552"/>
      <c r="R85" s="555"/>
      <c r="S85" s="555"/>
      <c r="T85" s="555"/>
      <c r="V85" s="5">
        <f t="shared" si="17"/>
        <v>1</v>
      </c>
      <c r="W85" s="24">
        <v>1</v>
      </c>
      <c r="X85" s="2"/>
    </row>
    <row r="86" spans="3:24">
      <c r="C86" s="1182" t="s">
        <v>119</v>
      </c>
      <c r="D86" s="1226">
        <f>IFERROR(D84/D85,"")</f>
        <v>32.409271161808768</v>
      </c>
      <c r="E86" s="502"/>
      <c r="F86" s="502"/>
      <c r="G86" s="502"/>
      <c r="H86" s="502"/>
      <c r="I86" s="502"/>
      <c r="J86" s="502"/>
      <c r="K86" s="502"/>
      <c r="L86" s="502"/>
      <c r="M86" s="502"/>
      <c r="V86" s="5">
        <f t="shared" si="17"/>
        <v>1</v>
      </c>
      <c r="W86" s="24">
        <v>1</v>
      </c>
    </row>
    <row r="87" spans="3:24">
      <c r="C87" s="880" t="s">
        <v>120</v>
      </c>
      <c r="D87" s="1228">
        <f>D86*'Comps - Dataset'!E51</f>
        <v>25.603324217828927</v>
      </c>
      <c r="E87" s="502"/>
      <c r="F87" s="502"/>
      <c r="G87" s="502"/>
      <c r="H87" s="502"/>
      <c r="I87" s="502"/>
      <c r="J87" s="502"/>
      <c r="K87" s="502"/>
      <c r="L87" s="502"/>
      <c r="M87" s="502"/>
      <c r="V87" s="5"/>
      <c r="W87" s="24"/>
    </row>
    <row r="88" spans="3:24">
      <c r="E88" s="502"/>
      <c r="F88" s="502"/>
      <c r="G88" s="502"/>
      <c r="H88" s="502"/>
      <c r="I88" s="502"/>
      <c r="J88" s="502"/>
      <c r="K88" s="502"/>
      <c r="L88" s="502"/>
      <c r="M88" s="502"/>
      <c r="V88" s="5">
        <f>IF(NOT(ISBLANK(C85)), 1, 0)</f>
        <v>1</v>
      </c>
      <c r="W88" s="24">
        <v>1</v>
      </c>
    </row>
    <row r="89" spans="3:24" hidden="1">
      <c r="E89" s="502"/>
      <c r="F89" s="502"/>
      <c r="G89" s="502"/>
      <c r="H89" s="502"/>
      <c r="I89" s="502"/>
      <c r="J89" s="502"/>
      <c r="K89" s="502"/>
      <c r="L89" s="502"/>
      <c r="M89" s="502"/>
      <c r="V89" s="5">
        <f>IF(NOT(ISBLANK(C86)), 1, 0)</f>
        <v>1</v>
      </c>
      <c r="W89">
        <v>1</v>
      </c>
    </row>
    <row r="90" spans="3:24" hidden="1">
      <c r="C90" s="502"/>
      <c r="D90" s="502"/>
      <c r="E90" s="502"/>
      <c r="F90" s="502"/>
      <c r="G90" s="502"/>
      <c r="H90" s="502"/>
      <c r="I90" s="502"/>
      <c r="J90" s="502"/>
      <c r="K90" s="502"/>
      <c r="L90" s="502"/>
      <c r="M90" s="502"/>
    </row>
    <row r="91" spans="3:24" hidden="1">
      <c r="C91" s="502"/>
      <c r="D91" s="502"/>
      <c r="E91" s="502"/>
      <c r="F91" s="502"/>
      <c r="G91" s="502"/>
      <c r="H91" s="502"/>
      <c r="I91" s="502"/>
      <c r="J91" s="502"/>
      <c r="K91" s="502"/>
      <c r="L91" s="502"/>
      <c r="M91" s="502"/>
    </row>
    <row r="92" spans="3:24" hidden="1">
      <c r="C92" s="502"/>
      <c r="D92" s="502"/>
      <c r="E92" s="502"/>
      <c r="F92" s="502"/>
      <c r="G92" s="502"/>
      <c r="H92" s="502"/>
      <c r="I92" s="502"/>
      <c r="J92" s="502"/>
      <c r="K92" s="502"/>
      <c r="L92" s="502"/>
      <c r="M92" s="502"/>
    </row>
  </sheetData>
  <sheetProtection formatCells="0" formatColumns="0" formatRows="0" insertColumns="0" insertRows="0" insertHyperlinks="0" deleteColumns="0" deleteRows="0" sort="0" autoFilter="0" pivotTables="0"/>
  <conditionalFormatting sqref="C77:D77">
    <cfRule type="cellIs" dxfId="85" priority="1" stopIfTrue="1" operator="equal">
      <formula>"ERROR"</formula>
    </cfRule>
  </conditionalFormatting>
  <conditionalFormatting sqref="E71:F72">
    <cfRule type="cellIs" dxfId="84" priority="6" stopIfTrue="1" operator="equal">
      <formula>$F$5</formula>
    </cfRule>
  </conditionalFormatting>
  <conditionalFormatting sqref="V1:W1">
    <cfRule type="cellIs" dxfId="83" priority="3" operator="equal">
      <formula>"Check"</formula>
    </cfRule>
  </conditionalFormatting>
  <pageMargins left="0.7" right="0.7" top="0.75" bottom="0.75" header="0.3" footer="0.3"/>
  <pageSetup orientation="portrait" r:id="rId1"/>
  <ignoredErrors>
    <ignoredError sqref="A1:XFD8 A10:XFD25 A9:L9 U9:XFD9 A29:XFD1048576 A27:L27 S27:XFD27 A26:L26 N26:XFD26 A28:L28 R28:XFD28" unlocked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tabColor rgb="FF86654A"/>
  </sheetPr>
  <dimension ref="A1:IY435"/>
  <sheetViews>
    <sheetView showGridLines="0" zoomScale="171" zoomScaleNormal="100" zoomScaleSheetLayoutView="55" workbookViewId="0">
      <pane xSplit="5" ySplit="7" topLeftCell="G132" activePane="bottomRight" state="frozen"/>
      <selection pane="topRight" activeCell="V123" sqref="V123"/>
      <selection pane="bottomLeft" activeCell="V123" sqref="V123"/>
      <selection pane="bottomRight" activeCell="L44" sqref="L44"/>
    </sheetView>
  </sheetViews>
  <sheetFormatPr baseColWidth="10" defaultColWidth="0" defaultRowHeight="13" zeroHeight="1"/>
  <cols>
    <col min="1" max="1" width="2.1640625" style="3" customWidth="1"/>
    <col min="2" max="2" width="0.83203125" style="3" customWidth="1"/>
    <col min="3" max="3" width="36.5" style="3" customWidth="1"/>
    <col min="4" max="4" width="5.1640625" style="3" customWidth="1"/>
    <col min="5" max="5" width="8.5" style="3" customWidth="1"/>
    <col min="6" max="6" width="9" style="3" customWidth="1"/>
    <col min="7" max="9" width="6.5" style="3" customWidth="1"/>
    <col min="10" max="10" width="7.1640625" style="3" bestFit="1" customWidth="1"/>
    <col min="11" max="19" width="6.5" style="3" customWidth="1"/>
    <col min="20" max="20" width="4.1640625" style="2" customWidth="1"/>
    <col min="21" max="22" width="4.5" style="2" customWidth="1"/>
    <col min="23" max="23" width="3.5" style="2" hidden="1" customWidth="1"/>
    <col min="24" max="99" width="5.5" style="2" hidden="1" customWidth="1"/>
    <col min="100" max="258" width="5.5" style="3" hidden="1" customWidth="1"/>
    <col min="259" max="16384" width="9.5" style="3" hidden="1"/>
  </cols>
  <sheetData>
    <row r="1" spans="1:258" s="26" customFormat="1">
      <c r="A1" s="36"/>
      <c r="B1" s="36" t="str">
        <f>'DCF - Assumptions'!$F$8&amp;" | Discounted Cash Flows - Assumptions"</f>
        <v>Diageo PLC | Discounted Cash Flows - Assumptions</v>
      </c>
      <c r="C1" s="35"/>
      <c r="U1" s="34" t="str">
        <f>IF(U5=V5,"OK","Check")</f>
        <v>OK</v>
      </c>
      <c r="V1" s="34" t="str">
        <f>IF(U6=V6,"OK","Check")</f>
        <v>OK</v>
      </c>
    </row>
    <row r="2" spans="1:258" s="32" customFormat="1" ht="2.25" customHeight="1">
      <c r="A2" s="33"/>
      <c r="B2" s="33"/>
      <c r="T2" s="31"/>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row>
    <row r="3" spans="1:258" s="28" customFormat="1" ht="3" customHeight="1">
      <c r="A3" s="29"/>
      <c r="B3" s="29"/>
      <c r="T3" s="27"/>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row>
    <row r="4" spans="1:258" ht="11.25" customHeight="1">
      <c r="B4" s="117"/>
      <c r="G4" s="1001"/>
      <c r="H4" s="1001"/>
      <c r="I4" s="1001"/>
      <c r="J4" s="1001"/>
      <c r="K4" s="1001"/>
      <c r="T4" s="135"/>
    </row>
    <row r="5" spans="1:258">
      <c r="C5" s="926" t="s">
        <v>121</v>
      </c>
      <c r="D5" s="927"/>
      <c r="E5" s="927"/>
      <c r="F5" s="927"/>
      <c r="G5" s="927"/>
      <c r="H5" s="927"/>
      <c r="I5" s="927"/>
      <c r="J5" s="927"/>
      <c r="K5" s="927"/>
      <c r="L5" s="927"/>
      <c r="M5" s="927"/>
      <c r="N5" s="927"/>
      <c r="O5" s="927"/>
      <c r="P5" s="927"/>
      <c r="Q5" s="927"/>
      <c r="R5" s="927"/>
      <c r="S5" s="927"/>
      <c r="U5" s="93">
        <f>ROWS(C5:C197)</f>
        <v>193</v>
      </c>
      <c r="V5" s="24">
        <v>193</v>
      </c>
    </row>
    <row r="6" spans="1:258" s="2" customFormat="1" ht="13.5" customHeight="1">
      <c r="B6" s="3"/>
      <c r="C6" s="3"/>
      <c r="D6" s="3"/>
      <c r="E6" s="3"/>
      <c r="F6" s="3"/>
      <c r="G6" s="3"/>
      <c r="H6" s="3"/>
      <c r="I6" s="3"/>
      <c r="J6" s="3"/>
      <c r="K6" s="3"/>
      <c r="L6" s="1120" t="s">
        <v>122</v>
      </c>
      <c r="M6" s="1121"/>
      <c r="N6" s="1121"/>
      <c r="O6" s="1121"/>
      <c r="P6" s="1121"/>
      <c r="Q6" s="1121"/>
      <c r="R6" s="1121"/>
      <c r="S6" s="1121"/>
      <c r="U6" s="93">
        <f>SUM(U8:U197)</f>
        <v>154</v>
      </c>
      <c r="V6" s="24">
        <v>154</v>
      </c>
    </row>
    <row r="7" spans="1:258" s="2" customFormat="1" ht="13.5" customHeight="1" thickBot="1">
      <c r="B7" s="3"/>
      <c r="C7" s="57"/>
      <c r="D7" s="85" t="s">
        <v>123</v>
      </c>
      <c r="E7" s="85" t="s">
        <v>124</v>
      </c>
      <c r="F7" s="57"/>
      <c r="G7" s="85">
        <f>F23</f>
        <v>2019</v>
      </c>
      <c r="H7" s="85">
        <f>IF((G7+1)&lt;='DCF - Assumptions'!$F$24,G7+1," ")</f>
        <v>2020</v>
      </c>
      <c r="I7" s="85">
        <f>IF((H7+1)&lt;='DCF - Assumptions'!$F$24,H7+1," ")</f>
        <v>2021</v>
      </c>
      <c r="J7" s="85">
        <f>IF((I7+1)&lt;='DCF - Assumptions'!$F$24,I7+1," ")</f>
        <v>2022</v>
      </c>
      <c r="K7" s="85">
        <f>IF((J7+1)&lt;='DCF - Assumptions'!$F$24,J7+1," ")</f>
        <v>2023</v>
      </c>
      <c r="L7" s="85">
        <f>IF((K7+1)&lt;='DCF - Assumptions'!$F$24,K7+1," ")</f>
        <v>2024</v>
      </c>
      <c r="M7" s="85">
        <f>IF((L7+1)&lt;='DCF - Assumptions'!$F$24,L7+1," ")</f>
        <v>2025</v>
      </c>
      <c r="N7" s="85">
        <f>IF((M7+1)&lt;='DCF - Assumptions'!$F$24,M7+1," ")</f>
        <v>2026</v>
      </c>
      <c r="O7" s="85">
        <f>IF((N7+1)&lt;='DCF - Assumptions'!$F$24,N7+1," ")</f>
        <v>2027</v>
      </c>
      <c r="P7" s="85">
        <f>IF((O7+1)&lt;='DCF - Assumptions'!$F$24,O7+1," ")</f>
        <v>2028</v>
      </c>
      <c r="Q7" s="85">
        <f>IF((P7+1)&lt;='DCF - Assumptions'!$F$24,P7+1," ")</f>
        <v>2029</v>
      </c>
      <c r="R7" s="85">
        <f>IF((Q7+1)&lt;='DCF - Assumptions'!$F$24,Q7+1," ")</f>
        <v>2030</v>
      </c>
      <c r="S7" s="85">
        <f>IF((R7+1)&lt;='DCF - Assumptions'!$F$24,R7+1," ")</f>
        <v>2031</v>
      </c>
      <c r="T7" s="23"/>
      <c r="U7" s="87"/>
      <c r="V7" s="202"/>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c r="IE7" s="23"/>
      <c r="IF7" s="23"/>
      <c r="IG7" s="23"/>
      <c r="IH7" s="23"/>
      <c r="II7" s="23"/>
      <c r="IJ7" s="23"/>
      <c r="IK7" s="23"/>
      <c r="IL7" s="23"/>
      <c r="IM7" s="23"/>
      <c r="IN7" s="23"/>
      <c r="IO7" s="23"/>
      <c r="IP7" s="23"/>
      <c r="IQ7" s="23"/>
      <c r="IR7" s="23"/>
      <c r="IS7" s="23"/>
      <c r="IT7" s="23"/>
      <c r="IU7" s="23"/>
      <c r="IV7" s="23"/>
      <c r="IW7" s="23"/>
      <c r="IX7" s="23"/>
    </row>
    <row r="8" spans="1:258" s="2" customFormat="1" ht="13.5" customHeight="1">
      <c r="B8" s="3"/>
      <c r="C8" s="3" t="s">
        <v>125</v>
      </c>
      <c r="D8" s="3" t="s">
        <v>126</v>
      </c>
      <c r="E8" s="3" t="s">
        <v>127</v>
      </c>
      <c r="F8" s="3" t="s">
        <v>128</v>
      </c>
      <c r="G8" s="23"/>
      <c r="H8" s="23"/>
      <c r="I8" s="23"/>
      <c r="J8" s="23"/>
      <c r="K8" s="23"/>
      <c r="L8" s="23"/>
      <c r="M8" s="23"/>
      <c r="N8" s="23"/>
      <c r="O8" s="23"/>
      <c r="P8" s="23"/>
      <c r="Q8" s="23"/>
      <c r="R8" s="23"/>
      <c r="S8" s="23"/>
      <c r="T8" s="23"/>
      <c r="U8" s="93">
        <f t="shared" ref="U8:U120" si="0">IF(NOT(ISBLANK(C8)), 1, 0)</f>
        <v>1</v>
      </c>
      <c r="V8" s="24">
        <v>1</v>
      </c>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row>
    <row r="9" spans="1:258" ht="13.5" customHeight="1">
      <c r="C9" s="81" t="s">
        <v>129</v>
      </c>
      <c r="D9" s="3" t="s">
        <v>130</v>
      </c>
      <c r="E9" s="3" t="s">
        <v>127</v>
      </c>
      <c r="F9" s="134">
        <v>45291</v>
      </c>
      <c r="U9" s="93">
        <f t="shared" si="0"/>
        <v>1</v>
      </c>
      <c r="V9" s="24">
        <v>1</v>
      </c>
    </row>
    <row r="10" spans="1:258" ht="13.5" customHeight="1">
      <c r="C10" s="81" t="s">
        <v>131</v>
      </c>
      <c r="D10" s="3" t="s">
        <v>132</v>
      </c>
      <c r="E10" s="3" t="s">
        <v>127</v>
      </c>
      <c r="F10" s="132">
        <v>1</v>
      </c>
      <c r="U10" s="93">
        <f t="shared" si="0"/>
        <v>1</v>
      </c>
      <c r="V10" s="24">
        <v>1</v>
      </c>
    </row>
    <row r="11" spans="1:258" ht="13.5" customHeight="1">
      <c r="C11" s="81" t="s">
        <v>133</v>
      </c>
      <c r="D11" s="3" t="s">
        <v>132</v>
      </c>
      <c r="E11" s="3" t="s">
        <v>134</v>
      </c>
      <c r="F11" s="133">
        <f>12/F10</f>
        <v>12</v>
      </c>
      <c r="U11" s="93">
        <f t="shared" si="0"/>
        <v>1</v>
      </c>
      <c r="V11" s="24">
        <v>1</v>
      </c>
    </row>
    <row r="12" spans="1:258" ht="13.5" customHeight="1">
      <c r="C12" s="81" t="s">
        <v>135</v>
      </c>
      <c r="D12" s="3" t="s">
        <v>132</v>
      </c>
      <c r="E12" s="3" t="s">
        <v>134</v>
      </c>
      <c r="F12" s="133">
        <f>365/F10</f>
        <v>365</v>
      </c>
      <c r="U12" s="93">
        <f t="shared" si="0"/>
        <v>1</v>
      </c>
      <c r="V12" s="24">
        <v>1</v>
      </c>
    </row>
    <row r="13" spans="1:258" ht="13.5" customHeight="1">
      <c r="C13" s="81" t="s">
        <v>136</v>
      </c>
      <c r="D13" s="3" t="s">
        <v>132</v>
      </c>
      <c r="E13" s="3" t="s">
        <v>127</v>
      </c>
      <c r="F13" s="132">
        <v>5</v>
      </c>
      <c r="U13" s="93">
        <f t="shared" si="0"/>
        <v>1</v>
      </c>
      <c r="V13" s="24">
        <v>1</v>
      </c>
    </row>
    <row r="14" spans="1:258" ht="13.5" customHeight="1">
      <c r="C14" s="81" t="s">
        <v>137</v>
      </c>
      <c r="D14" s="3" t="s">
        <v>132</v>
      </c>
      <c r="E14" s="3" t="s">
        <v>127</v>
      </c>
      <c r="F14" s="132">
        <v>8</v>
      </c>
      <c r="U14" s="93">
        <f t="shared" si="0"/>
        <v>1</v>
      </c>
      <c r="V14" s="24">
        <v>1</v>
      </c>
    </row>
    <row r="15" spans="1:258" ht="13.5" customHeight="1">
      <c r="C15" s="81" t="s">
        <v>138</v>
      </c>
      <c r="D15" s="3" t="s">
        <v>132</v>
      </c>
      <c r="E15" s="3" t="s">
        <v>127</v>
      </c>
      <c r="F15" s="132">
        <v>12</v>
      </c>
      <c r="U15" s="93">
        <f t="shared" si="0"/>
        <v>1</v>
      </c>
      <c r="V15" s="24">
        <v>1</v>
      </c>
    </row>
    <row r="16" spans="1:258" ht="13.5" customHeight="1">
      <c r="C16" s="81" t="s">
        <v>139</v>
      </c>
      <c r="D16" s="3" t="s">
        <v>132</v>
      </c>
      <c r="E16" s="3" t="s">
        <v>127</v>
      </c>
      <c r="F16" s="132">
        <v>1000</v>
      </c>
      <c r="U16" s="93">
        <f t="shared" si="0"/>
        <v>1</v>
      </c>
      <c r="V16" s="24">
        <v>1</v>
      </c>
    </row>
    <row r="17" spans="1:259" ht="13.5" customHeight="1">
      <c r="C17" s="103" t="s">
        <v>140</v>
      </c>
      <c r="D17" s="32" t="s">
        <v>130</v>
      </c>
      <c r="E17" s="32" t="s">
        <v>127</v>
      </c>
      <c r="F17" s="131">
        <v>45107</v>
      </c>
      <c r="U17" s="93">
        <f t="shared" si="0"/>
        <v>1</v>
      </c>
      <c r="V17" s="24">
        <v>1</v>
      </c>
    </row>
    <row r="18" spans="1:259" ht="13.5" customHeight="1">
      <c r="C18" s="81" t="s">
        <v>141</v>
      </c>
      <c r="D18" s="3" t="s">
        <v>130</v>
      </c>
      <c r="E18" s="3" t="s">
        <v>134</v>
      </c>
      <c r="F18" s="130">
        <f>EOMONTH(F17, 1*F11)</f>
        <v>45473</v>
      </c>
      <c r="U18" s="93">
        <f t="shared" si="0"/>
        <v>1</v>
      </c>
      <c r="V18" s="24">
        <v>1</v>
      </c>
    </row>
    <row r="19" spans="1:259" ht="13.5" customHeight="1">
      <c r="C19" s="81" t="s">
        <v>142</v>
      </c>
      <c r="D19" s="3" t="s">
        <v>130</v>
      </c>
      <c r="E19" s="3" t="s">
        <v>134</v>
      </c>
      <c r="F19" s="130">
        <f>EOMONTH(F17,-(F13-1)*F11)</f>
        <v>43646</v>
      </c>
      <c r="U19" s="93">
        <f t="shared" si="0"/>
        <v>1</v>
      </c>
      <c r="V19" s="24">
        <v>1</v>
      </c>
    </row>
    <row r="20" spans="1:259" ht="13.5" customHeight="1">
      <c r="C20" s="81" t="s">
        <v>143</v>
      </c>
      <c r="D20" s="3" t="s">
        <v>130</v>
      </c>
      <c r="E20" s="3" t="s">
        <v>134</v>
      </c>
      <c r="F20" s="130">
        <f>EOMONTH(F17,F14*F11)</f>
        <v>48029</v>
      </c>
      <c r="U20" s="93">
        <f t="shared" si="0"/>
        <v>1</v>
      </c>
      <c r="V20" s="24">
        <v>1</v>
      </c>
    </row>
    <row r="21" spans="1:259" ht="13.5" customHeight="1">
      <c r="C21" s="103" t="s">
        <v>144</v>
      </c>
      <c r="D21" s="32" t="s">
        <v>145</v>
      </c>
      <c r="E21" s="32" t="s">
        <v>134</v>
      </c>
      <c r="F21" s="129">
        <f>YEAR(F17)</f>
        <v>2023</v>
      </c>
      <c r="U21" s="93">
        <f t="shared" si="0"/>
        <v>1</v>
      </c>
      <c r="V21" s="24">
        <v>1</v>
      </c>
    </row>
    <row r="22" spans="1:259" ht="13.5" customHeight="1">
      <c r="C22" s="81" t="s">
        <v>146</v>
      </c>
      <c r="D22" s="3" t="s">
        <v>145</v>
      </c>
      <c r="E22" s="3" t="s">
        <v>134</v>
      </c>
      <c r="F22" s="73">
        <f>YEAR(F18)</f>
        <v>2024</v>
      </c>
      <c r="U22" s="93">
        <f t="shared" si="0"/>
        <v>1</v>
      </c>
      <c r="V22" s="24">
        <v>1</v>
      </c>
    </row>
    <row r="23" spans="1:259" ht="13.5" customHeight="1">
      <c r="C23" s="81" t="s">
        <v>147</v>
      </c>
      <c r="D23" s="3" t="s">
        <v>145</v>
      </c>
      <c r="E23" s="3" t="s">
        <v>134</v>
      </c>
      <c r="F23" s="1074">
        <v>2019</v>
      </c>
      <c r="U23" s="93">
        <f t="shared" si="0"/>
        <v>1</v>
      </c>
      <c r="V23" s="24">
        <v>1</v>
      </c>
    </row>
    <row r="24" spans="1:259" ht="13.5" customHeight="1">
      <c r="C24" s="81" t="s">
        <v>148</v>
      </c>
      <c r="D24" s="3" t="s">
        <v>145</v>
      </c>
      <c r="E24" s="3" t="s">
        <v>134</v>
      </c>
      <c r="F24" s="73">
        <v>2031</v>
      </c>
      <c r="U24" s="93">
        <f t="shared" si="0"/>
        <v>1</v>
      </c>
      <c r="V24" s="24">
        <v>1</v>
      </c>
    </row>
    <row r="25" spans="1:259" ht="13.5" customHeight="1">
      <c r="C25" s="81"/>
      <c r="F25" s="73"/>
      <c r="U25" s="93">
        <f t="shared" si="0"/>
        <v>0</v>
      </c>
      <c r="V25" s="24">
        <v>0</v>
      </c>
    </row>
    <row r="26" spans="1:259" s="2" customFormat="1" ht="15">
      <c r="B26" s="3"/>
      <c r="C26" s="926" t="s">
        <v>149</v>
      </c>
      <c r="D26" s="927"/>
      <c r="E26" s="927"/>
      <c r="F26" s="927"/>
      <c r="G26" s="927"/>
      <c r="H26" s="927"/>
      <c r="I26" s="927"/>
      <c r="J26" s="927"/>
      <c r="K26" s="927"/>
      <c r="L26" s="927"/>
      <c r="M26" s="927"/>
      <c r="N26" s="927"/>
      <c r="O26" s="927"/>
      <c r="P26" s="927"/>
      <c r="Q26" s="927"/>
      <c r="R26" s="927"/>
      <c r="S26" s="927"/>
      <c r="T26"/>
      <c r="U26" s="93">
        <f t="shared" si="0"/>
        <v>1</v>
      </c>
      <c r="V26" s="24">
        <v>1</v>
      </c>
    </row>
    <row r="27" spans="1:259" s="2" customFormat="1" ht="13.5" customHeight="1">
      <c r="B27" s="3"/>
      <c r="C27" s="81"/>
      <c r="D27" s="3"/>
      <c r="E27" s="3"/>
      <c r="F27" s="3"/>
      <c r="G27" s="120"/>
      <c r="H27" s="120"/>
      <c r="I27" s="120"/>
      <c r="J27" s="120"/>
      <c r="K27" s="120"/>
      <c r="L27" s="75"/>
      <c r="M27" s="75"/>
      <c r="N27" s="75"/>
      <c r="O27" s="75"/>
      <c r="P27" s="75"/>
      <c r="Q27" s="75"/>
      <c r="R27" s="75"/>
      <c r="S27" s="75"/>
      <c r="T27"/>
      <c r="U27" s="93">
        <f t="shared" si="0"/>
        <v>0</v>
      </c>
      <c r="V27" s="24">
        <v>0</v>
      </c>
      <c r="W27" s="127"/>
    </row>
    <row r="28" spans="1:259" s="2" customFormat="1" ht="13.5" customHeight="1">
      <c r="A28" s="54"/>
      <c r="B28" s="54"/>
      <c r="C28" s="115" t="s">
        <v>150</v>
      </c>
      <c r="D28" s="3"/>
      <c r="E28" s="3"/>
      <c r="H28" s="97"/>
      <c r="I28" s="97"/>
      <c r="J28" s="97"/>
      <c r="K28" s="97"/>
      <c r="L28" s="97"/>
      <c r="M28" s="97"/>
      <c r="N28" s="97"/>
      <c r="O28" s="97"/>
      <c r="P28" s="97"/>
      <c r="Q28" s="97"/>
      <c r="R28" s="97"/>
      <c r="S28" s="97"/>
      <c r="U28" s="93">
        <f t="shared" si="0"/>
        <v>1</v>
      </c>
      <c r="V28" s="24">
        <v>1</v>
      </c>
    </row>
    <row r="29" spans="1:259" s="2" customFormat="1" ht="13.5" customHeight="1">
      <c r="A29" s="54"/>
      <c r="B29" s="54"/>
      <c r="C29" s="729" t="str">
        <f>'DCF - Capital Structure'!C77</f>
        <v>Net Debt / Adjusted EBITDA (Output)</v>
      </c>
      <c r="D29" s="74" t="s">
        <v>151</v>
      </c>
      <c r="E29" s="74" t="s">
        <v>134</v>
      </c>
      <c r="F29" s="74"/>
      <c r="G29" s="74"/>
      <c r="H29" s="177">
        <f>'DCF - Capital Structure'!H77</f>
        <v>3.3384397831722836</v>
      </c>
      <c r="I29" s="177">
        <f>'DCF - Capital Structure'!I77</f>
        <v>2.8458629893238436</v>
      </c>
      <c r="J29" s="177">
        <f>'DCF - Capital Structure'!J77</f>
        <v>2.5900389932647996</v>
      </c>
      <c r="K29" s="177">
        <f>'DCF - Capital Structure'!K77</f>
        <v>2.6350569965306461</v>
      </c>
      <c r="L29" s="736">
        <f>'DCF - Capital Structure'!L77</f>
        <v>2.8052758984276447</v>
      </c>
      <c r="M29" s="736">
        <f>'DCF - Capital Structure'!M77</f>
        <v>2.8999999999999995</v>
      </c>
      <c r="N29" s="736">
        <f>'DCF - Capital Structure'!N77</f>
        <v>3</v>
      </c>
      <c r="O29" s="736">
        <f>'DCF - Capital Structure'!O77</f>
        <v>2.9</v>
      </c>
      <c r="P29" s="736">
        <f>'DCF - Capital Structure'!P77</f>
        <v>2.9</v>
      </c>
      <c r="Q29" s="736">
        <f>'DCF - Capital Structure'!Q77</f>
        <v>2.9</v>
      </c>
      <c r="R29" s="736">
        <f>'DCF - Capital Structure'!R77</f>
        <v>2.9</v>
      </c>
      <c r="S29" s="737">
        <f>'DCF - Capital Structure'!S77</f>
        <v>2.9</v>
      </c>
      <c r="U29" s="93">
        <f t="shared" si="0"/>
        <v>1</v>
      </c>
      <c r="V29" s="24">
        <v>1</v>
      </c>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row>
    <row r="30" spans="1:259" s="2" customFormat="1" ht="13.5" customHeight="1">
      <c r="A30" s="54"/>
      <c r="B30" s="54"/>
      <c r="C30" s="730" t="str">
        <f>'DCF - Capital Structure'!C78</f>
        <v>Adjusted EBITDA / Interest Expense (Output)</v>
      </c>
      <c r="D30" s="72" t="s">
        <v>151</v>
      </c>
      <c r="E30" s="72" t="s">
        <v>134</v>
      </c>
      <c r="F30" s="72"/>
      <c r="G30" s="72"/>
      <c r="H30" s="176">
        <f>'DCF - Capital Structure'!H78</f>
        <v>8.0819047619047613</v>
      </c>
      <c r="I30" s="176">
        <f>'DCF - Capital Structure'!I78</f>
        <v>9.6688172043010745</v>
      </c>
      <c r="J30" s="176">
        <f>'DCF - Capital Structure'!J78</f>
        <v>11.877894736842105</v>
      </c>
      <c r="K30" s="176">
        <f>'DCF - Capital Structure'!K78</f>
        <v>8.0066137566137563</v>
      </c>
      <c r="L30" s="738">
        <f>'DCF - Capital Structure'!L78</f>
        <v>8.1836961185357318</v>
      </c>
      <c r="M30" s="738">
        <f>'DCF - Capital Structure'!M78</f>
        <v>8.7529063227709969</v>
      </c>
      <c r="N30" s="738">
        <f>'DCF - Capital Structure'!N78</f>
        <v>10.38166738046769</v>
      </c>
      <c r="O30" s="738">
        <f>'DCF - Capital Structure'!O78</f>
        <v>10.261618482100175</v>
      </c>
      <c r="P30" s="738">
        <f>'DCF - Capital Structure'!P78</f>
        <v>10.453421329563275</v>
      </c>
      <c r="Q30" s="738">
        <f>'DCF - Capital Structure'!Q78</f>
        <v>10.260154430283583</v>
      </c>
      <c r="R30" s="738">
        <f>'DCF - Capital Structure'!R78</f>
        <v>10.351250147689216</v>
      </c>
      <c r="S30" s="739">
        <f>'DCF - Capital Structure'!S78</f>
        <v>10.307509806710572</v>
      </c>
      <c r="U30" s="93">
        <f t="shared" si="0"/>
        <v>1</v>
      </c>
      <c r="V30" s="24">
        <v>1</v>
      </c>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row>
    <row r="31" spans="1:259" s="2" customFormat="1" ht="13.5" customHeight="1">
      <c r="B31" s="3"/>
      <c r="C31" s="636"/>
      <c r="D31" s="3"/>
      <c r="E31" s="637" t="s">
        <v>152</v>
      </c>
      <c r="F31" s="3"/>
      <c r="G31" s="120"/>
      <c r="H31" s="120"/>
      <c r="I31" s="120"/>
      <c r="J31" s="120"/>
      <c r="K31" s="120"/>
      <c r="L31" s="128"/>
      <c r="M31" s="128"/>
      <c r="N31" s="128"/>
      <c r="O31" s="128"/>
      <c r="P31" s="128"/>
      <c r="Q31" s="128"/>
      <c r="R31" s="128"/>
      <c r="S31" s="128"/>
      <c r="T31"/>
      <c r="U31" s="93">
        <f t="shared" si="0"/>
        <v>0</v>
      </c>
      <c r="V31" s="24">
        <v>0</v>
      </c>
      <c r="W31" s="127"/>
    </row>
    <row r="32" spans="1:259" s="2" customFormat="1" ht="13.5" customHeight="1">
      <c r="B32" s="3"/>
      <c r="C32" s="639" t="str">
        <f>" Active | "&amp;CHOOSE($E$32,C33,C34,C35)</f>
        <v xml:space="preserve"> Active | Scenario 2 - North America Net Sales Growth</v>
      </c>
      <c r="D32" s="32"/>
      <c r="E32" s="911">
        <v>2</v>
      </c>
      <c r="F32" s="32"/>
      <c r="G32" s="638"/>
      <c r="H32" s="638"/>
      <c r="I32" s="638"/>
      <c r="J32" s="638"/>
      <c r="K32" s="638"/>
      <c r="L32" s="734">
        <f t="shared" ref="L32:S32" si="1">CHOOSE($E$32,L33,L34,L35)</f>
        <v>0.02</v>
      </c>
      <c r="M32" s="734">
        <f t="shared" si="1"/>
        <v>3.2000000000000001E-2</v>
      </c>
      <c r="N32" s="734">
        <f t="shared" si="1"/>
        <v>4.2999999999999997E-2</v>
      </c>
      <c r="O32" s="734">
        <f t="shared" si="1"/>
        <v>0.05</v>
      </c>
      <c r="P32" s="734">
        <f t="shared" si="1"/>
        <v>6.5000000000000002E-2</v>
      </c>
      <c r="Q32" s="734">
        <f t="shared" si="1"/>
        <v>6.5000000000000002E-2</v>
      </c>
      <c r="R32" s="734">
        <f t="shared" si="1"/>
        <v>6.5000000000000002E-2</v>
      </c>
      <c r="S32" s="735">
        <f t="shared" si="1"/>
        <v>6.5000000000000002E-2</v>
      </c>
      <c r="T32"/>
      <c r="U32" s="93">
        <f t="shared" si="0"/>
        <v>1</v>
      </c>
      <c r="V32" s="24">
        <v>1</v>
      </c>
      <c r="W32" s="127"/>
    </row>
    <row r="33" spans="2:23" s="2" customFormat="1" ht="13.5" customHeight="1">
      <c r="B33" s="3"/>
      <c r="C33" s="633" t="str">
        <f>"Scenario "&amp;TEXT(E33,"0")&amp;" - North America Net Sales Growth"</f>
        <v>Scenario 1 - North America Net Sales Growth</v>
      </c>
      <c r="D33" s="625"/>
      <c r="E33" s="731">
        <v>1</v>
      </c>
      <c r="F33" s="628"/>
      <c r="G33" s="629"/>
      <c r="H33" s="629"/>
      <c r="I33" s="629"/>
      <c r="J33" s="629"/>
      <c r="K33" s="629"/>
      <c r="L33" s="1216">
        <f>L34-0.003</f>
        <v>1.7000000000000001E-2</v>
      </c>
      <c r="M33" s="1216">
        <f>M34-0.003</f>
        <v>2.9000000000000001E-2</v>
      </c>
      <c r="N33" s="1216">
        <f>N34-0.003</f>
        <v>3.9999999999999994E-2</v>
      </c>
      <c r="O33" s="1216">
        <f>O34-0.003</f>
        <v>4.7E-2</v>
      </c>
      <c r="P33" s="1216">
        <f>P34-0.003</f>
        <v>6.2E-2</v>
      </c>
      <c r="Q33" s="1216">
        <f>Q34-0.003</f>
        <v>6.2E-2</v>
      </c>
      <c r="R33" s="1216">
        <f>R34-0.003</f>
        <v>6.2E-2</v>
      </c>
      <c r="S33" s="1217">
        <f t="shared" ref="M33:S33" si="2">S34-0.003</f>
        <v>6.2E-2</v>
      </c>
      <c r="T33"/>
      <c r="U33" s="93">
        <f t="shared" si="0"/>
        <v>1</v>
      </c>
      <c r="V33" s="24">
        <v>1</v>
      </c>
      <c r="W33" s="127"/>
    </row>
    <row r="34" spans="2:23" s="2" customFormat="1" ht="13.5" customHeight="1">
      <c r="B34" s="3"/>
      <c r="C34" s="634" t="str">
        <f t="shared" ref="C34:C35" si="3">"Scenario "&amp;TEXT(E34,"0")&amp;" - North America Net Sales Growth"</f>
        <v>Scenario 2 - North America Net Sales Growth</v>
      </c>
      <c r="D34" s="626"/>
      <c r="E34" s="732">
        <v>2</v>
      </c>
      <c r="F34" s="630"/>
      <c r="G34" s="120"/>
      <c r="H34" s="120"/>
      <c r="I34" s="120"/>
      <c r="J34" s="120"/>
      <c r="K34" s="120"/>
      <c r="L34" s="1346">
        <v>0.02</v>
      </c>
      <c r="M34" s="1346">
        <v>3.2000000000000001E-2</v>
      </c>
      <c r="N34" s="1346">
        <v>4.2999999999999997E-2</v>
      </c>
      <c r="O34" s="1346">
        <v>0.05</v>
      </c>
      <c r="P34" s="1346">
        <v>6.5000000000000002E-2</v>
      </c>
      <c r="Q34" s="1346">
        <f>P34</f>
        <v>6.5000000000000002E-2</v>
      </c>
      <c r="R34" s="1346">
        <f>Q34</f>
        <v>6.5000000000000002E-2</v>
      </c>
      <c r="S34" s="1347">
        <f>R34</f>
        <v>6.5000000000000002E-2</v>
      </c>
      <c r="T34"/>
      <c r="U34" s="93">
        <f t="shared" si="0"/>
        <v>1</v>
      </c>
      <c r="V34" s="24">
        <v>1</v>
      </c>
      <c r="W34" s="127"/>
    </row>
    <row r="35" spans="2:23" s="2" customFormat="1" ht="13.5" customHeight="1">
      <c r="B35" s="3"/>
      <c r="C35" s="635" t="str">
        <f t="shared" si="3"/>
        <v>Scenario 3 - North America Net Sales Growth</v>
      </c>
      <c r="D35" s="627"/>
      <c r="E35" s="733">
        <v>3</v>
      </c>
      <c r="F35" s="631"/>
      <c r="G35" s="632"/>
      <c r="H35" s="632"/>
      <c r="I35" s="632"/>
      <c r="J35" s="632"/>
      <c r="K35" s="632"/>
      <c r="L35" s="1348">
        <v>3.2000000000000001E-2</v>
      </c>
      <c r="M35" s="1348">
        <v>4.2999999999999997E-2</v>
      </c>
      <c r="N35" s="1348">
        <v>4.3999999999999997E-2</v>
      </c>
      <c r="O35" s="1348">
        <v>0.05</v>
      </c>
      <c r="P35" s="1348">
        <v>6.6000000000000003E-2</v>
      </c>
      <c r="Q35" s="1348">
        <v>6.8000000000000005E-2</v>
      </c>
      <c r="R35" s="1348">
        <v>6.8000000000000005E-2</v>
      </c>
      <c r="S35" s="1349">
        <v>6.8000000000000005E-2</v>
      </c>
      <c r="T35"/>
      <c r="U35" s="93">
        <f t="shared" si="0"/>
        <v>1</v>
      </c>
      <c r="V35" s="24">
        <v>1</v>
      </c>
      <c r="W35" s="127"/>
    </row>
    <row r="36" spans="2:23" s="2" customFormat="1" ht="13.5" customHeight="1">
      <c r="B36" s="3"/>
      <c r="C36" s="636"/>
      <c r="D36" s="3"/>
      <c r="E36" s="637" t="s">
        <v>152</v>
      </c>
      <c r="F36" s="3"/>
      <c r="G36" s="120"/>
      <c r="H36" s="120"/>
      <c r="I36" s="120"/>
      <c r="J36" s="120"/>
      <c r="K36" s="120"/>
      <c r="L36" s="75"/>
      <c r="M36" s="75"/>
      <c r="N36" s="75"/>
      <c r="O36" s="75"/>
      <c r="P36" s="75"/>
      <c r="Q36" s="75"/>
      <c r="R36" s="75"/>
      <c r="S36" s="75"/>
      <c r="T36"/>
      <c r="U36" s="93">
        <f t="shared" si="0"/>
        <v>0</v>
      </c>
      <c r="V36" s="24">
        <v>0</v>
      </c>
      <c r="W36" s="127"/>
    </row>
    <row r="37" spans="2:23" s="2" customFormat="1" ht="13.5" customHeight="1">
      <c r="B37" s="3"/>
      <c r="C37" s="639" t="str">
        <f>" Active | "&amp;CHOOSE($E37,C38,C39,C40)</f>
        <v xml:space="preserve"> Active | Scenario 2 - Europe Net Sales Growth</v>
      </c>
      <c r="D37" s="32"/>
      <c r="E37" s="911">
        <v>2</v>
      </c>
      <c r="F37" s="32"/>
      <c r="G37" s="638"/>
      <c r="H37" s="638"/>
      <c r="I37" s="638"/>
      <c r="J37" s="638"/>
      <c r="K37" s="638"/>
      <c r="L37" s="734">
        <f t="shared" ref="L37:S37" si="4">CHOOSE($E$32,L38,L39,L40)</f>
        <v>5.8000000000000003E-2</v>
      </c>
      <c r="M37" s="734">
        <f t="shared" si="4"/>
        <v>0.04</v>
      </c>
      <c r="N37" s="734">
        <f t="shared" si="4"/>
        <v>5.2999999999999999E-2</v>
      </c>
      <c r="O37" s="734">
        <f t="shared" si="4"/>
        <v>0.05</v>
      </c>
      <c r="P37" s="734">
        <f t="shared" si="4"/>
        <v>0.05</v>
      </c>
      <c r="Q37" s="734">
        <f t="shared" si="4"/>
        <v>0.05</v>
      </c>
      <c r="R37" s="734">
        <f t="shared" si="4"/>
        <v>0.05</v>
      </c>
      <c r="S37" s="735">
        <f t="shared" si="4"/>
        <v>0.05</v>
      </c>
      <c r="T37"/>
      <c r="U37" s="93">
        <f t="shared" si="0"/>
        <v>1</v>
      </c>
      <c r="V37" s="24">
        <v>1</v>
      </c>
      <c r="W37" s="127"/>
    </row>
    <row r="38" spans="2:23" s="2" customFormat="1" ht="13.5" customHeight="1">
      <c r="B38" s="3"/>
      <c r="C38" s="633" t="str">
        <f>"Scenario "&amp;TEXT(E38,"0")&amp;" - Europe Net Sales Growth"</f>
        <v>Scenario 1 - Europe Net Sales Growth</v>
      </c>
      <c r="D38" s="625"/>
      <c r="E38" s="731">
        <v>1</v>
      </c>
      <c r="F38" s="628"/>
      <c r="G38" s="629"/>
      <c r="H38" s="629"/>
      <c r="I38" s="629"/>
      <c r="J38" s="629"/>
      <c r="K38" s="629"/>
      <c r="L38" s="1216">
        <f>L39-0.002</f>
        <v>5.6000000000000001E-2</v>
      </c>
      <c r="M38" s="1216">
        <f t="shared" ref="M38:S38" si="5">M39-0.002</f>
        <v>3.7999999999999999E-2</v>
      </c>
      <c r="N38" s="1216">
        <f t="shared" si="5"/>
        <v>5.0999999999999997E-2</v>
      </c>
      <c r="O38" s="1216">
        <f>O39-0.002</f>
        <v>4.8000000000000001E-2</v>
      </c>
      <c r="P38" s="1216">
        <f>P39-0.002</f>
        <v>4.8000000000000001E-2</v>
      </c>
      <c r="Q38" s="1216">
        <f>Q39-0.002</f>
        <v>4.8000000000000001E-2</v>
      </c>
      <c r="R38" s="1216">
        <f t="shared" si="5"/>
        <v>4.8000000000000001E-2</v>
      </c>
      <c r="S38" s="1217">
        <f t="shared" si="5"/>
        <v>4.8000000000000001E-2</v>
      </c>
      <c r="T38"/>
      <c r="U38" s="93">
        <f t="shared" si="0"/>
        <v>1</v>
      </c>
      <c r="V38" s="24">
        <v>1</v>
      </c>
      <c r="W38" s="127"/>
    </row>
    <row r="39" spans="2:23" s="2" customFormat="1" ht="13.5" customHeight="1">
      <c r="B39" s="3"/>
      <c r="C39" s="634" t="str">
        <f t="shared" ref="C39:C40" si="6">"Scenario "&amp;TEXT(E39,"0")&amp;" - Europe Net Sales Growth"</f>
        <v>Scenario 2 - Europe Net Sales Growth</v>
      </c>
      <c r="D39" s="626"/>
      <c r="E39" s="732">
        <v>2</v>
      </c>
      <c r="F39" s="630"/>
      <c r="G39" s="120"/>
      <c r="H39" s="120"/>
      <c r="I39" s="120"/>
      <c r="J39" s="120"/>
      <c r="K39" s="120"/>
      <c r="L39" s="1346">
        <v>5.8000000000000003E-2</v>
      </c>
      <c r="M39" s="1346">
        <v>0.04</v>
      </c>
      <c r="N39" s="1346">
        <v>5.2999999999999999E-2</v>
      </c>
      <c r="O39" s="1346">
        <v>0.05</v>
      </c>
      <c r="P39" s="1346">
        <f>O39</f>
        <v>0.05</v>
      </c>
      <c r="Q39" s="1346">
        <f>P39</f>
        <v>0.05</v>
      </c>
      <c r="R39" s="1346">
        <f>Q39</f>
        <v>0.05</v>
      </c>
      <c r="S39" s="1347">
        <f>R39</f>
        <v>0.05</v>
      </c>
      <c r="T39"/>
      <c r="U39" s="93">
        <f t="shared" si="0"/>
        <v>1</v>
      </c>
      <c r="V39" s="24">
        <v>1</v>
      </c>
      <c r="W39" s="127"/>
    </row>
    <row r="40" spans="2:23" s="2" customFormat="1" ht="13.5" customHeight="1">
      <c r="B40" s="3"/>
      <c r="C40" s="635" t="str">
        <f t="shared" si="6"/>
        <v>Scenario 3 - Europe Net Sales Growth</v>
      </c>
      <c r="D40" s="627"/>
      <c r="E40" s="733">
        <v>3</v>
      </c>
      <c r="F40" s="631"/>
      <c r="G40" s="632"/>
      <c r="H40" s="632"/>
      <c r="I40" s="632"/>
      <c r="J40" s="632"/>
      <c r="K40" s="632"/>
      <c r="L40" s="1348">
        <f>L39+0.002</f>
        <v>6.0000000000000005E-2</v>
      </c>
      <c r="M40" s="1348">
        <f>M39+0.002</f>
        <v>4.2000000000000003E-2</v>
      </c>
      <c r="N40" s="1348">
        <f t="shared" ref="M40:S40" si="7">N39+0.002</f>
        <v>5.5E-2</v>
      </c>
      <c r="O40" s="1348">
        <f>O39+0.002</f>
        <v>5.2000000000000005E-2</v>
      </c>
      <c r="P40" s="1348">
        <f t="shared" si="7"/>
        <v>5.2000000000000005E-2</v>
      </c>
      <c r="Q40" s="1348">
        <f t="shared" si="7"/>
        <v>5.2000000000000005E-2</v>
      </c>
      <c r="R40" s="1348">
        <f t="shared" si="7"/>
        <v>5.2000000000000005E-2</v>
      </c>
      <c r="S40" s="1349">
        <f t="shared" si="7"/>
        <v>5.2000000000000005E-2</v>
      </c>
      <c r="T40"/>
      <c r="U40" s="93">
        <f t="shared" si="0"/>
        <v>1</v>
      </c>
      <c r="V40" s="24">
        <v>1</v>
      </c>
      <c r="W40" s="127"/>
    </row>
    <row r="41" spans="2:23" s="2" customFormat="1" ht="13.5" customHeight="1">
      <c r="B41" s="3"/>
      <c r="C41" s="636"/>
      <c r="D41" s="3"/>
      <c r="E41" s="637" t="s">
        <v>152</v>
      </c>
      <c r="F41" s="3"/>
      <c r="G41" s="120"/>
      <c r="H41" s="120"/>
      <c r="I41" s="120"/>
      <c r="J41" s="120"/>
      <c r="K41" s="120"/>
      <c r="L41" s="75"/>
      <c r="M41" s="75"/>
      <c r="N41" s="75"/>
      <c r="O41" s="75"/>
      <c r="P41" s="75"/>
      <c r="Q41" s="75"/>
      <c r="R41" s="75"/>
      <c r="S41" s="75"/>
      <c r="T41"/>
      <c r="U41" s="93">
        <f t="shared" si="0"/>
        <v>0</v>
      </c>
      <c r="V41" s="24">
        <v>0</v>
      </c>
      <c r="W41" s="127"/>
    </row>
    <row r="42" spans="2:23" s="2" customFormat="1" ht="13.5" customHeight="1">
      <c r="B42" s="3"/>
      <c r="C42" s="639" t="str">
        <f>" Active | "&amp;CHOOSE($E42,C43,C44,C45)</f>
        <v xml:space="preserve"> Active | Scenario 2 - Africa Net Sales Growth</v>
      </c>
      <c r="D42" s="32"/>
      <c r="E42" s="911">
        <v>2</v>
      </c>
      <c r="F42" s="32"/>
      <c r="G42" s="638"/>
      <c r="H42" s="638"/>
      <c r="I42" s="638"/>
      <c r="J42" s="638"/>
      <c r="K42" s="638"/>
      <c r="L42" s="734">
        <f t="shared" ref="L42:S42" si="8">CHOOSE($E$32,L43,L44,L45)</f>
        <v>7.9000000000000001E-2</v>
      </c>
      <c r="M42" s="734">
        <f t="shared" si="8"/>
        <v>4.9000000000000002E-2</v>
      </c>
      <c r="N42" s="734">
        <f t="shared" si="8"/>
        <v>4.5999999999999999E-2</v>
      </c>
      <c r="O42" s="734">
        <f t="shared" si="8"/>
        <v>4.5999999999999999E-2</v>
      </c>
      <c r="P42" s="734">
        <f t="shared" si="8"/>
        <v>4.5999999999999999E-2</v>
      </c>
      <c r="Q42" s="734">
        <f t="shared" si="8"/>
        <v>4.5999999999999999E-2</v>
      </c>
      <c r="R42" s="734">
        <f t="shared" si="8"/>
        <v>4.5999999999999999E-2</v>
      </c>
      <c r="S42" s="735">
        <f t="shared" si="8"/>
        <v>4.5999999999999999E-2</v>
      </c>
      <c r="T42"/>
      <c r="U42" s="93">
        <f t="shared" si="0"/>
        <v>1</v>
      </c>
      <c r="V42" s="24">
        <v>1</v>
      </c>
      <c r="W42" s="127"/>
    </row>
    <row r="43" spans="2:23" s="2" customFormat="1" ht="13.5" customHeight="1">
      <c r="B43" s="3"/>
      <c r="C43" s="633" t="str">
        <f>"Scenario "&amp;TEXT(E43,"0")&amp;" - Africa Net Sales Growth"</f>
        <v>Scenario 1 - Africa Net Sales Growth</v>
      </c>
      <c r="D43" s="625"/>
      <c r="E43" s="731">
        <v>1</v>
      </c>
      <c r="F43" s="628"/>
      <c r="G43" s="629"/>
      <c r="H43" s="629"/>
      <c r="I43" s="629"/>
      <c r="J43" s="629"/>
      <c r="K43" s="629"/>
      <c r="L43" s="1216">
        <f>L44-0.01</f>
        <v>6.9000000000000006E-2</v>
      </c>
      <c r="M43" s="1216">
        <f t="shared" ref="M43:S43" si="9">M44-0.01</f>
        <v>3.9E-2</v>
      </c>
      <c r="N43" s="1216">
        <f t="shared" si="9"/>
        <v>3.5999999999999997E-2</v>
      </c>
      <c r="O43" s="1216">
        <f t="shared" si="9"/>
        <v>3.5999999999999997E-2</v>
      </c>
      <c r="P43" s="1216">
        <f t="shared" si="9"/>
        <v>3.5999999999999997E-2</v>
      </c>
      <c r="Q43" s="1216">
        <f t="shared" si="9"/>
        <v>3.5999999999999997E-2</v>
      </c>
      <c r="R43" s="1216">
        <f t="shared" si="9"/>
        <v>3.5999999999999997E-2</v>
      </c>
      <c r="S43" s="1217">
        <f t="shared" si="9"/>
        <v>3.5999999999999997E-2</v>
      </c>
      <c r="T43"/>
      <c r="U43" s="93">
        <f t="shared" si="0"/>
        <v>1</v>
      </c>
      <c r="V43" s="24">
        <v>1</v>
      </c>
      <c r="W43" s="127"/>
    </row>
    <row r="44" spans="2:23" s="2" customFormat="1" ht="13.5" customHeight="1">
      <c r="B44" s="3"/>
      <c r="C44" s="634" t="str">
        <f t="shared" ref="C44:C45" si="10">"Scenario "&amp;TEXT(E44,"0")&amp;" - Africa Net Sales Growth"</f>
        <v>Scenario 2 - Africa Net Sales Growth</v>
      </c>
      <c r="D44" s="626"/>
      <c r="E44" s="732">
        <v>2</v>
      </c>
      <c r="F44" s="630"/>
      <c r="G44" s="120"/>
      <c r="H44" s="120"/>
      <c r="I44" s="120"/>
      <c r="J44" s="120"/>
      <c r="K44" s="120"/>
      <c r="L44" s="1346">
        <v>7.9000000000000001E-2</v>
      </c>
      <c r="M44" s="1346">
        <v>4.9000000000000002E-2</v>
      </c>
      <c r="N44" s="1346">
        <v>4.5999999999999999E-2</v>
      </c>
      <c r="O44" s="1346">
        <f>N44</f>
        <v>4.5999999999999999E-2</v>
      </c>
      <c r="P44" s="1346">
        <f>O44</f>
        <v>4.5999999999999999E-2</v>
      </c>
      <c r="Q44" s="1346">
        <f>P44</f>
        <v>4.5999999999999999E-2</v>
      </c>
      <c r="R44" s="1346">
        <f t="shared" ref="P44:S44" si="11">Q44</f>
        <v>4.5999999999999999E-2</v>
      </c>
      <c r="S44" s="1347">
        <f t="shared" si="11"/>
        <v>4.5999999999999999E-2</v>
      </c>
      <c r="T44"/>
      <c r="U44" s="93">
        <f t="shared" si="0"/>
        <v>1</v>
      </c>
      <c r="V44" s="24">
        <v>1</v>
      </c>
      <c r="W44" s="127"/>
    </row>
    <row r="45" spans="2:23" s="2" customFormat="1" ht="13.5" customHeight="1">
      <c r="B45" s="3"/>
      <c r="C45" s="635" t="str">
        <f t="shared" si="10"/>
        <v>Scenario 3 - Africa Net Sales Growth</v>
      </c>
      <c r="D45" s="627"/>
      <c r="E45" s="733">
        <v>3</v>
      </c>
      <c r="F45" s="631"/>
      <c r="G45" s="632"/>
      <c r="H45" s="632"/>
      <c r="I45" s="632"/>
      <c r="J45" s="632"/>
      <c r="K45" s="632"/>
      <c r="L45" s="1348">
        <f>L44+0.004</f>
        <v>8.3000000000000004E-2</v>
      </c>
      <c r="M45" s="1348">
        <f t="shared" ref="M45:S45" si="12">M44+0.004</f>
        <v>5.3000000000000005E-2</v>
      </c>
      <c r="N45" s="1348">
        <f>N44+0.004</f>
        <v>0.05</v>
      </c>
      <c r="O45" s="1348">
        <f>O44+0.004</f>
        <v>0.05</v>
      </c>
      <c r="P45" s="1348">
        <f>P44+0.004</f>
        <v>0.05</v>
      </c>
      <c r="Q45" s="1348">
        <f>Q44+0.004</f>
        <v>0.05</v>
      </c>
      <c r="R45" s="1348">
        <f>R44+0.004</f>
        <v>0.05</v>
      </c>
      <c r="S45" s="1349">
        <f t="shared" si="12"/>
        <v>0.05</v>
      </c>
      <c r="T45"/>
      <c r="U45" s="93">
        <f t="shared" si="0"/>
        <v>1</v>
      </c>
      <c r="V45" s="24">
        <v>1</v>
      </c>
      <c r="W45" s="127"/>
    </row>
    <row r="46" spans="2:23" s="2" customFormat="1" ht="13.5" customHeight="1">
      <c r="B46" s="3"/>
      <c r="C46" s="636"/>
      <c r="D46" s="3"/>
      <c r="E46" s="637" t="s">
        <v>152</v>
      </c>
      <c r="F46" s="3"/>
      <c r="G46" s="120"/>
      <c r="H46" s="120"/>
      <c r="I46" s="120"/>
      <c r="J46" s="120"/>
      <c r="K46" s="120"/>
      <c r="L46" s="75"/>
      <c r="M46" s="75"/>
      <c r="N46" s="75"/>
      <c r="O46" s="75"/>
      <c r="P46" s="75"/>
      <c r="Q46" s="75"/>
      <c r="R46" s="75"/>
      <c r="S46" s="75"/>
      <c r="T46"/>
      <c r="U46" s="93">
        <f t="shared" si="0"/>
        <v>0</v>
      </c>
      <c r="V46" s="24">
        <v>0</v>
      </c>
      <c r="W46" s="127"/>
    </row>
    <row r="47" spans="2:23" s="2" customFormat="1" ht="13.5" customHeight="1">
      <c r="B47" s="3"/>
      <c r="C47" s="639" t="str">
        <f>" Active | "&amp;CHOOSE($E47,C48,C49,C50)</f>
        <v xml:space="preserve"> Active | Scenario 2 - LatAm and Caribbean Net Sales Growth</v>
      </c>
      <c r="D47" s="32"/>
      <c r="E47" s="911">
        <v>2</v>
      </c>
      <c r="F47" s="32"/>
      <c r="G47" s="638"/>
      <c r="H47" s="638"/>
      <c r="I47" s="638"/>
      <c r="J47" s="638"/>
      <c r="K47" s="638"/>
      <c r="L47" s="1351">
        <f t="shared" ref="L47:S47" si="13">CHOOSE($E$32,L48,L49,L50)</f>
        <v>-6.2E-2</v>
      </c>
      <c r="M47" s="1351">
        <f t="shared" si="13"/>
        <v>0.11</v>
      </c>
      <c r="N47" s="1351">
        <f t="shared" si="13"/>
        <v>7.9000000000000001E-2</v>
      </c>
      <c r="O47" s="1351">
        <f t="shared" si="13"/>
        <v>7.9000000000000001E-2</v>
      </c>
      <c r="P47" s="1351">
        <f t="shared" si="13"/>
        <v>7.9000000000000001E-2</v>
      </c>
      <c r="Q47" s="1351">
        <f t="shared" si="13"/>
        <v>7.9000000000000001E-2</v>
      </c>
      <c r="R47" s="1351">
        <f t="shared" si="13"/>
        <v>7.9000000000000001E-2</v>
      </c>
      <c r="S47" s="1352">
        <f t="shared" si="13"/>
        <v>7.9000000000000001E-2</v>
      </c>
      <c r="T47"/>
      <c r="U47" s="93">
        <f t="shared" si="0"/>
        <v>1</v>
      </c>
      <c r="V47" s="24">
        <v>1</v>
      </c>
      <c r="W47" s="127"/>
    </row>
    <row r="48" spans="2:23" s="2" customFormat="1" ht="13.5" customHeight="1">
      <c r="B48" s="3"/>
      <c r="C48" s="633" t="str">
        <f>"Scenario "&amp;TEXT(E48,"0")&amp;" - LatAm and Caribbean Net Sales Growth"</f>
        <v>Scenario 1 - LatAm and Caribbean Net Sales Growth</v>
      </c>
      <c r="D48" s="625"/>
      <c r="E48" s="731">
        <v>1</v>
      </c>
      <c r="F48" s="628"/>
      <c r="G48" s="629"/>
      <c r="H48" s="629"/>
      <c r="I48" s="629"/>
      <c r="J48" s="629"/>
      <c r="K48" s="629"/>
      <c r="L48" s="1216">
        <f>L49+0.01</f>
        <v>-5.1999999999999998E-2</v>
      </c>
      <c r="M48" s="1216">
        <f t="shared" ref="M48:S48" si="14">M49+0.01</f>
        <v>0.12</v>
      </c>
      <c r="N48" s="1216">
        <f>N49+0.01</f>
        <v>8.8999999999999996E-2</v>
      </c>
      <c r="O48" s="1216">
        <f t="shared" si="14"/>
        <v>8.8999999999999996E-2</v>
      </c>
      <c r="P48" s="1216">
        <f t="shared" si="14"/>
        <v>8.8999999999999996E-2</v>
      </c>
      <c r="Q48" s="1216">
        <f t="shared" si="14"/>
        <v>8.8999999999999996E-2</v>
      </c>
      <c r="R48" s="1216">
        <f t="shared" si="14"/>
        <v>8.8999999999999996E-2</v>
      </c>
      <c r="S48" s="1217">
        <f t="shared" si="14"/>
        <v>8.8999999999999996E-2</v>
      </c>
      <c r="T48"/>
      <c r="U48" s="93">
        <f t="shared" si="0"/>
        <v>1</v>
      </c>
      <c r="V48" s="24">
        <v>1</v>
      </c>
      <c r="W48" s="127"/>
    </row>
    <row r="49" spans="2:23" s="2" customFormat="1" ht="13.5" customHeight="1">
      <c r="B49" s="3"/>
      <c r="C49" s="634" t="str">
        <f t="shared" ref="C49:C50" si="15">"Scenario "&amp;TEXT(E49,"0")&amp;" - LatAm and Caribbean Net Sales Growth"</f>
        <v>Scenario 2 - LatAm and Caribbean Net Sales Growth</v>
      </c>
      <c r="D49" s="626"/>
      <c r="E49" s="732">
        <v>2</v>
      </c>
      <c r="F49" s="630"/>
      <c r="G49" s="120"/>
      <c r="H49" s="120"/>
      <c r="I49" s="120"/>
      <c r="J49" s="120"/>
      <c r="K49" s="120"/>
      <c r="L49" s="1353">
        <v>-6.2E-2</v>
      </c>
      <c r="M49" s="1353">
        <v>0.11</v>
      </c>
      <c r="N49" s="1353">
        <v>7.9000000000000001E-2</v>
      </c>
      <c r="O49" s="1353">
        <f>N49</f>
        <v>7.9000000000000001E-2</v>
      </c>
      <c r="P49" s="1353">
        <f>O49</f>
        <v>7.9000000000000001E-2</v>
      </c>
      <c r="Q49" s="1353">
        <f>P49</f>
        <v>7.9000000000000001E-2</v>
      </c>
      <c r="R49" s="1353">
        <f>Q49</f>
        <v>7.9000000000000001E-2</v>
      </c>
      <c r="S49" s="727">
        <f>R49</f>
        <v>7.9000000000000001E-2</v>
      </c>
      <c r="T49"/>
      <c r="U49" s="93">
        <f t="shared" si="0"/>
        <v>1</v>
      </c>
      <c r="V49" s="24">
        <v>1</v>
      </c>
      <c r="W49" s="127"/>
    </row>
    <row r="50" spans="2:23" s="2" customFormat="1" ht="13.5" customHeight="1">
      <c r="B50" s="3"/>
      <c r="C50" s="635" t="str">
        <f t="shared" si="15"/>
        <v>Scenario 3 - LatAm and Caribbean Net Sales Growth</v>
      </c>
      <c r="D50" s="627"/>
      <c r="E50" s="733">
        <v>3</v>
      </c>
      <c r="F50" s="631"/>
      <c r="G50" s="632"/>
      <c r="H50" s="632"/>
      <c r="I50" s="632"/>
      <c r="J50" s="632"/>
      <c r="K50" s="632"/>
      <c r="L50" s="1350">
        <f>L49-0.01</f>
        <v>-7.1999999999999995E-2</v>
      </c>
      <c r="M50" s="1350">
        <f>M49-0.01</f>
        <v>0.1</v>
      </c>
      <c r="N50" s="1350">
        <f>N49-0.01</f>
        <v>6.9000000000000006E-2</v>
      </c>
      <c r="O50" s="1350">
        <f t="shared" ref="M50:S50" si="16">O49-0.01</f>
        <v>6.9000000000000006E-2</v>
      </c>
      <c r="P50" s="1350">
        <f t="shared" si="16"/>
        <v>6.9000000000000006E-2</v>
      </c>
      <c r="Q50" s="1350">
        <f t="shared" si="16"/>
        <v>6.9000000000000006E-2</v>
      </c>
      <c r="R50" s="1350">
        <f t="shared" si="16"/>
        <v>6.9000000000000006E-2</v>
      </c>
      <c r="S50" s="728">
        <f t="shared" si="16"/>
        <v>6.9000000000000006E-2</v>
      </c>
      <c r="T50"/>
      <c r="U50" s="93">
        <f t="shared" si="0"/>
        <v>1</v>
      </c>
      <c r="V50" s="24">
        <v>1</v>
      </c>
      <c r="W50" s="127"/>
    </row>
    <row r="51" spans="2:23" s="2" customFormat="1" ht="13.5" customHeight="1">
      <c r="B51" s="3"/>
      <c r="C51" s="636"/>
      <c r="D51" s="3"/>
      <c r="E51" s="637" t="s">
        <v>152</v>
      </c>
      <c r="F51" s="3"/>
      <c r="G51" s="120"/>
      <c r="H51" s="120"/>
      <c r="I51" s="120"/>
      <c r="J51" s="120"/>
      <c r="K51" s="120"/>
      <c r="L51" s="75"/>
      <c r="M51" s="75"/>
      <c r="N51" s="75"/>
      <c r="O51" s="75"/>
      <c r="P51" s="75"/>
      <c r="Q51" s="75"/>
      <c r="R51" s="75"/>
      <c r="S51" s="75"/>
      <c r="T51"/>
      <c r="U51" s="93">
        <f t="shared" si="0"/>
        <v>0</v>
      </c>
      <c r="V51" s="24">
        <v>0</v>
      </c>
      <c r="W51" s="127"/>
    </row>
    <row r="52" spans="2:23" s="2" customFormat="1" ht="13.5" customHeight="1">
      <c r="B52" s="3"/>
      <c r="C52" s="639" t="str">
        <f>" Active | "&amp;CHOOSE($E52,C53,C54,C55)</f>
        <v xml:space="preserve"> Active | Scenario 2 - Asia Pacific Net Sales Growth</v>
      </c>
      <c r="D52" s="32"/>
      <c r="E52" s="911">
        <v>2</v>
      </c>
      <c r="F52" s="32"/>
      <c r="G52" s="638"/>
      <c r="H52" s="638"/>
      <c r="I52" s="638"/>
      <c r="J52" s="638"/>
      <c r="K52" s="638"/>
      <c r="L52" s="734">
        <f t="shared" ref="L52:S52" si="17">CHOOSE($E$32,L53,L54,L55)</f>
        <v>9.2999999999999999E-2</v>
      </c>
      <c r="M52" s="734">
        <f t="shared" si="17"/>
        <v>8.8999999999999996E-2</v>
      </c>
      <c r="N52" s="734">
        <f t="shared" si="17"/>
        <v>8.8999999999999996E-2</v>
      </c>
      <c r="O52" s="734">
        <f t="shared" si="17"/>
        <v>8.3999999999999991E-2</v>
      </c>
      <c r="P52" s="734">
        <f t="shared" si="17"/>
        <v>0.08</v>
      </c>
      <c r="Q52" s="734">
        <f t="shared" si="17"/>
        <v>0.08</v>
      </c>
      <c r="R52" s="734">
        <f t="shared" si="17"/>
        <v>0.08</v>
      </c>
      <c r="S52" s="735">
        <f t="shared" si="17"/>
        <v>0.08</v>
      </c>
      <c r="T52"/>
      <c r="U52" s="93">
        <f t="shared" si="0"/>
        <v>1</v>
      </c>
      <c r="V52" s="24">
        <v>1</v>
      </c>
      <c r="W52" s="127"/>
    </row>
    <row r="53" spans="2:23" s="2" customFormat="1" ht="13.5" customHeight="1">
      <c r="B53" s="3"/>
      <c r="C53" s="633" t="str">
        <f>"Scenario "&amp;TEXT(E53,"0")&amp;" - Asia Pacific Net Sales Growth"</f>
        <v>Scenario 1 - Asia Pacific Net Sales Growth</v>
      </c>
      <c r="D53" s="625"/>
      <c r="E53" s="731">
        <v>1</v>
      </c>
      <c r="F53" s="628"/>
      <c r="G53" s="629"/>
      <c r="H53" s="629"/>
      <c r="I53" s="629"/>
      <c r="J53" s="629"/>
      <c r="K53" s="629"/>
      <c r="L53" s="1216">
        <f>L54-0.004</f>
        <v>8.8999999999999996E-2</v>
      </c>
      <c r="M53" s="1216">
        <f>M54-0.004</f>
        <v>8.4999999999999992E-2</v>
      </c>
      <c r="N53" s="1216">
        <f>N54-0.004</f>
        <v>8.4999999999999992E-2</v>
      </c>
      <c r="O53" s="1216">
        <f>O54-0.004</f>
        <v>7.9999999999999988E-2</v>
      </c>
      <c r="P53" s="1216">
        <f>P54-0.004</f>
        <v>7.5999999999999998E-2</v>
      </c>
      <c r="Q53" s="1216">
        <f>Q54-0.004</f>
        <v>7.5999999999999998E-2</v>
      </c>
      <c r="R53" s="1216">
        <f>R54-0.004</f>
        <v>7.5999999999999998E-2</v>
      </c>
      <c r="S53" s="1217">
        <f>S54-0.004</f>
        <v>7.5999999999999998E-2</v>
      </c>
      <c r="T53"/>
      <c r="U53" s="93">
        <f t="shared" si="0"/>
        <v>1</v>
      </c>
      <c r="V53" s="24">
        <v>1</v>
      </c>
      <c r="W53" s="127"/>
    </row>
    <row r="54" spans="2:23" s="2" customFormat="1" ht="13.5" customHeight="1">
      <c r="B54" s="3"/>
      <c r="C54" s="634" t="str">
        <f t="shared" ref="C54:C55" si="18">"Scenario "&amp;TEXT(E54,"0")&amp;" - Asia Pacific Net Sales Growth"</f>
        <v>Scenario 2 - Asia Pacific Net Sales Growth</v>
      </c>
      <c r="D54" s="626"/>
      <c r="E54" s="732">
        <v>2</v>
      </c>
      <c r="F54" s="630"/>
      <c r="G54" s="120"/>
      <c r="H54" s="120"/>
      <c r="I54" s="120"/>
      <c r="J54" s="120"/>
      <c r="K54" s="120"/>
      <c r="L54" s="1346">
        <v>9.2999999999999999E-2</v>
      </c>
      <c r="M54" s="1346">
        <v>8.8999999999999996E-2</v>
      </c>
      <c r="N54" s="1346">
        <v>8.8999999999999996E-2</v>
      </c>
      <c r="O54" s="1346">
        <f>N54-0.005</f>
        <v>8.3999999999999991E-2</v>
      </c>
      <c r="P54" s="1346">
        <v>0.08</v>
      </c>
      <c r="Q54" s="1346">
        <f>P54</f>
        <v>0.08</v>
      </c>
      <c r="R54" s="1346">
        <f>Q54</f>
        <v>0.08</v>
      </c>
      <c r="S54" s="1347">
        <f>R54</f>
        <v>0.08</v>
      </c>
      <c r="T54"/>
      <c r="U54" s="93">
        <f t="shared" si="0"/>
        <v>1</v>
      </c>
      <c r="V54" s="24">
        <v>1</v>
      </c>
      <c r="W54" s="127"/>
    </row>
    <row r="55" spans="2:23" s="2" customFormat="1" ht="13.5" customHeight="1">
      <c r="B55" s="3"/>
      <c r="C55" s="635" t="str">
        <f t="shared" si="18"/>
        <v>Scenario 3 - Asia Pacific Net Sales Growth</v>
      </c>
      <c r="D55" s="627"/>
      <c r="E55" s="733">
        <v>3</v>
      </c>
      <c r="F55" s="631"/>
      <c r="G55" s="632"/>
      <c r="H55" s="632"/>
      <c r="I55" s="632"/>
      <c r="J55" s="632"/>
      <c r="K55" s="632"/>
      <c r="L55" s="1348">
        <f>L54+0.005</f>
        <v>9.8000000000000004E-2</v>
      </c>
      <c r="M55" s="1348">
        <f t="shared" ref="M55:S55" si="19">M54+0.005</f>
        <v>9.4E-2</v>
      </c>
      <c r="N55" s="1348">
        <f t="shared" si="19"/>
        <v>9.4E-2</v>
      </c>
      <c r="O55" s="1348">
        <f t="shared" si="19"/>
        <v>8.8999999999999996E-2</v>
      </c>
      <c r="P55" s="1348">
        <f t="shared" si="19"/>
        <v>8.5000000000000006E-2</v>
      </c>
      <c r="Q55" s="1348">
        <f t="shared" si="19"/>
        <v>8.5000000000000006E-2</v>
      </c>
      <c r="R55" s="1348">
        <f t="shared" si="19"/>
        <v>8.5000000000000006E-2</v>
      </c>
      <c r="S55" s="1349">
        <f>S54+0.005</f>
        <v>8.5000000000000006E-2</v>
      </c>
      <c r="T55"/>
      <c r="U55" s="93">
        <f t="shared" si="0"/>
        <v>1</v>
      </c>
      <c r="V55" s="24">
        <v>1</v>
      </c>
      <c r="W55" s="127"/>
    </row>
    <row r="56" spans="2:23" s="2" customFormat="1" ht="13.5" customHeight="1">
      <c r="B56" s="3"/>
      <c r="C56" s="636"/>
      <c r="D56" s="3"/>
      <c r="E56" s="637" t="s">
        <v>152</v>
      </c>
      <c r="F56" s="3"/>
      <c r="G56" s="120"/>
      <c r="H56" s="120"/>
      <c r="I56" s="120"/>
      <c r="J56" s="120"/>
      <c r="K56" s="120"/>
      <c r="L56" s="75"/>
      <c r="M56" s="75"/>
      <c r="N56" s="75"/>
      <c r="O56" s="75"/>
      <c r="P56" s="75"/>
      <c r="Q56" s="75"/>
      <c r="R56" s="75"/>
      <c r="S56" s="75"/>
      <c r="T56"/>
      <c r="U56" s="93">
        <f t="shared" si="0"/>
        <v>0</v>
      </c>
      <c r="V56" s="24">
        <v>0</v>
      </c>
      <c r="W56" s="127"/>
    </row>
    <row r="57" spans="2:23" s="2" customFormat="1" ht="13.5" customHeight="1">
      <c r="B57" s="3"/>
      <c r="C57" s="639" t="str">
        <f>" Active | "&amp;CHOOSE($E57,C58,C59,C60)</f>
        <v xml:space="preserve"> Active | Scenario 2 - Corporate Net Sales Growth</v>
      </c>
      <c r="D57" s="32"/>
      <c r="E57" s="911">
        <v>2</v>
      </c>
      <c r="F57" s="32"/>
      <c r="G57" s="638"/>
      <c r="H57" s="638"/>
      <c r="I57" s="638"/>
      <c r="J57" s="638"/>
      <c r="K57" s="638"/>
      <c r="L57" s="1351">
        <f t="shared" ref="L57:S57" si="20">CHOOSE($E$32,L58,L59,L60)</f>
        <v>0</v>
      </c>
      <c r="M57" s="1351">
        <f t="shared" si="20"/>
        <v>0</v>
      </c>
      <c r="N57" s="1351">
        <f t="shared" si="20"/>
        <v>0</v>
      </c>
      <c r="O57" s="1351">
        <f t="shared" si="20"/>
        <v>0</v>
      </c>
      <c r="P57" s="1351">
        <f t="shared" si="20"/>
        <v>0</v>
      </c>
      <c r="Q57" s="1351">
        <f t="shared" si="20"/>
        <v>0</v>
      </c>
      <c r="R57" s="1351">
        <f t="shared" si="20"/>
        <v>0</v>
      </c>
      <c r="S57" s="1352">
        <f t="shared" si="20"/>
        <v>0</v>
      </c>
      <c r="T57"/>
      <c r="U57" s="93">
        <f t="shared" si="0"/>
        <v>1</v>
      </c>
      <c r="V57" s="24">
        <v>1</v>
      </c>
      <c r="W57" s="127"/>
    </row>
    <row r="58" spans="2:23" s="2" customFormat="1" ht="13.5" customHeight="1">
      <c r="B58" s="3"/>
      <c r="C58" s="633" t="str">
        <f>"Scenario "&amp;TEXT(E58,"0")&amp;" - Corporate Net Sales Growth"</f>
        <v>Scenario 1 - Corporate Net Sales Growth</v>
      </c>
      <c r="D58" s="625"/>
      <c r="E58" s="731">
        <v>1</v>
      </c>
      <c r="F58" s="628"/>
      <c r="G58" s="629"/>
      <c r="H58" s="629"/>
      <c r="I58" s="629"/>
      <c r="J58" s="629"/>
      <c r="K58" s="629"/>
      <c r="L58" s="1216">
        <v>0</v>
      </c>
      <c r="M58" s="1216">
        <v>0</v>
      </c>
      <c r="N58" s="1216">
        <v>0</v>
      </c>
      <c r="O58" s="1216">
        <v>0</v>
      </c>
      <c r="P58" s="1216">
        <v>0</v>
      </c>
      <c r="Q58" s="1216">
        <v>0</v>
      </c>
      <c r="R58" s="1216">
        <v>0</v>
      </c>
      <c r="S58" s="1217">
        <v>0</v>
      </c>
      <c r="T58"/>
      <c r="U58" s="93">
        <f t="shared" si="0"/>
        <v>1</v>
      </c>
      <c r="V58" s="24">
        <v>1</v>
      </c>
      <c r="W58" s="127"/>
    </row>
    <row r="59" spans="2:23" s="2" customFormat="1" ht="13.5" customHeight="1">
      <c r="B59" s="3"/>
      <c r="C59" s="634" t="str">
        <f t="shared" ref="C59:C60" si="21">"Scenario "&amp;TEXT(E59,"0")&amp;" - Corporate Net Sales Growth"</f>
        <v>Scenario 2 - Corporate Net Sales Growth</v>
      </c>
      <c r="D59" s="626"/>
      <c r="E59" s="732">
        <v>2</v>
      </c>
      <c r="F59" s="630"/>
      <c r="G59" s="120"/>
      <c r="H59" s="120"/>
      <c r="I59" s="120"/>
      <c r="J59" s="120"/>
      <c r="K59" s="120"/>
      <c r="L59" s="1353">
        <v>0</v>
      </c>
      <c r="M59" s="1353">
        <v>0</v>
      </c>
      <c r="N59" s="1353">
        <v>0</v>
      </c>
      <c r="O59" s="1353">
        <v>0</v>
      </c>
      <c r="P59" s="1353">
        <v>0</v>
      </c>
      <c r="Q59" s="1353">
        <v>0</v>
      </c>
      <c r="R59" s="1353">
        <v>0</v>
      </c>
      <c r="S59" s="727">
        <v>0</v>
      </c>
      <c r="T59"/>
      <c r="U59" s="93">
        <f t="shared" si="0"/>
        <v>1</v>
      </c>
      <c r="V59" s="24">
        <v>1</v>
      </c>
      <c r="W59" s="127"/>
    </row>
    <row r="60" spans="2:23" s="2" customFormat="1" ht="13.5" customHeight="1">
      <c r="B60" s="3"/>
      <c r="C60" s="635" t="str">
        <f t="shared" si="21"/>
        <v>Scenario 3 - Corporate Net Sales Growth</v>
      </c>
      <c r="D60" s="627"/>
      <c r="E60" s="733">
        <v>3</v>
      </c>
      <c r="F60" s="631"/>
      <c r="G60" s="632"/>
      <c r="H60" s="632"/>
      <c r="I60" s="632"/>
      <c r="J60" s="632"/>
      <c r="K60" s="632"/>
      <c r="L60" s="1350">
        <v>0</v>
      </c>
      <c r="M60" s="1350">
        <v>0</v>
      </c>
      <c r="N60" s="1350">
        <v>0</v>
      </c>
      <c r="O60" s="1350">
        <v>0</v>
      </c>
      <c r="P60" s="1350">
        <v>0</v>
      </c>
      <c r="Q60" s="1350">
        <v>0</v>
      </c>
      <c r="R60" s="1350">
        <v>0</v>
      </c>
      <c r="S60" s="728">
        <v>0</v>
      </c>
      <c r="T60"/>
      <c r="U60" s="93">
        <f t="shared" si="0"/>
        <v>1</v>
      </c>
      <c r="V60" s="24">
        <v>1</v>
      </c>
      <c r="W60" s="127"/>
    </row>
    <row r="61" spans="2:23" s="2" customFormat="1" ht="13.5" customHeight="1">
      <c r="B61" s="3"/>
      <c r="C61" s="636"/>
      <c r="D61" s="3"/>
      <c r="E61" s="637" t="s">
        <v>152</v>
      </c>
      <c r="F61" s="3"/>
      <c r="G61" s="120"/>
      <c r="H61" s="120"/>
      <c r="I61" s="120"/>
      <c r="J61" s="120"/>
      <c r="K61" s="120"/>
      <c r="L61" s="75"/>
      <c r="M61" s="75"/>
      <c r="N61" s="75"/>
      <c r="O61" s="75"/>
      <c r="P61" s="75"/>
      <c r="Q61" s="75"/>
      <c r="R61" s="75"/>
      <c r="S61" s="75"/>
      <c r="T61"/>
      <c r="U61" s="93">
        <f t="shared" si="0"/>
        <v>0</v>
      </c>
      <c r="V61" s="24">
        <v>0</v>
      </c>
      <c r="W61" s="127"/>
    </row>
    <row r="62" spans="2:23" s="2" customFormat="1" ht="13.5" customHeight="1">
      <c r="B62" s="3"/>
      <c r="C62" s="639" t="str">
        <f>" Active | "&amp;CHOOSE($E$62,C63,C64,C65)</f>
        <v xml:space="preserve"> Active | Scenario 2 - Gross Margin %</v>
      </c>
      <c r="D62" s="32"/>
      <c r="E62" s="911">
        <v>2</v>
      </c>
      <c r="F62" s="32"/>
      <c r="G62" s="638"/>
      <c r="H62" s="638"/>
      <c r="I62" s="638"/>
      <c r="J62" s="638"/>
      <c r="K62" s="638"/>
      <c r="L62" s="734">
        <f t="shared" ref="L62:S62" si="22">CHOOSE($E$32,L63,L64,L65)</f>
        <v>0.6</v>
      </c>
      <c r="M62" s="734">
        <f t="shared" si="22"/>
        <v>0.6</v>
      </c>
      <c r="N62" s="734">
        <f t="shared" si="22"/>
        <v>0.6</v>
      </c>
      <c r="O62" s="734">
        <f t="shared" si="22"/>
        <v>0.6</v>
      </c>
      <c r="P62" s="734">
        <f t="shared" si="22"/>
        <v>0.6</v>
      </c>
      <c r="Q62" s="734">
        <f t="shared" si="22"/>
        <v>0.6</v>
      </c>
      <c r="R62" s="734">
        <f t="shared" si="22"/>
        <v>0.6</v>
      </c>
      <c r="S62" s="735">
        <f t="shared" si="22"/>
        <v>0.6</v>
      </c>
      <c r="T62"/>
      <c r="U62" s="93">
        <f t="shared" si="0"/>
        <v>1</v>
      </c>
      <c r="V62" s="24">
        <v>1</v>
      </c>
      <c r="W62" s="127"/>
    </row>
    <row r="63" spans="2:23" s="2" customFormat="1" ht="13.5" customHeight="1">
      <c r="B63" s="3"/>
      <c r="C63" s="633" t="s">
        <v>153</v>
      </c>
      <c r="D63" s="625"/>
      <c r="E63" s="731">
        <v>1</v>
      </c>
      <c r="F63" s="628"/>
      <c r="G63" s="629"/>
      <c r="H63" s="629"/>
      <c r="I63" s="629"/>
      <c r="J63" s="629"/>
      <c r="K63" s="629"/>
      <c r="L63" s="1216">
        <v>0.61</v>
      </c>
      <c r="M63" s="1216">
        <v>0.61</v>
      </c>
      <c r="N63" s="1216">
        <v>0.61</v>
      </c>
      <c r="O63" s="1216">
        <v>0.61</v>
      </c>
      <c r="P63" s="1216">
        <v>0.61</v>
      </c>
      <c r="Q63" s="1216">
        <v>0.61</v>
      </c>
      <c r="R63" s="1216">
        <v>0.61</v>
      </c>
      <c r="S63" s="1217">
        <v>0.61</v>
      </c>
      <c r="T63"/>
      <c r="U63" s="93">
        <f t="shared" si="0"/>
        <v>1</v>
      </c>
      <c r="V63" s="24">
        <v>1</v>
      </c>
      <c r="W63" s="127"/>
    </row>
    <row r="64" spans="2:23" s="2" customFormat="1" ht="13.5" customHeight="1">
      <c r="B64" s="3"/>
      <c r="C64" s="634" t="s">
        <v>154</v>
      </c>
      <c r="D64" s="626"/>
      <c r="E64" s="732">
        <v>2</v>
      </c>
      <c r="F64" s="630"/>
      <c r="G64" s="120"/>
      <c r="H64" s="120"/>
      <c r="I64" s="120"/>
      <c r="J64" s="120"/>
      <c r="K64" s="120"/>
      <c r="L64" s="1346">
        <v>0.6</v>
      </c>
      <c r="M64" s="1346">
        <v>0.6</v>
      </c>
      <c r="N64" s="1346">
        <v>0.6</v>
      </c>
      <c r="O64" s="1346">
        <v>0.6</v>
      </c>
      <c r="P64" s="1346">
        <v>0.6</v>
      </c>
      <c r="Q64" s="1346">
        <v>0.6</v>
      </c>
      <c r="R64" s="1346">
        <v>0.6</v>
      </c>
      <c r="S64" s="1347">
        <v>0.6</v>
      </c>
      <c r="T64"/>
      <c r="U64" s="93">
        <f t="shared" si="0"/>
        <v>1</v>
      </c>
      <c r="V64" s="24">
        <v>1</v>
      </c>
      <c r="W64" s="127"/>
    </row>
    <row r="65" spans="2:23" s="2" customFormat="1" ht="13.5" customHeight="1">
      <c r="B65" s="3"/>
      <c r="C65" s="635" t="s">
        <v>155</v>
      </c>
      <c r="D65" s="627"/>
      <c r="E65" s="733">
        <v>3</v>
      </c>
      <c r="F65" s="631"/>
      <c r="G65" s="632"/>
      <c r="H65" s="632"/>
      <c r="I65" s="632"/>
      <c r="J65" s="632"/>
      <c r="K65" s="632"/>
      <c r="L65" s="1348">
        <v>0.59499999999999997</v>
      </c>
      <c r="M65" s="1348">
        <v>0.59499999999999997</v>
      </c>
      <c r="N65" s="1348">
        <v>0.59499999999999997</v>
      </c>
      <c r="O65" s="1348">
        <v>0.59499999999999997</v>
      </c>
      <c r="P65" s="1348">
        <v>0.59499999999999997</v>
      </c>
      <c r="Q65" s="1348">
        <v>0.59499999999999997</v>
      </c>
      <c r="R65" s="1348">
        <v>0.59499999999999997</v>
      </c>
      <c r="S65" s="1349">
        <v>0.59499999999999997</v>
      </c>
      <c r="T65"/>
      <c r="U65" s="93">
        <f t="shared" si="0"/>
        <v>1</v>
      </c>
      <c r="V65" s="24">
        <v>1</v>
      </c>
      <c r="W65" s="127"/>
    </row>
    <row r="66" spans="2:23" s="2" customFormat="1" ht="13.5" customHeight="1">
      <c r="B66" s="3"/>
      <c r="C66" s="636"/>
      <c r="D66" s="3"/>
      <c r="E66" s="637" t="s">
        <v>152</v>
      </c>
      <c r="F66" s="3"/>
      <c r="G66" s="120"/>
      <c r="H66" s="120"/>
      <c r="I66" s="120"/>
      <c r="J66" s="120"/>
      <c r="K66" s="120"/>
      <c r="L66" s="75"/>
      <c r="M66" s="75"/>
      <c r="N66" s="75"/>
      <c r="O66" s="75"/>
      <c r="P66" s="75"/>
      <c r="Q66" s="75"/>
      <c r="R66" s="75"/>
      <c r="S66" s="75"/>
      <c r="T66"/>
      <c r="U66" s="93">
        <f t="shared" si="0"/>
        <v>0</v>
      </c>
      <c r="V66" s="24">
        <v>0</v>
      </c>
      <c r="W66" s="127"/>
    </row>
    <row r="67" spans="2:23" s="2" customFormat="1" ht="13.5" customHeight="1">
      <c r="B67" s="3"/>
      <c r="C67" s="743" t="str">
        <f>" Active | "&amp;CHOOSE($E$67,C68,C69,C70)</f>
        <v xml:space="preserve"> Active | Scenario 2 - Marketing Expense Margin %</v>
      </c>
      <c r="D67" s="15"/>
      <c r="E67" s="912">
        <v>2</v>
      </c>
      <c r="F67" s="15"/>
      <c r="G67" s="744"/>
      <c r="H67" s="744"/>
      <c r="I67" s="744"/>
      <c r="J67" s="744"/>
      <c r="K67" s="744"/>
      <c r="L67" s="734">
        <f>CHOOSE($E$32,L68,L69,L70)</f>
        <v>-0.183</v>
      </c>
      <c r="M67" s="734">
        <f>CHOOSE($E$32,M68,M69,M70)</f>
        <v>-0.18</v>
      </c>
      <c r="N67" s="734">
        <f>CHOOSE($E$32,N68,N69,N70)</f>
        <v>-0.18</v>
      </c>
      <c r="O67" s="734">
        <f>CHOOSE($E$32,O68,O69,O70)</f>
        <v>-0.18</v>
      </c>
      <c r="P67" s="734">
        <f t="shared" ref="P67:S67" si="23">CHOOSE($E$32,P68,P69,P70)</f>
        <v>-0.18</v>
      </c>
      <c r="Q67" s="734">
        <f t="shared" si="23"/>
        <v>-0.17799999999999999</v>
      </c>
      <c r="R67" s="734">
        <f t="shared" si="23"/>
        <v>-0.17599999999999999</v>
      </c>
      <c r="S67" s="735">
        <f t="shared" si="23"/>
        <v>-0.17499999999999999</v>
      </c>
      <c r="T67"/>
      <c r="U67" s="93">
        <f t="shared" si="0"/>
        <v>1</v>
      </c>
      <c r="V67" s="24">
        <v>1</v>
      </c>
      <c r="W67" s="127"/>
    </row>
    <row r="68" spans="2:23" s="2" customFormat="1" ht="13.5" customHeight="1">
      <c r="B68" s="3"/>
      <c r="C68" s="634" t="s">
        <v>156</v>
      </c>
      <c r="D68" s="626"/>
      <c r="E68" s="732">
        <v>1</v>
      </c>
      <c r="F68" s="630"/>
      <c r="G68" s="120"/>
      <c r="H68" s="120"/>
      <c r="I68" s="120"/>
      <c r="J68" s="120"/>
      <c r="K68" s="120"/>
      <c r="L68" s="98">
        <v>-0.17699999999999999</v>
      </c>
      <c r="M68" s="98">
        <v>-0.17899999999999999</v>
      </c>
      <c r="N68" s="98">
        <v>-0.17799999999999999</v>
      </c>
      <c r="O68" s="98">
        <v>-0.17699999999999999</v>
      </c>
      <c r="P68" s="98">
        <v>-0.17699999999999999</v>
      </c>
      <c r="Q68" s="98">
        <v>-0.17499999999999999</v>
      </c>
      <c r="R68" s="98">
        <v>-0.17299999999999999</v>
      </c>
      <c r="S68" s="727">
        <v>-0.17199999999999999</v>
      </c>
      <c r="T68"/>
      <c r="U68" s="93">
        <f t="shared" si="0"/>
        <v>1</v>
      </c>
      <c r="V68" s="24">
        <v>1</v>
      </c>
      <c r="W68" s="127"/>
    </row>
    <row r="69" spans="2:23" s="2" customFormat="1" ht="13.5" customHeight="1">
      <c r="B69" s="3"/>
      <c r="C69" s="634" t="s">
        <v>157</v>
      </c>
      <c r="D69" s="626"/>
      <c r="E69" s="732">
        <v>2</v>
      </c>
      <c r="F69" s="630"/>
      <c r="G69" s="120"/>
      <c r="H69" s="120"/>
      <c r="I69" s="120"/>
      <c r="J69" s="120"/>
      <c r="K69" s="120"/>
      <c r="L69" s="98">
        <v>-0.183</v>
      </c>
      <c r="M69" s="98">
        <v>-0.18</v>
      </c>
      <c r="N69" s="98">
        <v>-0.18</v>
      </c>
      <c r="O69" s="98">
        <v>-0.18</v>
      </c>
      <c r="P69" s="98">
        <v>-0.18</v>
      </c>
      <c r="Q69" s="98">
        <v>-0.17799999999999999</v>
      </c>
      <c r="R69" s="98">
        <v>-0.17599999999999999</v>
      </c>
      <c r="S69" s="727">
        <v>-0.17499999999999999</v>
      </c>
      <c r="T69"/>
      <c r="U69" s="93">
        <f t="shared" si="0"/>
        <v>1</v>
      </c>
      <c r="V69" s="24">
        <v>1</v>
      </c>
      <c r="W69" s="127"/>
    </row>
    <row r="70" spans="2:23" s="2" customFormat="1" ht="13.5" customHeight="1">
      <c r="B70" s="3"/>
      <c r="C70" s="635" t="s">
        <v>158</v>
      </c>
      <c r="D70" s="627"/>
      <c r="E70" s="733">
        <v>3</v>
      </c>
      <c r="F70" s="631"/>
      <c r="G70" s="632"/>
      <c r="H70" s="632"/>
      <c r="I70" s="632"/>
      <c r="J70" s="632"/>
      <c r="K70" s="632"/>
      <c r="L70" s="1350">
        <v>-0.185</v>
      </c>
      <c r="M70" s="1350">
        <v>-0.183</v>
      </c>
      <c r="N70" s="1350">
        <v>-0.182</v>
      </c>
      <c r="O70" s="1350">
        <v>-0.18099999999999999</v>
      </c>
      <c r="P70" s="1350">
        <v>-0.18099999999999999</v>
      </c>
      <c r="Q70" s="1350">
        <v>-0.17899999999999999</v>
      </c>
      <c r="R70" s="1350">
        <v>-0.17699999999999999</v>
      </c>
      <c r="S70" s="728">
        <v>-0.17599999999999999</v>
      </c>
      <c r="T70"/>
      <c r="U70" s="93">
        <f t="shared" si="0"/>
        <v>1</v>
      </c>
      <c r="V70" s="24">
        <v>1</v>
      </c>
      <c r="W70" s="127"/>
    </row>
    <row r="71" spans="2:23" s="2" customFormat="1" ht="13.5" customHeight="1">
      <c r="B71" s="3"/>
      <c r="C71" s="636"/>
      <c r="D71" s="3"/>
      <c r="E71" s="637" t="s">
        <v>152</v>
      </c>
      <c r="F71" s="3"/>
      <c r="G71" s="120"/>
      <c r="H71" s="120"/>
      <c r="I71" s="120"/>
      <c r="J71" s="120"/>
      <c r="K71" s="120"/>
      <c r="L71" s="75"/>
      <c r="M71" s="75"/>
      <c r="N71" s="75"/>
      <c r="O71" s="75"/>
      <c r="P71" s="75"/>
      <c r="Q71" s="75"/>
      <c r="R71" s="75"/>
      <c r="S71" s="75"/>
      <c r="T71"/>
      <c r="U71" s="93">
        <f t="shared" si="0"/>
        <v>0</v>
      </c>
      <c r="V71" s="24">
        <v>0</v>
      </c>
      <c r="W71" s="127"/>
    </row>
    <row r="72" spans="2:23" s="2" customFormat="1" ht="13.5" customHeight="1">
      <c r="B72" s="3"/>
      <c r="C72" s="743" t="str">
        <f>" Active | "&amp;CHOOSE($E$67,C73,C74,C75)</f>
        <v xml:space="preserve"> Active | Scenario 2 - Other Operating Expense Margin %</v>
      </c>
      <c r="D72" s="15"/>
      <c r="E72" s="912">
        <v>2</v>
      </c>
      <c r="F72" s="15"/>
      <c r="G72" s="744"/>
      <c r="H72" s="744"/>
      <c r="I72" s="744"/>
      <c r="J72" s="744"/>
      <c r="K72" s="744"/>
      <c r="L72" s="734">
        <f t="shared" ref="L72:S72" si="24">CHOOSE($E$32,L73,L74,L75)</f>
        <v>-0.17100000000000001</v>
      </c>
      <c r="M72" s="734">
        <f t="shared" si="24"/>
        <v>-0.17100000000000001</v>
      </c>
      <c r="N72" s="734">
        <f t="shared" si="24"/>
        <v>-0.17100000000000001</v>
      </c>
      <c r="O72" s="734">
        <f t="shared" si="24"/>
        <v>-0.17100000000000001</v>
      </c>
      <c r="P72" s="734">
        <f t="shared" si="24"/>
        <v>-0.17100000000000001</v>
      </c>
      <c r="Q72" s="734">
        <f t="shared" si="24"/>
        <v>-0.17100000000000001</v>
      </c>
      <c r="R72" s="734">
        <f t="shared" si="24"/>
        <v>-0.17100000000000001</v>
      </c>
      <c r="S72" s="735">
        <f t="shared" si="24"/>
        <v>-0.17100000000000001</v>
      </c>
      <c r="T72"/>
      <c r="U72" s="93">
        <f t="shared" si="0"/>
        <v>1</v>
      </c>
      <c r="V72" s="24">
        <v>1</v>
      </c>
      <c r="W72" s="127"/>
    </row>
    <row r="73" spans="2:23" s="2" customFormat="1" ht="13.5" customHeight="1">
      <c r="B73" s="3"/>
      <c r="C73" s="634" t="s">
        <v>159</v>
      </c>
      <c r="D73" s="626"/>
      <c r="E73" s="732">
        <v>1</v>
      </c>
      <c r="F73" s="630"/>
      <c r="G73" s="120"/>
      <c r="H73" s="120"/>
      <c r="I73" s="120"/>
      <c r="J73" s="120"/>
      <c r="K73" s="120"/>
      <c r="L73" s="98">
        <v>-0.16800000000000001</v>
      </c>
      <c r="M73" s="98">
        <v>-0.16800000000000001</v>
      </c>
      <c r="N73" s="98">
        <v>-0.16800000000000001</v>
      </c>
      <c r="O73" s="98">
        <v>-0.16800000000000001</v>
      </c>
      <c r="P73" s="98">
        <v>-0.16800000000000001</v>
      </c>
      <c r="Q73" s="98">
        <v>-0.16800000000000001</v>
      </c>
      <c r="R73" s="98">
        <v>-0.16800000000000001</v>
      </c>
      <c r="S73" s="727">
        <v>-0.16800000000000001</v>
      </c>
      <c r="T73"/>
      <c r="U73" s="93">
        <f t="shared" si="0"/>
        <v>1</v>
      </c>
      <c r="V73" s="24">
        <v>1</v>
      </c>
      <c r="W73" s="127"/>
    </row>
    <row r="74" spans="2:23" s="2" customFormat="1" ht="13.5" customHeight="1">
      <c r="B74" s="3"/>
      <c r="C74" s="634" t="s">
        <v>160</v>
      </c>
      <c r="D74" s="626"/>
      <c r="E74" s="732">
        <v>2</v>
      </c>
      <c r="F74" s="630"/>
      <c r="G74" s="120"/>
      <c r="H74" s="120"/>
      <c r="I74" s="120"/>
      <c r="J74" s="120"/>
      <c r="K74" s="120"/>
      <c r="L74" s="98">
        <v>-0.17100000000000001</v>
      </c>
      <c r="M74" s="98">
        <v>-0.17100000000000001</v>
      </c>
      <c r="N74" s="98">
        <v>-0.17100000000000001</v>
      </c>
      <c r="O74" s="98">
        <v>-0.17100000000000001</v>
      </c>
      <c r="P74" s="98">
        <v>-0.17100000000000001</v>
      </c>
      <c r="Q74" s="98">
        <v>-0.17100000000000001</v>
      </c>
      <c r="R74" s="98">
        <v>-0.17100000000000001</v>
      </c>
      <c r="S74" s="727">
        <v>-0.17100000000000001</v>
      </c>
      <c r="T74"/>
      <c r="U74" s="93">
        <f t="shared" si="0"/>
        <v>1</v>
      </c>
      <c r="V74" s="24">
        <v>1</v>
      </c>
      <c r="W74" s="127"/>
    </row>
    <row r="75" spans="2:23" s="2" customFormat="1" ht="13.5" customHeight="1">
      <c r="B75" s="3"/>
      <c r="C75" s="635" t="s">
        <v>161</v>
      </c>
      <c r="D75" s="627"/>
      <c r="E75" s="733">
        <v>3</v>
      </c>
      <c r="F75" s="631"/>
      <c r="G75" s="632"/>
      <c r="H75" s="632"/>
      <c r="I75" s="632"/>
      <c r="J75" s="632"/>
      <c r="K75" s="632"/>
      <c r="L75" s="1350">
        <v>-0.17499999999999999</v>
      </c>
      <c r="M75" s="1350">
        <v>-0.17499999999999999</v>
      </c>
      <c r="N75" s="1350">
        <v>-0.17499999999999999</v>
      </c>
      <c r="O75" s="1350">
        <v>-0.17499999999999999</v>
      </c>
      <c r="P75" s="1350">
        <v>-0.17499999999999999</v>
      </c>
      <c r="Q75" s="1350">
        <v>-0.17499999999999999</v>
      </c>
      <c r="R75" s="1350">
        <v>-0.17499999999999999</v>
      </c>
      <c r="S75" s="728">
        <v>-0.17499999999999999</v>
      </c>
      <c r="T75"/>
      <c r="U75" s="93">
        <f t="shared" si="0"/>
        <v>1</v>
      </c>
      <c r="V75" s="24">
        <v>1</v>
      </c>
      <c r="W75" s="127"/>
    </row>
    <row r="76" spans="2:23" s="2" customFormat="1" ht="13.5" customHeight="1">
      <c r="B76" s="3"/>
      <c r="C76" s="119"/>
      <c r="D76" s="3"/>
      <c r="E76" s="3"/>
      <c r="F76" s="3"/>
      <c r="G76" s="126"/>
      <c r="H76" s="120"/>
      <c r="I76" s="106"/>
      <c r="J76" s="106"/>
      <c r="K76" s="106"/>
      <c r="L76" s="106"/>
      <c r="M76" s="125"/>
      <c r="N76" s="125"/>
      <c r="O76" s="125"/>
      <c r="P76" s="125"/>
      <c r="Q76" s="125"/>
      <c r="R76" s="125"/>
      <c r="S76" s="125"/>
      <c r="T76"/>
      <c r="U76" s="93">
        <f t="shared" si="0"/>
        <v>0</v>
      </c>
      <c r="V76" s="24">
        <v>0</v>
      </c>
    </row>
    <row r="77" spans="2:23" s="2" customFormat="1" ht="15">
      <c r="B77" s="3"/>
      <c r="C77" s="926" t="s">
        <v>162</v>
      </c>
      <c r="D77" s="927"/>
      <c r="E77" s="927"/>
      <c r="F77" s="927"/>
      <c r="G77" s="927"/>
      <c r="H77" s="927"/>
      <c r="I77" s="927"/>
      <c r="J77" s="927"/>
      <c r="K77" s="927"/>
      <c r="L77" s="927"/>
      <c r="M77" s="927"/>
      <c r="N77" s="927"/>
      <c r="O77" s="927"/>
      <c r="P77" s="927"/>
      <c r="Q77" s="927"/>
      <c r="R77" s="927"/>
      <c r="S77" s="927"/>
      <c r="T77"/>
      <c r="U77" s="93">
        <f t="shared" si="0"/>
        <v>1</v>
      </c>
      <c r="V77" s="24">
        <v>1</v>
      </c>
    </row>
    <row r="78" spans="2:23" s="2" customFormat="1" ht="13.5" customHeight="1">
      <c r="B78" s="3"/>
      <c r="C78" s="121"/>
      <c r="D78" s="3"/>
      <c r="E78" s="3"/>
      <c r="F78" s="3"/>
      <c r="G78" s="120"/>
      <c r="H78" s="120"/>
      <c r="I78" s="120"/>
      <c r="J78" s="120"/>
      <c r="K78" s="120"/>
      <c r="L78" s="75"/>
      <c r="M78" s="75"/>
      <c r="N78" s="75"/>
      <c r="O78" s="75"/>
      <c r="P78" s="75"/>
      <c r="Q78" s="75"/>
      <c r="R78" s="75"/>
      <c r="S78" s="75"/>
      <c r="T78"/>
      <c r="U78" s="93">
        <f t="shared" si="0"/>
        <v>0</v>
      </c>
      <c r="V78" s="24">
        <v>0</v>
      </c>
      <c r="W78" s="127"/>
    </row>
    <row r="79" spans="2:23" s="2" customFormat="1" ht="13.5" customHeight="1" thickBot="1">
      <c r="B79" s="3"/>
      <c r="C79" s="100" t="s">
        <v>163</v>
      </c>
      <c r="D79" s="124"/>
      <c r="E79" s="124"/>
      <c r="F79" s="123"/>
      <c r="G79" s="122"/>
      <c r="H79" s="122"/>
      <c r="I79" s="122"/>
      <c r="J79" s="122"/>
      <c r="K79" s="122"/>
      <c r="L79" s="122"/>
      <c r="M79" s="122"/>
      <c r="N79" s="122"/>
      <c r="O79" s="122"/>
      <c r="P79" s="122"/>
      <c r="Q79" s="122"/>
      <c r="R79" s="122"/>
      <c r="S79" s="122"/>
      <c r="T79"/>
      <c r="U79" s="93">
        <f t="shared" si="0"/>
        <v>1</v>
      </c>
      <c r="V79" s="24">
        <v>1</v>
      </c>
    </row>
    <row r="80" spans="2:23" s="2" customFormat="1" ht="13.5" customHeight="1" thickBot="1">
      <c r="B80" s="3"/>
      <c r="C80" s="81" t="s">
        <v>164</v>
      </c>
      <c r="D80" s="3" t="s">
        <v>165</v>
      </c>
      <c r="E80" s="3" t="s">
        <v>134</v>
      </c>
      <c r="F80" s="118"/>
      <c r="G80" s="1005">
        <v>4460</v>
      </c>
      <c r="H80" s="1005">
        <v>4623</v>
      </c>
      <c r="I80" s="1005">
        <v>5209</v>
      </c>
      <c r="J80" s="1005">
        <v>6095</v>
      </c>
      <c r="K80" s="1005">
        <v>6758</v>
      </c>
      <c r="L80" s="643">
        <f>K80*(1+L81)</f>
        <v>6893.16</v>
      </c>
      <c r="M80" s="643">
        <f>L80*(1+M81)</f>
        <v>7113.7411199999997</v>
      </c>
      <c r="N80" s="643">
        <f>M80*(1+N81)</f>
        <v>7419.6319881599993</v>
      </c>
      <c r="O80" s="643">
        <f t="shared" ref="O80:S80" si="25">N80*(1+O81)</f>
        <v>7790.6135875679993</v>
      </c>
      <c r="P80" s="643">
        <f t="shared" si="25"/>
        <v>8297.0034707599189</v>
      </c>
      <c r="Q80" s="643">
        <f t="shared" si="25"/>
        <v>8836.3086963593123</v>
      </c>
      <c r="R80" s="643">
        <f t="shared" si="25"/>
        <v>9410.6687616226664</v>
      </c>
      <c r="S80" s="643">
        <f t="shared" si="25"/>
        <v>10022.36223112814</v>
      </c>
      <c r="T80"/>
      <c r="U80" s="93">
        <f t="shared" si="0"/>
        <v>1</v>
      </c>
      <c r="V80" s="24">
        <v>1</v>
      </c>
    </row>
    <row r="81" spans="2:22" s="2" customFormat="1" ht="13.5" customHeight="1" thickBot="1">
      <c r="B81" s="3"/>
      <c r="C81" s="121" t="str">
        <f>C80&amp;" Net Sales Growth"</f>
        <v>North America Net Sales Net Sales Growth</v>
      </c>
      <c r="D81" s="3" t="s">
        <v>166</v>
      </c>
      <c r="E81" s="3" t="s">
        <v>134</v>
      </c>
      <c r="F81" s="118"/>
      <c r="G81" s="114"/>
      <c r="H81" s="110">
        <v>3.6547085201793728E-2</v>
      </c>
      <c r="I81" s="110">
        <v>0.12675751676400604</v>
      </c>
      <c r="J81" s="110">
        <v>0.17009022845075839</v>
      </c>
      <c r="K81" s="110">
        <v>0.10877768662838383</v>
      </c>
      <c r="L81" s="949">
        <f>L32</f>
        <v>0.02</v>
      </c>
      <c r="M81" s="950">
        <f>M32</f>
        <v>3.2000000000000001E-2</v>
      </c>
      <c r="N81" s="950">
        <f>N32</f>
        <v>4.2999999999999997E-2</v>
      </c>
      <c r="O81" s="950">
        <f t="shared" ref="O81:S81" si="26">O32</f>
        <v>0.05</v>
      </c>
      <c r="P81" s="950">
        <f t="shared" si="26"/>
        <v>6.5000000000000002E-2</v>
      </c>
      <c r="Q81" s="950">
        <f t="shared" si="26"/>
        <v>6.5000000000000002E-2</v>
      </c>
      <c r="R81" s="950">
        <f t="shared" si="26"/>
        <v>6.5000000000000002E-2</v>
      </c>
      <c r="S81" s="951">
        <f t="shared" si="26"/>
        <v>6.5000000000000002E-2</v>
      </c>
      <c r="T81"/>
      <c r="U81" s="93">
        <f t="shared" si="0"/>
        <v>1</v>
      </c>
      <c r="V81" s="24">
        <v>1</v>
      </c>
    </row>
    <row r="82" spans="2:22" s="2" customFormat="1" ht="13.5" customHeight="1" thickBot="1">
      <c r="B82" s="3"/>
      <c r="C82" s="81" t="s">
        <v>167</v>
      </c>
      <c r="D82" s="3" t="s">
        <v>165</v>
      </c>
      <c r="E82" s="3" t="s">
        <v>134</v>
      </c>
      <c r="F82" s="118"/>
      <c r="G82" s="1005">
        <v>2939</v>
      </c>
      <c r="H82" s="1005">
        <v>2567</v>
      </c>
      <c r="I82" s="1005">
        <v>2558</v>
      </c>
      <c r="J82" s="1005">
        <v>3212</v>
      </c>
      <c r="K82" s="1005">
        <v>3569</v>
      </c>
      <c r="L82" s="643">
        <f>K82*(1+L83)</f>
        <v>3776.0020000000004</v>
      </c>
      <c r="M82" s="643">
        <f t="shared" ref="M82" si="27">L82*(1+M83)</f>
        <v>3927.0420800000006</v>
      </c>
      <c r="N82" s="643">
        <f t="shared" ref="N82" si="28">M82*(1+N83)</f>
        <v>4135.1753102400007</v>
      </c>
      <c r="O82" s="643">
        <f t="shared" ref="O82" si="29">N82*(1+O83)</f>
        <v>4341.9340757520013</v>
      </c>
      <c r="P82" s="643">
        <f t="shared" ref="P82" si="30">O82*(1+P83)</f>
        <v>4559.0307795396011</v>
      </c>
      <c r="Q82" s="643">
        <f t="shared" ref="Q82" si="31">P82*(1+Q83)</f>
        <v>4786.9823185165815</v>
      </c>
      <c r="R82" s="643">
        <f t="shared" ref="R82" si="32">Q82*(1+R83)</f>
        <v>5026.3314344424107</v>
      </c>
      <c r="S82" s="643">
        <f t="shared" ref="S82" si="33">R82*(1+S83)</f>
        <v>5277.6480061645316</v>
      </c>
      <c r="T82"/>
      <c r="U82" s="93">
        <f t="shared" si="0"/>
        <v>1</v>
      </c>
      <c r="V82" s="24">
        <v>1</v>
      </c>
    </row>
    <row r="83" spans="2:22" s="2" customFormat="1" ht="13.5" customHeight="1" thickBot="1">
      <c r="B83" s="3"/>
      <c r="C83" s="121" t="str">
        <f>C82&amp;" Net Sales Growth"</f>
        <v>Europe Net Sales Net Sales Growth</v>
      </c>
      <c r="D83" s="3" t="s">
        <v>166</v>
      </c>
      <c r="E83" s="3" t="s">
        <v>134</v>
      </c>
      <c r="F83" s="118"/>
      <c r="G83" s="648"/>
      <c r="H83" s="110">
        <v>-0.12657366451173868</v>
      </c>
      <c r="I83" s="110">
        <v>-3.5060381768601268E-3</v>
      </c>
      <c r="J83" s="110">
        <v>0.25566849100860045</v>
      </c>
      <c r="K83" s="110">
        <v>0.11114570361145693</v>
      </c>
      <c r="L83" s="949">
        <f t="shared" ref="L83:S83" si="34">L37</f>
        <v>5.8000000000000003E-2</v>
      </c>
      <c r="M83" s="950">
        <f t="shared" si="34"/>
        <v>0.04</v>
      </c>
      <c r="N83" s="950">
        <f t="shared" si="34"/>
        <v>5.2999999999999999E-2</v>
      </c>
      <c r="O83" s="950">
        <f t="shared" si="34"/>
        <v>0.05</v>
      </c>
      <c r="P83" s="950">
        <f t="shared" si="34"/>
        <v>0.05</v>
      </c>
      <c r="Q83" s="950">
        <f t="shared" si="34"/>
        <v>0.05</v>
      </c>
      <c r="R83" s="950">
        <f t="shared" si="34"/>
        <v>0.05</v>
      </c>
      <c r="S83" s="951">
        <f t="shared" si="34"/>
        <v>0.05</v>
      </c>
      <c r="T83"/>
      <c r="U83" s="93">
        <f t="shared" si="0"/>
        <v>1</v>
      </c>
      <c r="V83" s="24">
        <v>1</v>
      </c>
    </row>
    <row r="84" spans="2:22" s="2" customFormat="1" ht="13.5" customHeight="1" thickBot="1">
      <c r="B84" s="3"/>
      <c r="C84" s="81" t="s">
        <v>168</v>
      </c>
      <c r="D84" s="3" t="s">
        <v>165</v>
      </c>
      <c r="E84" s="3" t="s">
        <v>134</v>
      </c>
      <c r="F84" s="118"/>
      <c r="G84" s="1005">
        <v>1597</v>
      </c>
      <c r="H84" s="1005">
        <v>1346</v>
      </c>
      <c r="I84" s="1005">
        <v>1412</v>
      </c>
      <c r="J84" s="1005">
        <v>1682</v>
      </c>
      <c r="K84" s="1005">
        <v>1699</v>
      </c>
      <c r="L84" s="643">
        <f>K84*(1+L85)</f>
        <v>1833.221</v>
      </c>
      <c r="M84" s="643">
        <f t="shared" ref="M84" si="35">L84*(1+M85)</f>
        <v>1923.0488289999998</v>
      </c>
      <c r="N84" s="643">
        <f t="shared" ref="N84" si="36">M84*(1+N85)</f>
        <v>2011.5090751339999</v>
      </c>
      <c r="O84" s="643">
        <f t="shared" ref="O84" si="37">N84*(1+O85)</f>
        <v>2104.038492590164</v>
      </c>
      <c r="P84" s="643">
        <f t="shared" ref="P84" si="38">O84*(1+P85)</f>
        <v>2200.8242632493116</v>
      </c>
      <c r="Q84" s="643">
        <f t="shared" ref="Q84" si="39">P84*(1+Q85)</f>
        <v>2302.0621793587802</v>
      </c>
      <c r="R84" s="643">
        <f t="shared" ref="R84" si="40">Q84*(1+R85)</f>
        <v>2407.957039609284</v>
      </c>
      <c r="S84" s="643">
        <f t="shared" ref="S84" si="41">R84*(1+S85)</f>
        <v>2518.7230634313114</v>
      </c>
      <c r="T84"/>
      <c r="U84" s="93">
        <f t="shared" si="0"/>
        <v>1</v>
      </c>
      <c r="V84" s="24">
        <v>1</v>
      </c>
    </row>
    <row r="85" spans="2:22" s="2" customFormat="1" ht="13.5" customHeight="1" thickBot="1">
      <c r="B85" s="3"/>
      <c r="C85" s="121" t="str">
        <f>C84&amp;" Net Sales Growth"</f>
        <v>Africa Net Sales Net Sales Growth</v>
      </c>
      <c r="D85" s="3" t="s">
        <v>166</v>
      </c>
      <c r="E85" s="3" t="s">
        <v>134</v>
      </c>
      <c r="F85" s="118"/>
      <c r="G85" s="114"/>
      <c r="H85" s="110">
        <v>-0.15716969317470253</v>
      </c>
      <c r="I85" s="110">
        <v>4.9034175334323971E-2</v>
      </c>
      <c r="J85" s="110">
        <v>0.19121813031161472</v>
      </c>
      <c r="K85" s="110">
        <v>1.0107015457788249E-2</v>
      </c>
      <c r="L85" s="949">
        <f t="shared" ref="L85:S85" si="42">L42</f>
        <v>7.9000000000000001E-2</v>
      </c>
      <c r="M85" s="950">
        <f t="shared" si="42"/>
        <v>4.9000000000000002E-2</v>
      </c>
      <c r="N85" s="950">
        <f t="shared" si="42"/>
        <v>4.5999999999999999E-2</v>
      </c>
      <c r="O85" s="950">
        <f t="shared" si="42"/>
        <v>4.5999999999999999E-2</v>
      </c>
      <c r="P85" s="950">
        <f t="shared" si="42"/>
        <v>4.5999999999999999E-2</v>
      </c>
      <c r="Q85" s="950">
        <f t="shared" si="42"/>
        <v>4.5999999999999999E-2</v>
      </c>
      <c r="R85" s="950">
        <f t="shared" si="42"/>
        <v>4.5999999999999999E-2</v>
      </c>
      <c r="S85" s="951">
        <f t="shared" si="42"/>
        <v>4.5999999999999999E-2</v>
      </c>
      <c r="T85"/>
      <c r="U85" s="93">
        <f t="shared" si="0"/>
        <v>1</v>
      </c>
      <c r="V85" s="24">
        <v>1</v>
      </c>
    </row>
    <row r="86" spans="2:22" s="2" customFormat="1" ht="13.5" customHeight="1" thickBot="1">
      <c r="B86" s="3"/>
      <c r="C86" s="81" t="s">
        <v>169</v>
      </c>
      <c r="D86" s="3" t="s">
        <v>165</v>
      </c>
      <c r="E86" s="3" t="s">
        <v>134</v>
      </c>
      <c r="F86" s="118"/>
      <c r="G86" s="1005">
        <v>1130</v>
      </c>
      <c r="H86" s="1005">
        <v>908</v>
      </c>
      <c r="I86" s="1005">
        <v>1046</v>
      </c>
      <c r="J86" s="1005">
        <v>1525</v>
      </c>
      <c r="K86" s="1005">
        <v>1799</v>
      </c>
      <c r="L86" s="643">
        <f>K86*(1+L87)</f>
        <v>1687.462</v>
      </c>
      <c r="M86" s="643">
        <f t="shared" ref="M86" si="43">L86*(1+M87)</f>
        <v>1873.0828200000001</v>
      </c>
      <c r="N86" s="643">
        <f t="shared" ref="N86" si="44">M86*(1+N87)</f>
        <v>2021.05636278</v>
      </c>
      <c r="O86" s="643">
        <f t="shared" ref="O86" si="45">N86*(1+O87)</f>
        <v>2180.7198154396201</v>
      </c>
      <c r="P86" s="643">
        <f t="shared" ref="P86" si="46">O86*(1+P87)</f>
        <v>2352.9966808593499</v>
      </c>
      <c r="Q86" s="643">
        <f t="shared" ref="Q86" si="47">P86*(1+Q87)</f>
        <v>2538.8834186472386</v>
      </c>
      <c r="R86" s="643">
        <f t="shared" ref="R86" si="48">Q86*(1+R87)</f>
        <v>2739.4552087203701</v>
      </c>
      <c r="S86" s="643">
        <f t="shared" ref="S86" si="49">R86*(1+S87)</f>
        <v>2955.8721702092794</v>
      </c>
      <c r="T86"/>
      <c r="U86" s="93">
        <f t="shared" si="0"/>
        <v>1</v>
      </c>
      <c r="V86" s="24">
        <v>1</v>
      </c>
    </row>
    <row r="87" spans="2:22" s="2" customFormat="1" ht="13.5" customHeight="1" thickBot="1">
      <c r="B87" s="3"/>
      <c r="C87" s="121" t="str">
        <f>C86&amp;" Net Sales Growth"</f>
        <v>LatAm and Caribbean Net Sales Net Sales Growth</v>
      </c>
      <c r="D87" s="3" t="s">
        <v>166</v>
      </c>
      <c r="E87" s="3" t="s">
        <v>134</v>
      </c>
      <c r="F87" s="118"/>
      <c r="G87" s="114"/>
      <c r="H87" s="110">
        <v>-0.19646017699115048</v>
      </c>
      <c r="I87" s="110">
        <v>0.15198237885462551</v>
      </c>
      <c r="J87" s="110">
        <v>0.45793499043977048</v>
      </c>
      <c r="K87" s="110">
        <v>0.17967213114754088</v>
      </c>
      <c r="L87" s="949">
        <f t="shared" ref="L87:S87" si="50">L47</f>
        <v>-6.2E-2</v>
      </c>
      <c r="M87" s="950">
        <f t="shared" si="50"/>
        <v>0.11</v>
      </c>
      <c r="N87" s="950">
        <f t="shared" si="50"/>
        <v>7.9000000000000001E-2</v>
      </c>
      <c r="O87" s="950">
        <f t="shared" si="50"/>
        <v>7.9000000000000001E-2</v>
      </c>
      <c r="P87" s="950">
        <f t="shared" si="50"/>
        <v>7.9000000000000001E-2</v>
      </c>
      <c r="Q87" s="950">
        <f t="shared" si="50"/>
        <v>7.9000000000000001E-2</v>
      </c>
      <c r="R87" s="950">
        <f t="shared" si="50"/>
        <v>7.9000000000000001E-2</v>
      </c>
      <c r="S87" s="951">
        <f t="shared" si="50"/>
        <v>7.9000000000000001E-2</v>
      </c>
      <c r="T87"/>
      <c r="U87" s="93">
        <f t="shared" si="0"/>
        <v>1</v>
      </c>
      <c r="V87" s="24">
        <v>1</v>
      </c>
    </row>
    <row r="88" spans="2:22" s="2" customFormat="1" ht="13.5" customHeight="1" thickBot="1">
      <c r="B88" s="3"/>
      <c r="C88" s="81" t="s">
        <v>170</v>
      </c>
      <c r="D88" s="3" t="s">
        <v>165</v>
      </c>
      <c r="E88" s="3" t="s">
        <v>134</v>
      </c>
      <c r="F88" s="118"/>
      <c r="G88" s="1005">
        <v>2688</v>
      </c>
      <c r="H88" s="1005">
        <v>2270</v>
      </c>
      <c r="I88" s="1005">
        <v>2488</v>
      </c>
      <c r="J88" s="1005">
        <v>2884</v>
      </c>
      <c r="K88" s="1005">
        <v>3200</v>
      </c>
      <c r="L88" s="643">
        <f>K88*(1+L89)</f>
        <v>3497.6</v>
      </c>
      <c r="M88" s="643">
        <f t="shared" ref="M88" si="51">L88*(1+M89)</f>
        <v>3808.8863999999999</v>
      </c>
      <c r="N88" s="643">
        <f t="shared" ref="N88" si="52">M88*(1+N89)</f>
        <v>4147.8772896</v>
      </c>
      <c r="O88" s="643">
        <f t="shared" ref="O88" si="53">N88*(1+O89)</f>
        <v>4496.2989819264003</v>
      </c>
      <c r="P88" s="643">
        <f t="shared" ref="P88" si="54">O88*(1+P89)</f>
        <v>4856.0029004805128</v>
      </c>
      <c r="Q88" s="643">
        <f t="shared" ref="Q88" si="55">P88*(1+Q89)</f>
        <v>5244.4831325189543</v>
      </c>
      <c r="R88" s="643">
        <f t="shared" ref="R88" si="56">Q88*(1+R89)</f>
        <v>5664.0417831204713</v>
      </c>
      <c r="S88" s="643">
        <f t="shared" ref="S88" si="57">R88*(1+S89)</f>
        <v>6117.1651257701096</v>
      </c>
      <c r="T88"/>
      <c r="U88" s="93">
        <f t="shared" si="0"/>
        <v>1</v>
      </c>
      <c r="V88" s="24">
        <v>1</v>
      </c>
    </row>
    <row r="89" spans="2:22" s="2" customFormat="1" ht="13.5" customHeight="1" thickBot="1">
      <c r="B89" s="3"/>
      <c r="C89" s="121" t="str">
        <f>C88&amp;" Net Sales Growth"</f>
        <v>Asia Pacific Net Sales Net Sales Growth</v>
      </c>
      <c r="D89" s="3" t="s">
        <v>166</v>
      </c>
      <c r="E89" s="3" t="s">
        <v>134</v>
      </c>
      <c r="F89" s="118"/>
      <c r="G89" s="114"/>
      <c r="H89" s="110">
        <v>-0.15550595238095233</v>
      </c>
      <c r="I89" s="110">
        <v>9.603524229074889E-2</v>
      </c>
      <c r="J89" s="110">
        <v>0.15916398713826374</v>
      </c>
      <c r="K89" s="110">
        <v>0.10957004160887651</v>
      </c>
      <c r="L89" s="949">
        <f t="shared" ref="L89:S89" si="58">L52</f>
        <v>9.2999999999999999E-2</v>
      </c>
      <c r="M89" s="950">
        <f t="shared" si="58"/>
        <v>8.8999999999999996E-2</v>
      </c>
      <c r="N89" s="950">
        <f t="shared" si="58"/>
        <v>8.8999999999999996E-2</v>
      </c>
      <c r="O89" s="950">
        <f t="shared" si="58"/>
        <v>8.3999999999999991E-2</v>
      </c>
      <c r="P89" s="950">
        <f t="shared" si="58"/>
        <v>0.08</v>
      </c>
      <c r="Q89" s="950">
        <f t="shared" si="58"/>
        <v>0.08</v>
      </c>
      <c r="R89" s="950">
        <f t="shared" si="58"/>
        <v>0.08</v>
      </c>
      <c r="S89" s="951">
        <f t="shared" si="58"/>
        <v>0.08</v>
      </c>
      <c r="T89"/>
      <c r="U89" s="93">
        <f t="shared" si="0"/>
        <v>1</v>
      </c>
      <c r="V89" s="24">
        <v>1</v>
      </c>
    </row>
    <row r="90" spans="2:22" s="2" customFormat="1" ht="13.5" customHeight="1" thickBot="1">
      <c r="B90" s="3"/>
      <c r="C90" s="81" t="s">
        <v>171</v>
      </c>
      <c r="D90" s="3" t="s">
        <v>165</v>
      </c>
      <c r="E90" s="3" t="s">
        <v>134</v>
      </c>
      <c r="F90" s="118"/>
      <c r="G90" s="1005">
        <v>53</v>
      </c>
      <c r="H90" s="1005">
        <v>38</v>
      </c>
      <c r="I90" s="1005">
        <v>20</v>
      </c>
      <c r="J90" s="1005">
        <v>54</v>
      </c>
      <c r="K90" s="1005">
        <v>88</v>
      </c>
      <c r="L90" s="643">
        <f t="shared" ref="L90:Q90" si="59">K90*(1+L91)</f>
        <v>88</v>
      </c>
      <c r="M90" s="643">
        <f t="shared" si="59"/>
        <v>88</v>
      </c>
      <c r="N90" s="643">
        <f t="shared" si="59"/>
        <v>88</v>
      </c>
      <c r="O90" s="643">
        <f t="shared" si="59"/>
        <v>88</v>
      </c>
      <c r="P90" s="643">
        <f t="shared" si="59"/>
        <v>88</v>
      </c>
      <c r="Q90" s="643">
        <f t="shared" si="59"/>
        <v>88</v>
      </c>
      <c r="R90" s="643">
        <f t="shared" ref="R90:S90" si="60">Q90*(1+R91)</f>
        <v>88</v>
      </c>
      <c r="S90" s="643">
        <f t="shared" si="60"/>
        <v>88</v>
      </c>
      <c r="T90"/>
      <c r="U90" s="93">
        <f t="shared" si="0"/>
        <v>1</v>
      </c>
      <c r="V90" s="24">
        <v>1</v>
      </c>
    </row>
    <row r="91" spans="2:22" s="2" customFormat="1" ht="13.5" customHeight="1" thickBot="1">
      <c r="B91" s="3"/>
      <c r="C91" s="121" t="str">
        <f>C90&amp;" Net Sales Growth"</f>
        <v>Corporate Net Sales Net Sales Growth</v>
      </c>
      <c r="D91" s="3" t="s">
        <v>166</v>
      </c>
      <c r="E91" s="3" t="s">
        <v>134</v>
      </c>
      <c r="F91" s="118"/>
      <c r="G91" s="114"/>
      <c r="H91" s="110">
        <v>-0.28301886792452835</v>
      </c>
      <c r="I91" s="110">
        <v>-0.47368421052631582</v>
      </c>
      <c r="J91" s="110">
        <v>1.7000000000000002</v>
      </c>
      <c r="K91" s="110">
        <v>0.62962962962962954</v>
      </c>
      <c r="L91" s="949">
        <f t="shared" ref="L91:S91" si="61">L57</f>
        <v>0</v>
      </c>
      <c r="M91" s="950">
        <f t="shared" si="61"/>
        <v>0</v>
      </c>
      <c r="N91" s="950">
        <f t="shared" si="61"/>
        <v>0</v>
      </c>
      <c r="O91" s="950">
        <f t="shared" si="61"/>
        <v>0</v>
      </c>
      <c r="P91" s="950">
        <f t="shared" si="61"/>
        <v>0</v>
      </c>
      <c r="Q91" s="950">
        <f t="shared" si="61"/>
        <v>0</v>
      </c>
      <c r="R91" s="950">
        <f t="shared" si="61"/>
        <v>0</v>
      </c>
      <c r="S91" s="951">
        <f t="shared" si="61"/>
        <v>0</v>
      </c>
      <c r="T91"/>
      <c r="U91" s="93">
        <f t="shared" si="0"/>
        <v>1</v>
      </c>
      <c r="V91" s="24">
        <v>1</v>
      </c>
    </row>
    <row r="92" spans="2:22" ht="13.5" customHeight="1">
      <c r="C92" s="149" t="s">
        <v>62</v>
      </c>
      <c r="D92" s="78" t="s">
        <v>165</v>
      </c>
      <c r="E92" s="78" t="s">
        <v>134</v>
      </c>
      <c r="F92" s="78"/>
      <c r="G92" s="646">
        <f t="shared" ref="G92:K92" si="62">G80+G82+G84+G86+G88+G90</f>
        <v>12867</v>
      </c>
      <c r="H92" s="646">
        <f t="shared" si="62"/>
        <v>11752</v>
      </c>
      <c r="I92" s="646">
        <f t="shared" si="62"/>
        <v>12733</v>
      </c>
      <c r="J92" s="646">
        <f t="shared" si="62"/>
        <v>15452</v>
      </c>
      <c r="K92" s="646">
        <f t="shared" si="62"/>
        <v>17113</v>
      </c>
      <c r="L92" s="647">
        <f>L80+L82+L84+L86+L88+L90</f>
        <v>17775.445</v>
      </c>
      <c r="M92" s="647">
        <f t="shared" ref="M92:S92" si="63">M80+M82+M84+M86+M88+M90</f>
        <v>18733.801249</v>
      </c>
      <c r="N92" s="647">
        <f t="shared" si="63"/>
        <v>19823.250025914</v>
      </c>
      <c r="O92" s="647">
        <f t="shared" si="63"/>
        <v>21001.604953276186</v>
      </c>
      <c r="P92" s="647">
        <f t="shared" si="63"/>
        <v>22353.858094888696</v>
      </c>
      <c r="Q92" s="647">
        <f t="shared" si="63"/>
        <v>23796.719745400867</v>
      </c>
      <c r="R92" s="647">
        <f t="shared" si="63"/>
        <v>25336.454227515202</v>
      </c>
      <c r="S92" s="647">
        <f t="shared" si="63"/>
        <v>26979.770596703373</v>
      </c>
      <c r="T92"/>
      <c r="U92" s="93">
        <f t="shared" si="0"/>
        <v>1</v>
      </c>
      <c r="V92" s="24">
        <v>1</v>
      </c>
    </row>
    <row r="93" spans="2:22" ht="13.5" customHeight="1">
      <c r="C93" s="121" t="s">
        <v>172</v>
      </c>
      <c r="D93" s="1" t="s">
        <v>166</v>
      </c>
      <c r="E93" s="1" t="s">
        <v>134</v>
      </c>
      <c r="G93" s="114"/>
      <c r="H93" s="372">
        <v>-8.665578611953062E-2</v>
      </c>
      <c r="I93" s="372">
        <v>8.3475153165418758E-2</v>
      </c>
      <c r="J93" s="372">
        <v>0.21353962145605898</v>
      </c>
      <c r="K93" s="372">
        <v>0.10749417551126061</v>
      </c>
      <c r="L93" s="645">
        <f t="shared" ref="L93:S93" si="64">IFERROR(L92/K92-1,"")</f>
        <v>3.8710044995033055E-2</v>
      </c>
      <c r="M93" s="645">
        <f t="shared" si="64"/>
        <v>5.3914613614455265E-2</v>
      </c>
      <c r="N93" s="645">
        <f t="shared" si="64"/>
        <v>5.8154176103056177E-2</v>
      </c>
      <c r="O93" s="645">
        <f t="shared" si="64"/>
        <v>5.9443074461643652E-2</v>
      </c>
      <c r="P93" s="645">
        <f t="shared" si="64"/>
        <v>6.4388085797298267E-2</v>
      </c>
      <c r="Q93" s="645">
        <f t="shared" si="64"/>
        <v>6.4546426142075619E-2</v>
      </c>
      <c r="R93" s="645">
        <f t="shared" si="64"/>
        <v>6.4703643972271241E-2</v>
      </c>
      <c r="S93" s="645">
        <f t="shared" si="64"/>
        <v>6.4859761134355542E-2</v>
      </c>
      <c r="T93"/>
      <c r="U93" s="93">
        <f t="shared" si="0"/>
        <v>1</v>
      </c>
      <c r="V93" s="24">
        <v>1</v>
      </c>
    </row>
    <row r="94" spans="2:22" ht="13.5" customHeight="1">
      <c r="C94" s="121"/>
      <c r="D94" s="1"/>
      <c r="E94" s="1"/>
      <c r="G94" s="114"/>
      <c r="H94" s="372"/>
      <c r="I94" s="372"/>
      <c r="J94" s="372"/>
      <c r="K94" s="372"/>
      <c r="L94"/>
      <c r="M94"/>
      <c r="N94"/>
      <c r="O94"/>
      <c r="P94"/>
      <c r="Q94"/>
      <c r="R94"/>
      <c r="S94"/>
      <c r="T94"/>
      <c r="U94" s="93">
        <f t="shared" si="0"/>
        <v>0</v>
      </c>
      <c r="V94" s="24">
        <v>0</v>
      </c>
    </row>
    <row r="95" spans="2:22" ht="16">
      <c r="B95" s="117"/>
      <c r="C95" s="926" t="s">
        <v>173</v>
      </c>
      <c r="D95" s="927"/>
      <c r="E95" s="927"/>
      <c r="F95" s="927"/>
      <c r="G95" s="927"/>
      <c r="H95" s="927"/>
      <c r="I95" s="927"/>
      <c r="J95" s="927"/>
      <c r="K95" s="927"/>
      <c r="L95" s="927"/>
      <c r="M95" s="927"/>
      <c r="N95" s="927"/>
      <c r="O95" s="927"/>
      <c r="P95" s="927"/>
      <c r="Q95" s="927"/>
      <c r="R95" s="927"/>
      <c r="S95" s="927"/>
      <c r="T95"/>
      <c r="U95" s="93">
        <f t="shared" si="0"/>
        <v>1</v>
      </c>
      <c r="V95" s="24">
        <v>1</v>
      </c>
    </row>
    <row r="96" spans="2:22" s="2" customFormat="1" ht="13.5" customHeight="1">
      <c r="B96" s="3"/>
      <c r="C96" s="1016"/>
      <c r="D96" s="3"/>
      <c r="E96" s="3"/>
      <c r="F96" s="3"/>
      <c r="G96" s="126"/>
      <c r="H96" s="120"/>
      <c r="I96" s="106"/>
      <c r="J96" s="106"/>
      <c r="K96" s="106"/>
      <c r="L96" s="106"/>
      <c r="M96" s="125"/>
      <c r="N96" s="125"/>
      <c r="O96" s="125"/>
      <c r="P96" s="125"/>
      <c r="Q96" s="125"/>
      <c r="R96" s="125"/>
      <c r="S96" s="125"/>
      <c r="T96"/>
      <c r="U96" s="93">
        <f t="shared" si="0"/>
        <v>0</v>
      </c>
      <c r="V96" s="24">
        <v>0</v>
      </c>
    </row>
    <row r="97" spans="2:99" ht="13.5" customHeight="1" thickBot="1">
      <c r="C97" s="100" t="s">
        <v>174</v>
      </c>
      <c r="D97" s="57"/>
      <c r="E97" s="57"/>
      <c r="F97" s="57"/>
      <c r="G97" s="57"/>
      <c r="H97" s="57"/>
      <c r="I97" s="57"/>
      <c r="J97" s="57"/>
      <c r="K97" s="57"/>
      <c r="L97" s="57"/>
      <c r="M97" s="57"/>
      <c r="N97" s="57"/>
      <c r="O97" s="57"/>
      <c r="P97" s="57"/>
      <c r="Q97" s="57"/>
      <c r="R97" s="57"/>
      <c r="S97" s="57"/>
      <c r="T97" s="94"/>
      <c r="U97" s="93">
        <f t="shared" si="0"/>
        <v>1</v>
      </c>
      <c r="V97" s="24">
        <v>1</v>
      </c>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row>
    <row r="98" spans="2:99" ht="13.5" customHeight="1" thickBot="1">
      <c r="C98" s="115" t="s">
        <v>175</v>
      </c>
      <c r="T98" s="94"/>
      <c r="U98" s="93">
        <f t="shared" si="0"/>
        <v>1</v>
      </c>
      <c r="V98" s="24">
        <v>1</v>
      </c>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row>
    <row r="99" spans="2:99" ht="13.5" customHeight="1" thickBot="1">
      <c r="C99" s="81" t="s">
        <v>176</v>
      </c>
      <c r="D99" s="3" t="s">
        <v>166</v>
      </c>
      <c r="E99" s="3" t="s">
        <v>127</v>
      </c>
      <c r="G99" s="106">
        <f>1-G100</f>
        <v>0.62182326882723249</v>
      </c>
      <c r="H99" s="106">
        <f t="shared" ref="H99:K99" si="65">1-H100</f>
        <v>0.60398230088495575</v>
      </c>
      <c r="I99" s="106">
        <f t="shared" si="65"/>
        <v>0.6043351920207336</v>
      </c>
      <c r="J99" s="106">
        <f t="shared" si="65"/>
        <v>0.61344809733367844</v>
      </c>
      <c r="K99" s="106">
        <f t="shared" si="65"/>
        <v>0.59685619119967281</v>
      </c>
      <c r="L99" s="952">
        <f>L62</f>
        <v>0.6</v>
      </c>
      <c r="M99" s="953">
        <f t="shared" ref="M99:S99" si="66">M62</f>
        <v>0.6</v>
      </c>
      <c r="N99" s="953">
        <f t="shared" si="66"/>
        <v>0.6</v>
      </c>
      <c r="O99" s="953">
        <f t="shared" si="66"/>
        <v>0.6</v>
      </c>
      <c r="P99" s="953">
        <f t="shared" si="66"/>
        <v>0.6</v>
      </c>
      <c r="Q99" s="953">
        <f t="shared" si="66"/>
        <v>0.6</v>
      </c>
      <c r="R99" s="953">
        <f t="shared" si="66"/>
        <v>0.6</v>
      </c>
      <c r="S99" s="954">
        <f t="shared" si="66"/>
        <v>0.6</v>
      </c>
      <c r="T99" s="94"/>
      <c r="U99" s="93">
        <f t="shared" si="0"/>
        <v>1</v>
      </c>
      <c r="V99" s="24">
        <v>1</v>
      </c>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row>
    <row r="100" spans="2:99" ht="13.5" customHeight="1">
      <c r="B100" s="20"/>
      <c r="C100" s="81" t="s">
        <v>177</v>
      </c>
      <c r="D100" s="3" t="s">
        <v>166</v>
      </c>
      <c r="E100" s="3" t="s">
        <v>127</v>
      </c>
      <c r="F100" s="23"/>
      <c r="G100" s="110">
        <f>-G101/G92</f>
        <v>0.37817673117276757</v>
      </c>
      <c r="H100" s="110">
        <f>-H101/H92</f>
        <v>0.39601769911504425</v>
      </c>
      <c r="I100" s="110">
        <f>-I101/I92</f>
        <v>0.39566480797926645</v>
      </c>
      <c r="J100" s="110">
        <f>-J101/J92</f>
        <v>0.3865519026663215</v>
      </c>
      <c r="K100" s="110">
        <f>-K101/K92</f>
        <v>0.40314380880032724</v>
      </c>
      <c r="L100" s="652">
        <f>1-L99</f>
        <v>0.4</v>
      </c>
      <c r="M100" s="652">
        <f t="shared" ref="M100:S100" si="67">1-M99</f>
        <v>0.4</v>
      </c>
      <c r="N100" s="652">
        <f t="shared" si="67"/>
        <v>0.4</v>
      </c>
      <c r="O100" s="652">
        <f t="shared" si="67"/>
        <v>0.4</v>
      </c>
      <c r="P100" s="652">
        <f t="shared" si="67"/>
        <v>0.4</v>
      </c>
      <c r="Q100" s="652">
        <f t="shared" si="67"/>
        <v>0.4</v>
      </c>
      <c r="R100" s="652">
        <f t="shared" si="67"/>
        <v>0.4</v>
      </c>
      <c r="S100" s="652">
        <f t="shared" si="67"/>
        <v>0.4</v>
      </c>
      <c r="T100" s="94"/>
      <c r="U100" s="93">
        <f t="shared" si="0"/>
        <v>1</v>
      </c>
      <c r="V100" s="24">
        <v>1</v>
      </c>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row>
    <row r="101" spans="2:99" ht="13.5" customHeight="1">
      <c r="B101" s="20"/>
      <c r="C101" s="149" t="s">
        <v>178</v>
      </c>
      <c r="D101" s="78" t="s">
        <v>165</v>
      </c>
      <c r="E101" s="78" t="s">
        <v>134</v>
      </c>
      <c r="F101" s="653"/>
      <c r="G101" s="646">
        <f>'DCF - Financials'!G15</f>
        <v>-4866</v>
      </c>
      <c r="H101" s="646">
        <f>'DCF - Financials'!H15</f>
        <v>-4654</v>
      </c>
      <c r="I101" s="646">
        <f>'DCF - Financials'!I15</f>
        <v>-5038</v>
      </c>
      <c r="J101" s="646">
        <f>'DCF - Financials'!J15</f>
        <v>-5973</v>
      </c>
      <c r="K101" s="646">
        <f>'DCF - Financials'!K15</f>
        <v>-6899</v>
      </c>
      <c r="L101" s="647">
        <f t="shared" ref="L101:S101" si="68">-L92*L100</f>
        <v>-7110.1779999999999</v>
      </c>
      <c r="M101" s="647">
        <f t="shared" si="68"/>
        <v>-7493.5204996000002</v>
      </c>
      <c r="N101" s="647">
        <f t="shared" si="68"/>
        <v>-7929.3000103656004</v>
      </c>
      <c r="O101" s="647">
        <f t="shared" si="68"/>
        <v>-8400.6419813104749</v>
      </c>
      <c r="P101" s="647">
        <f t="shared" si="68"/>
        <v>-8941.5432379554786</v>
      </c>
      <c r="Q101" s="647">
        <f t="shared" si="68"/>
        <v>-9518.6878981603477</v>
      </c>
      <c r="R101" s="647">
        <f t="shared" si="68"/>
        <v>-10134.581691006082</v>
      </c>
      <c r="S101" s="647">
        <f t="shared" si="68"/>
        <v>-10791.90823868135</v>
      </c>
      <c r="T101" s="94"/>
      <c r="U101" s="93">
        <f t="shared" si="0"/>
        <v>1</v>
      </c>
      <c r="V101" s="24">
        <v>1</v>
      </c>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row>
    <row r="102" spans="2:99" ht="13.5" customHeight="1">
      <c r="B102" s="20"/>
      <c r="C102" s="81"/>
      <c r="F102" s="23"/>
      <c r="G102" s="110"/>
      <c r="H102" s="110"/>
      <c r="I102" s="110"/>
      <c r="J102" s="110"/>
      <c r="K102" s="110"/>
      <c r="L102" s="110"/>
      <c r="M102" s="110"/>
      <c r="N102" s="110"/>
      <c r="O102" s="110"/>
      <c r="P102" s="110"/>
      <c r="Q102" s="110"/>
      <c r="R102" s="110"/>
      <c r="S102" s="110"/>
      <c r="T102" s="94"/>
      <c r="U102" s="93">
        <f t="shared" si="0"/>
        <v>0</v>
      </c>
      <c r="V102" s="24">
        <v>0</v>
      </c>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row>
    <row r="103" spans="2:99" ht="13.5" customHeight="1" thickBot="1">
      <c r="B103" s="20"/>
      <c r="C103" s="100" t="s">
        <v>179</v>
      </c>
      <c r="D103" s="57"/>
      <c r="E103" s="57"/>
      <c r="F103" s="57"/>
      <c r="G103" s="57"/>
      <c r="H103" s="57"/>
      <c r="I103" s="57"/>
      <c r="J103" s="57"/>
      <c r="K103" s="57"/>
      <c r="L103" s="57"/>
      <c r="M103" s="57"/>
      <c r="N103" s="57"/>
      <c r="O103" s="57"/>
      <c r="P103" s="57"/>
      <c r="Q103" s="57"/>
      <c r="R103" s="57"/>
      <c r="S103" s="57"/>
      <c r="T103" s="94"/>
      <c r="U103" s="93">
        <f t="shared" si="0"/>
        <v>1</v>
      </c>
      <c r="V103" s="24">
        <v>1</v>
      </c>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row>
    <row r="104" spans="2:99" ht="13.5" customHeight="1" thickBot="1">
      <c r="B104" s="20"/>
      <c r="C104" s="115" t="s">
        <v>175</v>
      </c>
      <c r="K104" s="106"/>
      <c r="T104" s="94"/>
      <c r="U104" s="93">
        <f t="shared" si="0"/>
        <v>1</v>
      </c>
      <c r="V104" s="24">
        <v>1</v>
      </c>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row>
    <row r="105" spans="2:99" ht="13.5" customHeight="1" thickBot="1">
      <c r="B105" s="20"/>
      <c r="C105" s="81" t="s">
        <v>180</v>
      </c>
      <c r="D105" s="3" t="s">
        <v>166</v>
      </c>
      <c r="E105" s="3" t="s">
        <v>127</v>
      </c>
      <c r="F105" s="23"/>
      <c r="G105" s="110">
        <f>'DCF - Financials'!G21/'DCF - Financials'!G$11</f>
        <v>-0.15870055179917619</v>
      </c>
      <c r="H105" s="110">
        <f>'DCF - Financials'!H21/'DCF - Financials'!H$11</f>
        <v>-0.15665418652144317</v>
      </c>
      <c r="I105" s="110">
        <f>'DCF - Financials'!I21/'DCF - Financials'!I$11</f>
        <v>-0.16987355689939526</v>
      </c>
      <c r="J105" s="110">
        <f>'DCF - Financials'!J21/'DCF - Financials'!J$11</f>
        <v>-0.17609370955216153</v>
      </c>
      <c r="K105" s="110">
        <f>'DCF - Financials'!K21/'DCF - Financials'!K$11</f>
        <v>-0.17828551393677322</v>
      </c>
      <c r="L105" s="952">
        <f t="shared" ref="L105:S105" si="69">L67</f>
        <v>-0.183</v>
      </c>
      <c r="M105" s="953">
        <f t="shared" si="69"/>
        <v>-0.18</v>
      </c>
      <c r="N105" s="953">
        <f t="shared" si="69"/>
        <v>-0.18</v>
      </c>
      <c r="O105" s="953">
        <f t="shared" si="69"/>
        <v>-0.18</v>
      </c>
      <c r="P105" s="953">
        <f t="shared" si="69"/>
        <v>-0.18</v>
      </c>
      <c r="Q105" s="953">
        <f t="shared" si="69"/>
        <v>-0.17799999999999999</v>
      </c>
      <c r="R105" s="953">
        <f t="shared" si="69"/>
        <v>-0.17599999999999999</v>
      </c>
      <c r="S105" s="954">
        <f t="shared" si="69"/>
        <v>-0.17499999999999999</v>
      </c>
      <c r="T105" s="94"/>
      <c r="U105" s="93">
        <f t="shared" si="0"/>
        <v>1</v>
      </c>
      <c r="V105" s="24">
        <v>1</v>
      </c>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row>
    <row r="106" spans="2:99" ht="13.5" customHeight="1">
      <c r="B106" s="20"/>
      <c r="C106" s="149" t="s">
        <v>181</v>
      </c>
      <c r="D106" s="78" t="s">
        <v>165</v>
      </c>
      <c r="E106" s="78" t="s">
        <v>134</v>
      </c>
      <c r="F106" s="653"/>
      <c r="G106" s="646">
        <f>'DCF - Financials'!G21</f>
        <v>-2042</v>
      </c>
      <c r="H106" s="646">
        <f>'DCF - Financials'!H21</f>
        <v>-1841</v>
      </c>
      <c r="I106" s="646">
        <f>'DCF - Financials'!I21</f>
        <v>-2163</v>
      </c>
      <c r="J106" s="646">
        <f>'DCF - Financials'!J21</f>
        <v>-2721</v>
      </c>
      <c r="K106" s="646">
        <f>'DCF - Financials'!K21</f>
        <v>-3051</v>
      </c>
      <c r="L106" s="647">
        <f>L105*L$92</f>
        <v>-3252.9064349999999</v>
      </c>
      <c r="M106" s="647">
        <f t="shared" ref="M106:S106" si="70">M105*M$92</f>
        <v>-3372.0842248199997</v>
      </c>
      <c r="N106" s="647">
        <f t="shared" si="70"/>
        <v>-3568.18500466452</v>
      </c>
      <c r="O106" s="647">
        <f t="shared" si="70"/>
        <v>-3780.2888915897133</v>
      </c>
      <c r="P106" s="647">
        <f t="shared" si="70"/>
        <v>-4023.6944570799651</v>
      </c>
      <c r="Q106" s="647">
        <f t="shared" si="70"/>
        <v>-4235.8161146813545</v>
      </c>
      <c r="R106" s="647">
        <f t="shared" si="70"/>
        <v>-4459.2159440426749</v>
      </c>
      <c r="S106" s="647">
        <f t="shared" si="70"/>
        <v>-4721.4598544230903</v>
      </c>
      <c r="T106" s="94"/>
      <c r="U106" s="93">
        <f t="shared" si="0"/>
        <v>1</v>
      </c>
      <c r="V106" s="24">
        <v>1</v>
      </c>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row>
    <row r="107" spans="2:99" ht="13.5" customHeight="1">
      <c r="B107" s="20"/>
      <c r="C107" s="81"/>
      <c r="F107" s="23"/>
      <c r="G107" s="110"/>
      <c r="H107" s="110"/>
      <c r="I107" s="110"/>
      <c r="J107" s="110"/>
      <c r="K107" s="110"/>
      <c r="L107"/>
      <c r="M107"/>
      <c r="N107"/>
      <c r="O107"/>
      <c r="P107"/>
      <c r="Q107"/>
      <c r="R107"/>
      <c r="S107"/>
      <c r="T107" s="94"/>
      <c r="U107" s="93">
        <f t="shared" si="0"/>
        <v>0</v>
      </c>
      <c r="V107" s="24">
        <v>0</v>
      </c>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row>
    <row r="108" spans="2:99" ht="13.5" customHeight="1" thickBot="1">
      <c r="B108" s="20"/>
      <c r="C108" s="100" t="s">
        <v>182</v>
      </c>
      <c r="D108" s="57"/>
      <c r="E108" s="57"/>
      <c r="F108" s="57"/>
      <c r="G108" s="57"/>
      <c r="H108" s="57"/>
      <c r="I108" s="57"/>
      <c r="J108" s="57"/>
      <c r="K108" s="57"/>
      <c r="L108" s="57"/>
      <c r="M108" s="57"/>
      <c r="N108" s="57"/>
      <c r="O108" s="57"/>
      <c r="P108" s="57"/>
      <c r="Q108" s="57"/>
      <c r="R108" s="57"/>
      <c r="S108" s="57"/>
      <c r="T108" s="94"/>
      <c r="U108" s="93">
        <f t="shared" si="0"/>
        <v>1</v>
      </c>
      <c r="V108" s="24">
        <v>1</v>
      </c>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row>
    <row r="109" spans="2:99" ht="13.5" customHeight="1" thickBot="1">
      <c r="B109" s="20"/>
      <c r="C109" s="115" t="s">
        <v>175</v>
      </c>
      <c r="K109" s="106"/>
      <c r="T109" s="94"/>
      <c r="U109" s="93">
        <f t="shared" si="0"/>
        <v>1</v>
      </c>
      <c r="V109" s="24">
        <v>1</v>
      </c>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row>
    <row r="110" spans="2:99" ht="13.5" customHeight="1" thickBot="1">
      <c r="B110" s="20"/>
      <c r="C110" s="81" t="s">
        <v>183</v>
      </c>
      <c r="D110" s="3" t="s">
        <v>166</v>
      </c>
      <c r="E110" s="3" t="s">
        <v>127</v>
      </c>
      <c r="F110" s="23"/>
      <c r="G110" s="110">
        <f>'DCF - Financials'!G22/'DCF - Financials'!G11</f>
        <v>-0.14898577757052925</v>
      </c>
      <c r="H110" s="110">
        <f>'DCF - Financials'!H22/'DCF - Financials'!H11</f>
        <v>-0.26548672566371684</v>
      </c>
      <c r="I110" s="110">
        <f>'DCF - Financials'!I22/'DCF - Financials'!I11</f>
        <v>-0.14144349328516453</v>
      </c>
      <c r="J110" s="110">
        <f>'DCF - Financials'!J22/'DCF - Financials'!J11</f>
        <v>-0.15201915609629821</v>
      </c>
      <c r="K110" s="110">
        <f>'DCF - Financials'!K22/'DCF - Financials'!K11</f>
        <v>-0.14789925787413077</v>
      </c>
      <c r="L110" s="952">
        <f t="shared" ref="L110:S110" si="71">L72</f>
        <v>-0.17100000000000001</v>
      </c>
      <c r="M110" s="953">
        <f t="shared" si="71"/>
        <v>-0.17100000000000001</v>
      </c>
      <c r="N110" s="953">
        <f t="shared" si="71"/>
        <v>-0.17100000000000001</v>
      </c>
      <c r="O110" s="953">
        <f t="shared" si="71"/>
        <v>-0.17100000000000001</v>
      </c>
      <c r="P110" s="953">
        <f t="shared" si="71"/>
        <v>-0.17100000000000001</v>
      </c>
      <c r="Q110" s="953">
        <f t="shared" si="71"/>
        <v>-0.17100000000000001</v>
      </c>
      <c r="R110" s="953">
        <f t="shared" si="71"/>
        <v>-0.17100000000000001</v>
      </c>
      <c r="S110" s="954">
        <f t="shared" si="71"/>
        <v>-0.17100000000000001</v>
      </c>
      <c r="T110" s="94"/>
      <c r="U110" s="93">
        <f t="shared" si="0"/>
        <v>1</v>
      </c>
      <c r="V110" s="24">
        <v>1</v>
      </c>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row>
    <row r="111" spans="2:99" ht="13.5" customHeight="1">
      <c r="B111" s="20"/>
      <c r="C111" s="149" t="s">
        <v>184</v>
      </c>
      <c r="D111" s="78" t="s">
        <v>165</v>
      </c>
      <c r="E111" s="78" t="s">
        <v>134</v>
      </c>
      <c r="F111" s="653"/>
      <c r="G111" s="646">
        <f>'DCF - Financials'!G22</f>
        <v>-1917</v>
      </c>
      <c r="H111" s="646">
        <f>'DCF - Financials'!H22</f>
        <v>-3120</v>
      </c>
      <c r="I111" s="646">
        <f>'DCF - Financials'!I22</f>
        <v>-1801</v>
      </c>
      <c r="J111" s="646">
        <f>'DCF - Financials'!J22</f>
        <v>-2349</v>
      </c>
      <c r="K111" s="646">
        <f>'DCF - Financials'!K22</f>
        <v>-2531</v>
      </c>
      <c r="L111" s="647">
        <f>L110*L$92</f>
        <v>-3039.601095</v>
      </c>
      <c r="M111" s="647">
        <f t="shared" ref="M111" si="72">M110*M$92</f>
        <v>-3203.4800135790001</v>
      </c>
      <c r="N111" s="647">
        <f t="shared" ref="N111" si="73">N110*N$92</f>
        <v>-3389.775754431294</v>
      </c>
      <c r="O111" s="647">
        <f t="shared" ref="O111" si="74">O110*O$92</f>
        <v>-3591.274447010228</v>
      </c>
      <c r="P111" s="647">
        <f t="shared" ref="P111" si="75">P110*P$92</f>
        <v>-3822.5097342259673</v>
      </c>
      <c r="Q111" s="647">
        <f t="shared" ref="Q111" si="76">Q110*Q$92</f>
        <v>-4069.2390764635488</v>
      </c>
      <c r="R111" s="647">
        <f t="shared" ref="R111" si="77">R110*R$92</f>
        <v>-4332.5336729050996</v>
      </c>
      <c r="S111" s="647">
        <f t="shared" ref="S111" si="78">S110*S$92</f>
        <v>-4613.5407720362773</v>
      </c>
      <c r="T111" s="94"/>
      <c r="U111" s="93">
        <f t="shared" si="0"/>
        <v>1</v>
      </c>
      <c r="V111" s="24">
        <v>1</v>
      </c>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row>
    <row r="112" spans="2:99" ht="13.5" customHeight="1">
      <c r="B112" s="20"/>
      <c r="C112" s="115"/>
      <c r="D112" s="23"/>
      <c r="E112" s="23"/>
      <c r="F112" s="1017"/>
      <c r="G112" s="1018"/>
      <c r="H112" s="1018"/>
      <c r="I112" s="1018"/>
      <c r="J112" s="1018"/>
      <c r="K112" s="1018"/>
      <c r="L112" s="1018"/>
      <c r="M112" s="1018"/>
      <c r="N112" s="1018"/>
      <c r="O112" s="1018"/>
      <c r="P112" s="1018"/>
      <c r="Q112" s="1018"/>
      <c r="R112" s="1018"/>
      <c r="S112" s="1018"/>
      <c r="T112" s="94"/>
      <c r="U112" s="93">
        <f t="shared" si="0"/>
        <v>0</v>
      </c>
      <c r="V112" s="24">
        <v>0</v>
      </c>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row>
    <row r="113" spans="1:99" s="23" customFormat="1" ht="13.5" customHeight="1">
      <c r="B113" s="20"/>
      <c r="C113" s="149" t="s">
        <v>65</v>
      </c>
      <c r="D113" s="78" t="s">
        <v>165</v>
      </c>
      <c r="E113" s="78" t="s">
        <v>134</v>
      </c>
      <c r="F113" s="78"/>
      <c r="G113" s="646">
        <f>'DCF - Financials'!G23</f>
        <v>-3959</v>
      </c>
      <c r="H113" s="646">
        <f>'DCF - Financials'!H23</f>
        <v>-4961</v>
      </c>
      <c r="I113" s="646">
        <f>'DCF - Financials'!I23</f>
        <v>-3964</v>
      </c>
      <c r="J113" s="646">
        <f>'DCF - Financials'!J23</f>
        <v>-5070</v>
      </c>
      <c r="K113" s="646">
        <f>'DCF - Financials'!K23</f>
        <v>-5582</v>
      </c>
      <c r="L113" s="647">
        <f>L106+L111</f>
        <v>-6292.5075299999999</v>
      </c>
      <c r="M113" s="647">
        <f t="shared" ref="M113:S113" si="79">M106+M111</f>
        <v>-6575.5642383989998</v>
      </c>
      <c r="N113" s="647">
        <f t="shared" si="79"/>
        <v>-6957.960759095814</v>
      </c>
      <c r="O113" s="647">
        <f t="shared" si="79"/>
        <v>-7371.5633385999408</v>
      </c>
      <c r="P113" s="647">
        <f t="shared" si="79"/>
        <v>-7846.2041913059329</v>
      </c>
      <c r="Q113" s="647">
        <f t="shared" si="79"/>
        <v>-8305.0551911449038</v>
      </c>
      <c r="R113" s="647">
        <f t="shared" si="79"/>
        <v>-8791.7496169477745</v>
      </c>
      <c r="S113" s="647">
        <f t="shared" si="79"/>
        <v>-9335.0006264593685</v>
      </c>
      <c r="T113" s="654"/>
      <c r="U113" s="93">
        <f t="shared" si="0"/>
        <v>1</v>
      </c>
      <c r="V113" s="655">
        <v>1</v>
      </c>
    </row>
    <row r="114" spans="1:99" ht="13.5" customHeight="1">
      <c r="B114" s="20"/>
      <c r="D114" s="23"/>
      <c r="E114" s="23"/>
      <c r="F114" s="23"/>
      <c r="G114" s="23"/>
      <c r="H114" s="23"/>
      <c r="I114" s="23"/>
      <c r="J114" s="23"/>
      <c r="K114" s="23"/>
      <c r="L114" s="23"/>
      <c r="M114" s="23"/>
      <c r="N114" s="23"/>
      <c r="O114" s="23"/>
      <c r="P114" s="23"/>
      <c r="Q114" s="23"/>
      <c r="R114" s="23"/>
      <c r="S114" s="23"/>
      <c r="T114" s="94"/>
      <c r="U114" s="93">
        <f t="shared" si="0"/>
        <v>0</v>
      </c>
      <c r="V114" s="24">
        <v>0</v>
      </c>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row>
    <row r="115" spans="1:99" ht="13.5" customHeight="1" thickBot="1">
      <c r="B115" s="20"/>
      <c r="C115" s="100" t="s">
        <v>185</v>
      </c>
      <c r="D115" s="57"/>
      <c r="E115" s="57"/>
      <c r="F115" s="57"/>
      <c r="G115" s="57"/>
      <c r="H115" s="57"/>
      <c r="I115" s="57"/>
      <c r="J115" s="57"/>
      <c r="K115" s="57"/>
      <c r="L115" s="57"/>
      <c r="M115" s="57"/>
      <c r="N115" s="57"/>
      <c r="O115" s="57"/>
      <c r="P115" s="57"/>
      <c r="Q115" s="57"/>
      <c r="R115" s="57"/>
      <c r="S115" s="57"/>
      <c r="T115" s="94"/>
      <c r="U115" s="93">
        <f t="shared" si="0"/>
        <v>1</v>
      </c>
      <c r="V115" s="24">
        <v>1</v>
      </c>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row>
    <row r="116" spans="1:99" ht="13.5" customHeight="1">
      <c r="B116" s="20"/>
      <c r="C116" s="115" t="s">
        <v>186</v>
      </c>
      <c r="G116" s="114"/>
      <c r="H116" s="114"/>
      <c r="I116" s="114"/>
      <c r="J116" s="114"/>
      <c r="K116" s="114"/>
      <c r="L116" s="114"/>
      <c r="M116" s="114"/>
      <c r="N116" s="114"/>
      <c r="O116" s="114"/>
      <c r="P116" s="114"/>
      <c r="Q116" s="114"/>
      <c r="R116" s="114"/>
      <c r="S116" s="114"/>
      <c r="T116" s="94"/>
      <c r="U116" s="93">
        <f t="shared" si="0"/>
        <v>1</v>
      </c>
      <c r="V116" s="24">
        <v>1</v>
      </c>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row>
    <row r="117" spans="1:99" ht="13.5" customHeight="1">
      <c r="B117" s="20"/>
      <c r="C117" s="81" t="s">
        <v>187</v>
      </c>
      <c r="D117" s="3" t="s">
        <v>166</v>
      </c>
      <c r="E117" s="3" t="s">
        <v>134</v>
      </c>
      <c r="G117" s="113">
        <f t="shared" ref="G117:S117" si="80">G118/G92</f>
        <v>0.37864304033574259</v>
      </c>
      <c r="H117" s="113">
        <f t="shared" si="80"/>
        <v>0.3603641933287951</v>
      </c>
      <c r="I117" s="113">
        <f t="shared" si="80"/>
        <v>0.35545433126521636</v>
      </c>
      <c r="J117" s="113">
        <f t="shared" si="80"/>
        <v>0.36480714470618691</v>
      </c>
      <c r="K117" s="113">
        <f t="shared" si="80"/>
        <v>0.37375094957050198</v>
      </c>
      <c r="L117" s="741">
        <f t="shared" si="80"/>
        <v>0.38416711622698707</v>
      </c>
      <c r="M117" s="741">
        <f t="shared" si="80"/>
        <v>0.34449718130812557</v>
      </c>
      <c r="N117" s="741">
        <f t="shared" si="80"/>
        <v>0.35006893305400355</v>
      </c>
      <c r="O117" s="741">
        <f t="shared" si="80"/>
        <v>0.35066450200822474</v>
      </c>
      <c r="P117" s="741">
        <f t="shared" si="80"/>
        <v>0.35547323414984583</v>
      </c>
      <c r="Q117" s="741">
        <f t="shared" si="80"/>
        <v>0.34960006355739565</v>
      </c>
      <c r="R117" s="741">
        <f t="shared" si="80"/>
        <v>0.35247149330775052</v>
      </c>
      <c r="S117" s="741">
        <f t="shared" si="80"/>
        <v>0.35318882352478592</v>
      </c>
      <c r="T117" s="94"/>
      <c r="U117" s="93">
        <f t="shared" si="0"/>
        <v>1</v>
      </c>
      <c r="V117" s="24">
        <v>1</v>
      </c>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row>
    <row r="118" spans="1:99" s="78" customFormat="1" ht="13.5" customHeight="1">
      <c r="A118" s="23"/>
      <c r="B118" s="20"/>
      <c r="C118" s="149" t="s">
        <v>188</v>
      </c>
      <c r="D118" s="78" t="s">
        <v>165</v>
      </c>
      <c r="E118" s="78" t="s">
        <v>134</v>
      </c>
      <c r="G118" s="656">
        <f>'DCF - Financials'!G49</f>
        <v>4872</v>
      </c>
      <c r="H118" s="656">
        <f>'DCF - Financials'!H49</f>
        <v>4235</v>
      </c>
      <c r="I118" s="656">
        <f>'DCF - Financials'!I49</f>
        <v>4526</v>
      </c>
      <c r="J118" s="656">
        <f>'DCF - Financials'!J49</f>
        <v>5637</v>
      </c>
      <c r="K118" s="656">
        <f>'DCF - Financials'!K49</f>
        <v>6396</v>
      </c>
      <c r="L118" s="742">
        <f>'DCF - Financials'!L49</f>
        <v>6828.7414453014162</v>
      </c>
      <c r="M118" s="742">
        <f>'DCF - Financials'!M49</f>
        <v>6453.7417254671418</v>
      </c>
      <c r="N118" s="742">
        <f>'DCF - Financials'!N49</f>
        <v>6939.503986234462</v>
      </c>
      <c r="O118" s="742">
        <f>'DCF - Financials'!O49</f>
        <v>7364.5173423140604</v>
      </c>
      <c r="P118" s="742">
        <f>'DCF - Financials'!P49</f>
        <v>7946.1982327167962</v>
      </c>
      <c r="Q118" s="742">
        <f>'DCF - Financials'!Q49</f>
        <v>8319.3347354496746</v>
      </c>
      <c r="R118" s="742">
        <f>'DCF - Financials'!R49</f>
        <v>8930.3778566957517</v>
      </c>
      <c r="S118" s="742">
        <f>'DCF - Financials'!S49</f>
        <v>9528.9534360182752</v>
      </c>
      <c r="T118" s="654"/>
      <c r="U118" s="93">
        <f t="shared" si="0"/>
        <v>1</v>
      </c>
      <c r="V118" s="655">
        <v>1</v>
      </c>
      <c r="W118" s="23"/>
    </row>
    <row r="119" spans="1:99" s="23" customFormat="1" ht="13.5" customHeight="1">
      <c r="B119" s="20"/>
      <c r="C119" s="115"/>
      <c r="G119" s="745"/>
      <c r="H119" s="745"/>
      <c r="I119" s="745"/>
      <c r="J119" s="745"/>
      <c r="K119" s="745"/>
      <c r="L119" s="961"/>
      <c r="M119" s="961"/>
      <c r="N119" s="961"/>
      <c r="O119" s="961"/>
      <c r="P119" s="961"/>
      <c r="Q119" s="961"/>
      <c r="R119" s="961"/>
      <c r="S119" s="961"/>
      <c r="T119" s="654"/>
      <c r="U119" s="93">
        <f t="shared" si="0"/>
        <v>0</v>
      </c>
      <c r="V119" s="655">
        <v>0</v>
      </c>
    </row>
    <row r="120" spans="1:99" ht="13.5" customHeight="1">
      <c r="B120" s="20"/>
      <c r="C120" s="81"/>
      <c r="G120" s="113"/>
      <c r="H120" s="113"/>
      <c r="I120" s="113"/>
      <c r="J120" s="113"/>
      <c r="K120" s="113"/>
      <c r="L120" s="113"/>
      <c r="M120" s="113"/>
      <c r="N120" s="113"/>
      <c r="O120" s="113"/>
      <c r="P120" s="113"/>
      <c r="Q120" s="113"/>
      <c r="R120" s="113"/>
      <c r="S120" s="113"/>
      <c r="T120" s="94"/>
      <c r="U120" s="93">
        <f t="shared" si="0"/>
        <v>0</v>
      </c>
      <c r="V120" s="24">
        <v>0</v>
      </c>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row>
    <row r="121" spans="1:99" ht="16">
      <c r="B121" s="117"/>
      <c r="C121" s="926" t="s">
        <v>189</v>
      </c>
      <c r="D121" s="927"/>
      <c r="E121" s="927"/>
      <c r="F121" s="927"/>
      <c r="G121" s="927"/>
      <c r="H121" s="927"/>
      <c r="I121" s="927"/>
      <c r="J121" s="927"/>
      <c r="K121" s="927"/>
      <c r="L121" s="927"/>
      <c r="M121" s="927"/>
      <c r="N121" s="927"/>
      <c r="O121" s="927"/>
      <c r="P121" s="927"/>
      <c r="Q121" s="927"/>
      <c r="R121" s="927"/>
      <c r="S121" s="927"/>
      <c r="T121"/>
      <c r="U121" s="93">
        <f t="shared" ref="U121:U166" si="81">IF(NOT(ISBLANK(C121)), 1, 0)</f>
        <v>1</v>
      </c>
      <c r="V121" s="24">
        <v>1</v>
      </c>
    </row>
    <row r="122" spans="1:99" ht="13.5" customHeight="1">
      <c r="B122" s="20"/>
      <c r="C122" s="81"/>
      <c r="G122" s="113"/>
      <c r="H122" s="113"/>
      <c r="I122" s="113"/>
      <c r="J122" s="113"/>
      <c r="K122" s="113"/>
      <c r="L122" s="113"/>
      <c r="M122" s="113"/>
      <c r="N122" s="113"/>
      <c r="O122" s="113"/>
      <c r="P122" s="113"/>
      <c r="Q122" s="113"/>
      <c r="R122" s="113"/>
      <c r="S122" s="113"/>
      <c r="T122" s="94"/>
      <c r="U122" s="93">
        <f t="shared" si="81"/>
        <v>0</v>
      </c>
      <c r="V122" s="24">
        <v>0</v>
      </c>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row>
    <row r="123" spans="1:99" ht="13.5" customHeight="1" thickBot="1">
      <c r="B123" s="20"/>
      <c r="C123" s="100" t="s">
        <v>190</v>
      </c>
      <c r="D123" s="57"/>
      <c r="E123" s="57"/>
      <c r="F123" s="57"/>
      <c r="G123" s="57"/>
      <c r="H123" s="57"/>
      <c r="I123" s="57"/>
      <c r="J123" s="57"/>
      <c r="K123" s="57"/>
      <c r="L123" s="57"/>
      <c r="M123" s="57"/>
      <c r="N123" s="57"/>
      <c r="O123" s="57"/>
      <c r="P123" s="57"/>
      <c r="Q123" s="57"/>
      <c r="R123" s="57"/>
      <c r="S123" s="57"/>
      <c r="T123" s="94"/>
      <c r="U123" s="93">
        <f t="shared" si="81"/>
        <v>1</v>
      </c>
      <c r="V123" s="24">
        <v>1</v>
      </c>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row>
    <row r="124" spans="1:99" ht="13.5" customHeight="1">
      <c r="B124" s="20"/>
      <c r="C124" s="115" t="s">
        <v>191</v>
      </c>
      <c r="G124" s="1021"/>
      <c r="H124" s="1021"/>
      <c r="I124" s="1021"/>
      <c r="J124" s="1021"/>
      <c r="K124" s="1021"/>
      <c r="T124" s="94"/>
      <c r="U124" s="93">
        <f t="shared" si="81"/>
        <v>1</v>
      </c>
      <c r="V124" s="24">
        <v>1</v>
      </c>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row>
    <row r="125" spans="1:99" ht="13.5" customHeight="1">
      <c r="B125" s="20"/>
      <c r="C125" s="70" t="s">
        <v>192</v>
      </c>
      <c r="D125" s="3" t="s">
        <v>166</v>
      </c>
      <c r="E125" s="3" t="s">
        <v>127</v>
      </c>
      <c r="G125" s="109">
        <f>'DCF - Financials'!G125/'DCF - Financials'!G$11</f>
        <v>0.42527395663324785</v>
      </c>
      <c r="H125" s="109">
        <f>'DCF - Financials'!H125/'DCF - Financials'!H$11</f>
        <v>0.49115044247787609</v>
      </c>
      <c r="I125" s="109">
        <f>'DCF - Financials'!I125/'DCF - Financials'!I$11</f>
        <v>0.47475064792272048</v>
      </c>
      <c r="J125" s="109">
        <f>'DCF - Financials'!J125/'DCF - Financials'!J$11</f>
        <v>0.45909914574165156</v>
      </c>
      <c r="K125" s="109">
        <f>'DCF - Financials'!K125/'DCF - Financials'!K$11</f>
        <v>0.44767136095366095</v>
      </c>
      <c r="L125" s="98">
        <v>0.447671360953661</v>
      </c>
      <c r="M125" s="98">
        <v>0.445671360953661</v>
      </c>
      <c r="N125" s="98">
        <v>0.443671360953661</v>
      </c>
      <c r="O125" s="98">
        <v>0.441671360953661</v>
      </c>
      <c r="P125" s="98">
        <v>0.43967136095366099</v>
      </c>
      <c r="Q125" s="98">
        <v>0.43767136095366099</v>
      </c>
      <c r="R125" s="98">
        <v>0.43567136095366099</v>
      </c>
      <c r="S125" s="98">
        <v>0.43367136095366099</v>
      </c>
      <c r="T125" s="1340">
        <v>2E-3</v>
      </c>
      <c r="U125" s="93">
        <f t="shared" si="81"/>
        <v>1</v>
      </c>
      <c r="V125" s="24">
        <v>1</v>
      </c>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row>
    <row r="126" spans="1:99" ht="13.5" customHeight="1">
      <c r="B126" s="20"/>
      <c r="C126" s="19" t="s">
        <v>193</v>
      </c>
      <c r="D126" s="3" t="s">
        <v>166</v>
      </c>
      <c r="E126" s="3" t="s">
        <v>127</v>
      </c>
      <c r="G126" s="107">
        <f>'DCF - Financials'!G126/'DCF - Financials'!G$11</f>
        <v>0.20937281417579856</v>
      </c>
      <c r="H126" s="109">
        <f>'DCF - Financials'!H126/'DCF - Financials'!H$11</f>
        <v>0.17962899931926479</v>
      </c>
      <c r="I126" s="109">
        <f>'DCF - Financials'!I126/'DCF - Financials'!I$11</f>
        <v>0.18730856828712794</v>
      </c>
      <c r="J126" s="109">
        <f>'DCF - Financials'!J126/'DCF - Financials'!J$11</f>
        <v>0.18981361636034169</v>
      </c>
      <c r="K126" s="109">
        <f>'DCF - Financials'!K126/'DCF - Financials'!K$11</f>
        <v>0.15894349325074505</v>
      </c>
      <c r="L126" s="98">
        <v>0.18501349827865601</v>
      </c>
      <c r="M126" s="98">
        <v>0.1850134982786556</v>
      </c>
      <c r="N126" s="98">
        <v>0.1850134982786556</v>
      </c>
      <c r="O126" s="98">
        <v>0.1850134982786556</v>
      </c>
      <c r="P126" s="98">
        <v>0.1850134982786556</v>
      </c>
      <c r="Q126" s="98">
        <v>0.1850134982786556</v>
      </c>
      <c r="R126" s="98">
        <v>0.1850134982786556</v>
      </c>
      <c r="S126" s="98">
        <v>0.1850134982786556</v>
      </c>
      <c r="T126" s="94"/>
      <c r="U126" s="93">
        <f t="shared" si="81"/>
        <v>1</v>
      </c>
      <c r="V126" s="24">
        <v>1</v>
      </c>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row>
    <row r="127" spans="1:99" ht="13.5" customHeight="1">
      <c r="B127" s="20"/>
      <c r="C127" s="19" t="s">
        <v>194</v>
      </c>
      <c r="D127" s="3" t="s">
        <v>166</v>
      </c>
      <c r="E127" s="3" t="s">
        <v>127</v>
      </c>
      <c r="G127" s="107">
        <f>-'DCF - Financials'!G148/'DCF - Financials'!G15</f>
        <v>0.86354295108919032</v>
      </c>
      <c r="H127" s="109">
        <f>-'DCF - Financials'!H148/'DCF - Financials'!H15</f>
        <v>0.79136226901590034</v>
      </c>
      <c r="I127" s="109">
        <f>-'DCF - Financials'!I148/'DCF - Financials'!I15</f>
        <v>0.9225883287018658</v>
      </c>
      <c r="J127" s="109">
        <f>-'DCF - Financials'!J148/'DCF - Financials'!J15</f>
        <v>0.98560187510463748</v>
      </c>
      <c r="K127" s="109">
        <f>-'DCF - Financials'!K148/'DCF - Financials'!K15</f>
        <v>0.76822727931584289</v>
      </c>
      <c r="L127" s="98">
        <v>0.86626454064548697</v>
      </c>
      <c r="M127" s="98">
        <v>0.86626454064548741</v>
      </c>
      <c r="N127" s="98">
        <v>0.86626454064548741</v>
      </c>
      <c r="O127" s="98">
        <v>0.86626454064548741</v>
      </c>
      <c r="P127" s="98">
        <v>0.86626454064548741</v>
      </c>
      <c r="Q127" s="98">
        <v>0.86626454064548741</v>
      </c>
      <c r="R127" s="98">
        <v>0.86626454064548741</v>
      </c>
      <c r="S127" s="98">
        <v>0.86626454064548741</v>
      </c>
      <c r="T127" s="94"/>
      <c r="U127" s="93">
        <f t="shared" si="81"/>
        <v>1</v>
      </c>
      <c r="V127" s="24">
        <v>1</v>
      </c>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row>
    <row r="128" spans="1:99" ht="13.5" customHeight="1">
      <c r="B128" s="20"/>
      <c r="C128" s="19" t="s">
        <v>195</v>
      </c>
      <c r="D128" s="3" t="s">
        <v>166</v>
      </c>
      <c r="E128" s="3" t="s">
        <v>127</v>
      </c>
      <c r="G128" s="107">
        <f>-'DCF - Financials'!G151/'DCF - Financials'!G15</f>
        <v>2.0345252774352653E-2</v>
      </c>
      <c r="H128" s="107">
        <f>-'DCF - Financials'!H151/'DCF - Financials'!H15</f>
        <v>3.9321014181349374E-2</v>
      </c>
      <c r="I128" s="107">
        <f>-'DCF - Financials'!I151/'DCF - Financials'!I15</f>
        <v>2.7391822151647479E-2</v>
      </c>
      <c r="J128" s="107">
        <f>-'DCF - Financials'!J151/'DCF - Financials'!J15</f>
        <v>2.6619789050728277E-2</v>
      </c>
      <c r="K128" s="107">
        <f>-'DCF - Financials'!K151/'DCF - Financials'!K15</f>
        <v>1.7248876648789678E-2</v>
      </c>
      <c r="L128" s="98">
        <v>2.6185350961373501E-2</v>
      </c>
      <c r="M128" s="98">
        <v>2.6185350961373501E-2</v>
      </c>
      <c r="N128" s="98">
        <v>2.6185350961373494E-2</v>
      </c>
      <c r="O128" s="98">
        <v>2.6185350961373494E-2</v>
      </c>
      <c r="P128" s="98">
        <v>2.6185350961373494E-2</v>
      </c>
      <c r="Q128" s="98">
        <v>2.6185350961373494E-2</v>
      </c>
      <c r="R128" s="98">
        <v>2.6185350961373494E-2</v>
      </c>
      <c r="S128" s="98">
        <v>2.6185350961373494E-2</v>
      </c>
      <c r="T128" s="94"/>
      <c r="U128" s="93">
        <f t="shared" si="81"/>
        <v>1</v>
      </c>
      <c r="V128" s="24">
        <v>1</v>
      </c>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row>
    <row r="129" spans="2:99" ht="13.5" customHeight="1">
      <c r="B129" s="20"/>
      <c r="C129" s="667" t="str">
        <f>C125</f>
        <v>Inventories</v>
      </c>
      <c r="D129" s="32" t="s">
        <v>165</v>
      </c>
      <c r="E129" s="32" t="s">
        <v>134</v>
      </c>
      <c r="F129" s="32"/>
      <c r="G129" s="674">
        <f>G125*'DCF - Financials'!G$11</f>
        <v>5472</v>
      </c>
      <c r="H129" s="674">
        <f>H125*'DCF - Financials'!H$11</f>
        <v>5772</v>
      </c>
      <c r="I129" s="674">
        <f>I125*'DCF - Financials'!I$11</f>
        <v>6045</v>
      </c>
      <c r="J129" s="674">
        <f>J125*'DCF - Financials'!J$11</f>
        <v>7094</v>
      </c>
      <c r="K129" s="674">
        <f>K125*'DCF - Financials'!K$11</f>
        <v>7661</v>
      </c>
      <c r="L129" s="668">
        <f>L125*'DCF - Financials'!L$11</f>
        <v>7957.5576547069486</v>
      </c>
      <c r="M129" s="668">
        <f>M125*'DCF - Financials'!M$11</f>
        <v>8349.1186984772248</v>
      </c>
      <c r="N129" s="668">
        <f>N125*'DCF - Financials'!N$11</f>
        <v>8795.0083175219606</v>
      </c>
      <c r="O129" s="668">
        <f>O125*'DCF - Financials'!O$11</f>
        <v>9275.8074419246404</v>
      </c>
      <c r="P129" s="668">
        <f>P125*'DCF - Financials'!P$11</f>
        <v>9828.3512111447235</v>
      </c>
      <c r="Q129" s="668">
        <f>Q125*'DCF - Financials'!Q$11</f>
        <v>10415.142717202454</v>
      </c>
      <c r="R129" s="668">
        <f>R125*'DCF - Financials'!R$11</f>
        <v>11038.367495041686</v>
      </c>
      <c r="S129" s="668">
        <f>S125*'DCF - Financials'!S$11</f>
        <v>11700.353832889918</v>
      </c>
      <c r="T129" s="94"/>
      <c r="U129" s="93">
        <f t="shared" si="81"/>
        <v>1</v>
      </c>
      <c r="V129" s="24">
        <v>1</v>
      </c>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row>
    <row r="130" spans="2:99" ht="13.5" customHeight="1">
      <c r="B130" s="20"/>
      <c r="C130" s="70" t="str">
        <f>C126</f>
        <v>Trade and other receivables</v>
      </c>
      <c r="D130" s="3" t="s">
        <v>165</v>
      </c>
      <c r="E130" s="3" t="s">
        <v>134</v>
      </c>
      <c r="G130" s="114">
        <f>G126*'DCF - Financials'!G$11</f>
        <v>2694</v>
      </c>
      <c r="H130" s="114">
        <f>H126*'DCF - Financials'!H$11</f>
        <v>2111</v>
      </c>
      <c r="I130" s="114">
        <f>I126*'DCF - Financials'!I$11</f>
        <v>2385</v>
      </c>
      <c r="J130" s="114">
        <f>J126*'DCF - Financials'!J$11</f>
        <v>2933</v>
      </c>
      <c r="K130" s="114">
        <f>K126*'DCF - Financials'!K$11</f>
        <v>2720</v>
      </c>
      <c r="L130" s="643">
        <f>L126*'DCF - Financials'!L$11</f>
        <v>3288.6972629098445</v>
      </c>
      <c r="M130" s="643">
        <f>M126*'DCF - Financials'!M$11</f>
        <v>3466.0061051345374</v>
      </c>
      <c r="N130" s="643">
        <f>N126*'DCF - Financials'!N$11</f>
        <v>3667.5688345467993</v>
      </c>
      <c r="O130" s="643">
        <f>O126*'DCF - Financials'!O$11</f>
        <v>3885.5804018719687</v>
      </c>
      <c r="P130" s="643">
        <f>P126*'DCF - Financials'!P$11</f>
        <v>4135.7654861600013</v>
      </c>
      <c r="Q130" s="643">
        <f>Q126*'DCF - Financials'!Q$11</f>
        <v>4402.7143676533733</v>
      </c>
      <c r="R130" s="643">
        <f>R126*'DCF - Financials'!R$11</f>
        <v>4687.5860306096201</v>
      </c>
      <c r="S130" s="643">
        <f>S126*'DCF - Financials'!S$11</f>
        <v>4991.6217408517023</v>
      </c>
      <c r="T130" s="94"/>
      <c r="U130" s="93">
        <f t="shared" si="81"/>
        <v>1</v>
      </c>
      <c r="V130" s="24">
        <v>1</v>
      </c>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row>
    <row r="131" spans="2:99" ht="13.5" customHeight="1">
      <c r="B131" s="20"/>
      <c r="C131" s="667" t="str">
        <f>C127</f>
        <v>Trade and other payables</v>
      </c>
      <c r="D131" s="32" t="s">
        <v>165</v>
      </c>
      <c r="E131" s="32" t="s">
        <v>134</v>
      </c>
      <c r="F131" s="32"/>
      <c r="G131" s="674">
        <f>-G127*'DCF - Financials'!G$15</f>
        <v>4202</v>
      </c>
      <c r="H131" s="674">
        <f>-H127*'DCF - Financials'!H$15</f>
        <v>3683</v>
      </c>
      <c r="I131" s="674">
        <f>-I127*'DCF - Financials'!I$15</f>
        <v>4648</v>
      </c>
      <c r="J131" s="674">
        <f>-J127*'DCF - Financials'!J$15</f>
        <v>5887</v>
      </c>
      <c r="K131" s="674">
        <f>-K127*'DCF - Financials'!K$15</f>
        <v>5300</v>
      </c>
      <c r="L131" s="668">
        <f>-L127*'DCF - Financials'!L$15</f>
        <v>6159.2950790776467</v>
      </c>
      <c r="M131" s="668">
        <f>-M127*'DCF - Financials'!M$15</f>
        <v>6491.3710934035371</v>
      </c>
      <c r="N131" s="668">
        <f>-N127*'DCF - Financials'!N$15</f>
        <v>6868.8714311196154</v>
      </c>
      <c r="O131" s="668">
        <f>-O127*'DCF - Financials'!O$15</f>
        <v>7277.1782670671155</v>
      </c>
      <c r="P131" s="668">
        <f>-P127*'DCF - Financials'!P$15</f>
        <v>7745.7418456892665</v>
      </c>
      <c r="Q131" s="668">
        <f>-Q127*'DCF - Financials'!Q$15</f>
        <v>8245.7017996476334</v>
      </c>
      <c r="R131" s="668">
        <f>-R127*'DCF - Financials'!R$15</f>
        <v>8779.2287531935508</v>
      </c>
      <c r="S131" s="668">
        <f>-S127*'DCF - Financials'!S$15</f>
        <v>9348.647433069551</v>
      </c>
      <c r="T131" s="94"/>
      <c r="U131" s="93">
        <f t="shared" si="81"/>
        <v>1</v>
      </c>
      <c r="V131" s="24">
        <v>1</v>
      </c>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row>
    <row r="132" spans="2:99" ht="13.5" customHeight="1">
      <c r="B132" s="20"/>
      <c r="C132" s="70" t="str">
        <f>C128</f>
        <v>Short-term Provisions</v>
      </c>
      <c r="D132" s="3" t="s">
        <v>165</v>
      </c>
      <c r="E132" s="3" t="s">
        <v>134</v>
      </c>
      <c r="G132" s="114">
        <f>-G128*'DCF - Financials'!G$15</f>
        <v>99.000000000000014</v>
      </c>
      <c r="H132" s="114">
        <f>-H128*'DCF - Financials'!H$15</f>
        <v>183</v>
      </c>
      <c r="I132" s="114">
        <f>-I128*'DCF - Financials'!I$15</f>
        <v>138</v>
      </c>
      <c r="J132" s="114">
        <f>-J128*'DCF - Financials'!J$15</f>
        <v>159</v>
      </c>
      <c r="K132" s="114">
        <f>-K128*'DCF - Financials'!K$15</f>
        <v>118.99999999999999</v>
      </c>
      <c r="L132" s="643">
        <f>-L128*'DCF - Financials'!L$15</f>
        <v>186.18250632783671</v>
      </c>
      <c r="M132" s="643">
        <f>-M128*'DCF - Financials'!M$15</f>
        <v>196.22046421827289</v>
      </c>
      <c r="N132" s="643">
        <f>-N128*'DCF - Financials'!N$15</f>
        <v>207.63150364944573</v>
      </c>
      <c r="O132" s="643">
        <f>-O128*'DCF - Financials'!O$15</f>
        <v>219.97375858146279</v>
      </c>
      <c r="P132" s="643">
        <f>-P128*'DCF - Financials'!P$15</f>
        <v>234.13744782216017</v>
      </c>
      <c r="Q132" s="643">
        <f>-Q128*'DCF - Financials'!Q$15</f>
        <v>249.2501833051073</v>
      </c>
      <c r="R132" s="643">
        <f>-R128*'DCF - Financials'!R$15</f>
        <v>265.37757842570431</v>
      </c>
      <c r="S132" s="643">
        <f>-S128*'DCF - Financials'!S$15</f>
        <v>282.58990477280923</v>
      </c>
      <c r="T132" s="94"/>
      <c r="U132" s="93">
        <f t="shared" si="81"/>
        <v>1</v>
      </c>
      <c r="V132" s="24">
        <v>1</v>
      </c>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row>
    <row r="133" spans="2:99" ht="13.5" customHeight="1">
      <c r="B133" s="20"/>
      <c r="C133" s="108" t="s">
        <v>196</v>
      </c>
      <c r="D133" s="32" t="s">
        <v>165</v>
      </c>
      <c r="E133" s="32" t="s">
        <v>134</v>
      </c>
      <c r="F133" s="48"/>
      <c r="G133" s="102">
        <f t="shared" ref="G133:S133" si="82">SUM(G129:G130)-SUM(G131:G132)</f>
        <v>3865</v>
      </c>
      <c r="H133" s="102">
        <f t="shared" si="82"/>
        <v>4017</v>
      </c>
      <c r="I133" s="102">
        <f t="shared" si="82"/>
        <v>3644</v>
      </c>
      <c r="J133" s="102">
        <f t="shared" si="82"/>
        <v>3981</v>
      </c>
      <c r="K133" s="102">
        <f t="shared" si="82"/>
        <v>4962</v>
      </c>
      <c r="L133" s="675">
        <f t="shared" si="82"/>
        <v>4900.7773322113089</v>
      </c>
      <c r="M133" s="675">
        <f t="shared" si="82"/>
        <v>5127.533245989951</v>
      </c>
      <c r="N133" s="675">
        <f t="shared" si="82"/>
        <v>5386.0742172996979</v>
      </c>
      <c r="O133" s="675">
        <f t="shared" si="82"/>
        <v>5664.2358181480304</v>
      </c>
      <c r="P133" s="675">
        <f t="shared" si="82"/>
        <v>5984.2374037932987</v>
      </c>
      <c r="Q133" s="675">
        <f t="shared" si="82"/>
        <v>6322.9051019030867</v>
      </c>
      <c r="R133" s="675">
        <f t="shared" si="82"/>
        <v>6681.3471940320505</v>
      </c>
      <c r="S133" s="675">
        <f t="shared" si="82"/>
        <v>7060.73823589926</v>
      </c>
      <c r="T133" s="94"/>
      <c r="U133" s="93">
        <f t="shared" si="81"/>
        <v>1</v>
      </c>
      <c r="V133" s="24">
        <v>1</v>
      </c>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row>
    <row r="134" spans="2:99" ht="13.5" customHeight="1">
      <c r="B134" s="20"/>
      <c r="C134" s="80" t="s">
        <v>197</v>
      </c>
      <c r="D134" s="3" t="s">
        <v>166</v>
      </c>
      <c r="E134" s="3" t="s">
        <v>134</v>
      </c>
      <c r="F134" s="19"/>
      <c r="G134" s="107">
        <f t="shared" ref="G134:S134" si="83">G133/G92</f>
        <v>0.30038081914976295</v>
      </c>
      <c r="H134" s="107">
        <f t="shared" si="83"/>
        <v>0.3418141592920354</v>
      </c>
      <c r="I134" s="107">
        <f t="shared" si="83"/>
        <v>0.28618550223827849</v>
      </c>
      <c r="J134" s="107">
        <f t="shared" si="83"/>
        <v>0.25763655190266632</v>
      </c>
      <c r="K134" s="107">
        <f t="shared" si="83"/>
        <v>0.28995500496698418</v>
      </c>
      <c r="L134" s="676">
        <f t="shared" si="83"/>
        <v>0.27570490258957281</v>
      </c>
      <c r="M134" s="676">
        <f t="shared" si="83"/>
        <v>0.2737049025895722</v>
      </c>
      <c r="N134" s="676">
        <f t="shared" si="83"/>
        <v>0.27170490258957219</v>
      </c>
      <c r="O134" s="676">
        <f t="shared" si="83"/>
        <v>0.26970490258957219</v>
      </c>
      <c r="P134" s="676">
        <f t="shared" si="83"/>
        <v>0.26770490258957219</v>
      </c>
      <c r="Q134" s="676">
        <f t="shared" si="83"/>
        <v>0.26570490258957219</v>
      </c>
      <c r="R134" s="676">
        <f t="shared" si="83"/>
        <v>0.26370490258957219</v>
      </c>
      <c r="S134" s="676">
        <f t="shared" si="83"/>
        <v>0.26170490258957219</v>
      </c>
      <c r="T134" s="94"/>
      <c r="U134" s="93">
        <f t="shared" si="81"/>
        <v>1</v>
      </c>
      <c r="V134" s="24">
        <v>1</v>
      </c>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row>
    <row r="135" spans="2:99" ht="13.5" customHeight="1">
      <c r="B135" s="20"/>
      <c r="C135" s="80"/>
      <c r="G135" s="6"/>
      <c r="H135" s="6"/>
      <c r="I135" s="6"/>
      <c r="J135" s="6"/>
      <c r="K135" s="6"/>
      <c r="L135" s="6"/>
      <c r="M135" s="6"/>
      <c r="N135" s="6"/>
      <c r="O135" s="6"/>
      <c r="P135" s="6"/>
      <c r="Q135" s="6"/>
      <c r="R135" s="6"/>
      <c r="S135" s="6"/>
      <c r="T135" s="94"/>
      <c r="U135" s="93">
        <f t="shared" si="81"/>
        <v>0</v>
      </c>
      <c r="V135" s="24">
        <v>0</v>
      </c>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row>
    <row r="136" spans="2:99" ht="16">
      <c r="B136" s="117"/>
      <c r="C136" s="926" t="s">
        <v>198</v>
      </c>
      <c r="D136" s="927"/>
      <c r="E136" s="927"/>
      <c r="F136" s="927"/>
      <c r="G136" s="927"/>
      <c r="H136" s="927"/>
      <c r="I136" s="927"/>
      <c r="J136" s="927"/>
      <c r="K136" s="927"/>
      <c r="L136" s="927"/>
      <c r="M136" s="927"/>
      <c r="N136" s="927"/>
      <c r="O136" s="927"/>
      <c r="P136" s="927"/>
      <c r="Q136" s="927"/>
      <c r="R136" s="927"/>
      <c r="S136" s="927"/>
      <c r="T136"/>
      <c r="U136" s="93">
        <f t="shared" si="81"/>
        <v>1</v>
      </c>
      <c r="V136" s="24">
        <v>1</v>
      </c>
    </row>
    <row r="137" spans="2:99" ht="13.5" customHeight="1">
      <c r="B137" s="20"/>
      <c r="C137" s="80"/>
      <c r="G137" s="6"/>
      <c r="H137" s="6"/>
      <c r="I137" s="6"/>
      <c r="J137" s="6"/>
      <c r="K137" s="6"/>
      <c r="L137" s="6"/>
      <c r="M137" s="6"/>
      <c r="N137" s="6"/>
      <c r="O137" s="6"/>
      <c r="P137" s="6"/>
      <c r="Q137" s="6"/>
      <c r="R137" s="6"/>
      <c r="S137" s="6"/>
      <c r="T137" s="94"/>
      <c r="U137" s="93">
        <f t="shared" si="81"/>
        <v>0</v>
      </c>
      <c r="V137" s="24">
        <v>0</v>
      </c>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row>
    <row r="138" spans="2:99" ht="13.5" customHeight="1" thickBot="1">
      <c r="B138" s="20"/>
      <c r="C138" s="100" t="s">
        <v>199</v>
      </c>
      <c r="D138" s="57"/>
      <c r="E138" s="57"/>
      <c r="F138" s="57"/>
      <c r="G138" s="57"/>
      <c r="H138" s="57"/>
      <c r="I138" s="57"/>
      <c r="J138" s="57"/>
      <c r="K138" s="57"/>
      <c r="L138" s="57"/>
      <c r="M138" s="57"/>
      <c r="N138" s="57"/>
      <c r="O138" s="57"/>
      <c r="P138" s="57"/>
      <c r="Q138" s="57"/>
      <c r="R138" s="57"/>
      <c r="S138" s="57"/>
      <c r="T138" s="94"/>
      <c r="U138" s="93">
        <f t="shared" si="81"/>
        <v>1</v>
      </c>
      <c r="V138" s="24">
        <v>1</v>
      </c>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row>
    <row r="139" spans="2:99" ht="13.5" customHeight="1">
      <c r="B139" s="20"/>
      <c r="C139" s="80"/>
      <c r="G139" s="6"/>
      <c r="H139" s="6"/>
      <c r="I139" s="6"/>
      <c r="J139" s="6"/>
      <c r="K139" s="6"/>
      <c r="L139" s="6"/>
      <c r="M139" s="6"/>
      <c r="N139" s="6"/>
      <c r="O139" s="6"/>
      <c r="P139" s="6"/>
      <c r="Q139" s="6"/>
      <c r="R139" s="6"/>
      <c r="S139" s="6"/>
      <c r="T139" s="94"/>
      <c r="U139" s="93">
        <f t="shared" si="81"/>
        <v>0</v>
      </c>
      <c r="V139" s="24">
        <v>0</v>
      </c>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row>
    <row r="140" spans="2:99" ht="13.5" customHeight="1">
      <c r="B140" s="20"/>
      <c r="C140" s="80" t="s">
        <v>200</v>
      </c>
      <c r="D140" s="3" t="s">
        <v>165</v>
      </c>
      <c r="E140" s="3" t="s">
        <v>134</v>
      </c>
      <c r="G140" s="82"/>
      <c r="H140" s="6">
        <f>G144</f>
        <v>4225</v>
      </c>
      <c r="I140" s="6">
        <f t="shared" ref="I140:K140" si="84">H144</f>
        <v>4349</v>
      </c>
      <c r="J140" s="6">
        <f t="shared" si="84"/>
        <v>4406</v>
      </c>
      <c r="K140" s="6">
        <f t="shared" si="84"/>
        <v>5283</v>
      </c>
      <c r="L140" s="644">
        <f>K144</f>
        <v>5616</v>
      </c>
      <c r="M140" s="644">
        <f t="shared" ref="M140:S140" si="85">L144</f>
        <v>5926.3397145164608</v>
      </c>
      <c r="N140" s="644">
        <f t="shared" si="85"/>
        <v>6264.7746253846162</v>
      </c>
      <c r="O140" s="644">
        <f t="shared" si="85"/>
        <v>6590.2771242717263</v>
      </c>
      <c r="P140" s="644">
        <f t="shared" si="85"/>
        <v>6955.8430881697941</v>
      </c>
      <c r="Q140" s="644">
        <f t="shared" si="85"/>
        <v>7343.4667793828512</v>
      </c>
      <c r="R140" s="644">
        <f t="shared" si="85"/>
        <v>7755.2572481020779</v>
      </c>
      <c r="S140" s="644">
        <f t="shared" si="85"/>
        <v>8188.9272373927361</v>
      </c>
      <c r="T140" s="94"/>
      <c r="U140" s="93">
        <f t="shared" si="81"/>
        <v>1</v>
      </c>
      <c r="V140" s="24">
        <v>1</v>
      </c>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row>
    <row r="141" spans="2:99" ht="13.5" customHeight="1">
      <c r="B141" s="20"/>
      <c r="C141" s="108" t="s">
        <v>201</v>
      </c>
      <c r="D141" s="32" t="s">
        <v>165</v>
      </c>
      <c r="E141" s="32" t="s">
        <v>134</v>
      </c>
      <c r="F141" s="32"/>
      <c r="G141" s="638"/>
      <c r="H141" s="638">
        <f>844-H150</f>
        <v>638</v>
      </c>
      <c r="I141" s="638">
        <f t="shared" ref="I141:K141" si="86">844-I150</f>
        <v>788</v>
      </c>
      <c r="J141" s="638">
        <f t="shared" si="86"/>
        <v>659</v>
      </c>
      <c r="K141" s="638">
        <f t="shared" si="86"/>
        <v>762</v>
      </c>
      <c r="L141" s="1149">
        <f>L146*L$92</f>
        <v>903.66283614594727</v>
      </c>
      <c r="M141" s="1149">
        <f t="shared" ref="M141:S141" si="87">M146*M$92</f>
        <v>936.22122680187942</v>
      </c>
      <c r="N141" s="1149">
        <f t="shared" si="87"/>
        <v>931.6354235582819</v>
      </c>
      <c r="O141" s="1149">
        <f t="shared" si="87"/>
        <v>1009.8482050517597</v>
      </c>
      <c r="P141" s="1149">
        <f t="shared" si="87"/>
        <v>1094.7473518640059</v>
      </c>
      <c r="Q141" s="1149">
        <f t="shared" si="87"/>
        <v>1154.3190692578758</v>
      </c>
      <c r="R141" s="1149">
        <f t="shared" si="87"/>
        <v>1219.71249006012</v>
      </c>
      <c r="S141" s="1149">
        <f t="shared" si="87"/>
        <v>1306.5356399840935</v>
      </c>
      <c r="T141" s="94"/>
      <c r="U141" s="93">
        <f t="shared" si="81"/>
        <v>1</v>
      </c>
      <c r="V141" s="24">
        <v>1</v>
      </c>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row>
    <row r="142" spans="2:99" ht="13.5" customHeight="1">
      <c r="B142" s="20"/>
      <c r="C142" s="80" t="s">
        <v>202</v>
      </c>
      <c r="D142" s="3" t="s">
        <v>165</v>
      </c>
      <c r="E142" s="3" t="s">
        <v>134</v>
      </c>
      <c r="G142" s="82"/>
      <c r="H142" s="82">
        <f>-417-140-H151</f>
        <v>-465</v>
      </c>
      <c r="I142" s="82">
        <f t="shared" ref="I142:K142" si="88">-417-140-I151</f>
        <v>-465</v>
      </c>
      <c r="J142" s="82">
        <f t="shared" si="88"/>
        <v>-462</v>
      </c>
      <c r="K142" s="82">
        <f t="shared" si="88"/>
        <v>-462</v>
      </c>
      <c r="L142" s="1048">
        <f>-L141*L147</f>
        <v>-593.32312162948608</v>
      </c>
      <c r="M142" s="1048">
        <f t="shared" ref="M142:S142" si="89">-M141*M147</f>
        <v>-597.78631593372404</v>
      </c>
      <c r="N142" s="1048">
        <f t="shared" si="89"/>
        <v>-606.13292467117174</v>
      </c>
      <c r="O142" s="1048">
        <f t="shared" si="89"/>
        <v>-644.28224115369153</v>
      </c>
      <c r="P142" s="1048">
        <f t="shared" si="89"/>
        <v>-707.12366065094898</v>
      </c>
      <c r="Q142" s="1048">
        <f t="shared" si="89"/>
        <v>-742.52860053865004</v>
      </c>
      <c r="R142" s="1048">
        <f t="shared" si="89"/>
        <v>-786.04250076946107</v>
      </c>
      <c r="S142" s="1048">
        <f t="shared" si="89"/>
        <v>-839.98264194038529</v>
      </c>
      <c r="T142" s="94"/>
      <c r="U142" s="93">
        <f t="shared" si="81"/>
        <v>1</v>
      </c>
      <c r="V142" s="24">
        <v>1</v>
      </c>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row>
    <row r="143" spans="2:99" ht="13.5" customHeight="1">
      <c r="B143" s="20"/>
      <c r="C143" s="108" t="s">
        <v>203</v>
      </c>
      <c r="D143" s="32" t="s">
        <v>165</v>
      </c>
      <c r="E143" s="32" t="s">
        <v>134</v>
      </c>
      <c r="F143" s="32"/>
      <c r="G143" s="638"/>
      <c r="H143" s="77">
        <f>H144-SUM(H140:H142)</f>
        <v>-49</v>
      </c>
      <c r="I143" s="77">
        <f>I144-SUM(I140:I142)</f>
        <v>-266</v>
      </c>
      <c r="J143" s="77">
        <f>J144-SUM(J140:J142)</f>
        <v>680</v>
      </c>
      <c r="K143" s="77">
        <f>K144-SUM(K140:K142)</f>
        <v>33</v>
      </c>
      <c r="L143" s="660">
        <v>0</v>
      </c>
      <c r="M143" s="660">
        <v>0</v>
      </c>
      <c r="N143" s="660">
        <v>0</v>
      </c>
      <c r="O143" s="660">
        <v>0</v>
      </c>
      <c r="P143" s="660">
        <v>0</v>
      </c>
      <c r="Q143" s="660">
        <v>0</v>
      </c>
      <c r="R143" s="660">
        <v>0</v>
      </c>
      <c r="S143" s="660">
        <v>0</v>
      </c>
      <c r="T143" s="94"/>
      <c r="U143" s="93">
        <f t="shared" si="81"/>
        <v>1</v>
      </c>
      <c r="V143" s="24">
        <v>1</v>
      </c>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row>
    <row r="144" spans="2:99" ht="13.5" customHeight="1">
      <c r="B144" s="20"/>
      <c r="C144" s="80" t="s">
        <v>204</v>
      </c>
      <c r="D144" s="3" t="s">
        <v>165</v>
      </c>
      <c r="E144" s="3" t="s">
        <v>134</v>
      </c>
      <c r="G144" s="6">
        <f>'DCF - Financials'!G134-G153</f>
        <v>4225</v>
      </c>
      <c r="H144" s="6">
        <f>'DCF - Financials'!H134-H153</f>
        <v>4349</v>
      </c>
      <c r="I144" s="6">
        <f>'DCF - Financials'!I134-I153</f>
        <v>4406</v>
      </c>
      <c r="J144" s="6">
        <f>'DCF - Financials'!J134-J153</f>
        <v>5283</v>
      </c>
      <c r="K144" s="6">
        <f>'DCF - Financials'!K134-K153</f>
        <v>5616</v>
      </c>
      <c r="L144" s="644">
        <f t="shared" ref="L144:S144" si="90">SUM(L140:L143)</f>
        <v>5926.3397145164608</v>
      </c>
      <c r="M144" s="644">
        <f t="shared" si="90"/>
        <v>6264.7746253846162</v>
      </c>
      <c r="N144" s="644">
        <f t="shared" si="90"/>
        <v>6590.2771242717263</v>
      </c>
      <c r="O144" s="644">
        <f t="shared" si="90"/>
        <v>6955.8430881697941</v>
      </c>
      <c r="P144" s="644">
        <f t="shared" si="90"/>
        <v>7343.4667793828512</v>
      </c>
      <c r="Q144" s="644">
        <f t="shared" si="90"/>
        <v>7755.2572481020779</v>
      </c>
      <c r="R144" s="644">
        <f t="shared" si="90"/>
        <v>8188.9272373927361</v>
      </c>
      <c r="S144" s="644">
        <f t="shared" si="90"/>
        <v>8655.4802354364438</v>
      </c>
      <c r="T144" s="94"/>
      <c r="U144" s="93">
        <f t="shared" si="81"/>
        <v>1</v>
      </c>
      <c r="V144" s="24">
        <v>1</v>
      </c>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row>
    <row r="145" spans="2:99" ht="13.5" customHeight="1">
      <c r="B145" s="20"/>
      <c r="C145" s="80"/>
      <c r="G145" s="6"/>
      <c r="H145" s="6"/>
      <c r="I145" s="6"/>
      <c r="J145" s="6"/>
      <c r="K145" s="6"/>
      <c r="L145" s="6"/>
      <c r="M145" s="6"/>
      <c r="N145" s="6"/>
      <c r="O145" s="6"/>
      <c r="P145" s="6"/>
      <c r="Q145" s="6"/>
      <c r="R145" s="6"/>
      <c r="S145" s="6"/>
      <c r="T145" s="94"/>
      <c r="U145" s="93">
        <f t="shared" si="81"/>
        <v>0</v>
      </c>
      <c r="V145" s="24">
        <v>0</v>
      </c>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row>
    <row r="146" spans="2:99" ht="13.5" customHeight="1">
      <c r="B146" s="20"/>
      <c r="C146" s="80" t="s">
        <v>205</v>
      </c>
      <c r="D146" s="3" t="s">
        <v>166</v>
      </c>
      <c r="E146" s="3" t="s">
        <v>206</v>
      </c>
      <c r="G146" s="106"/>
      <c r="H146" s="106">
        <f>H141/H$92</f>
        <v>5.428863172226004E-2</v>
      </c>
      <c r="I146" s="106">
        <f>I141/I$92</f>
        <v>6.1886436817717744E-2</v>
      </c>
      <c r="J146" s="106">
        <f>J141/J$92</f>
        <v>4.2648200880144968E-2</v>
      </c>
      <c r="K146" s="106">
        <f>K141/K$92</f>
        <v>4.4527552153333726E-2</v>
      </c>
      <c r="L146" s="98">
        <f>AVERAGE(H146:K146)</f>
        <v>5.0837705393364123E-2</v>
      </c>
      <c r="M146" s="98">
        <f>AVERAGE(I146:L146)</f>
        <v>4.997497381114014E-2</v>
      </c>
      <c r="N146" s="98">
        <f>AVERAGE(J146:M146)</f>
        <v>4.6997108059495737E-2</v>
      </c>
      <c r="O146" s="98">
        <f>AVERAGE(K146:N146)</f>
        <v>4.808433485433343E-2</v>
      </c>
      <c r="P146" s="98">
        <f>AVERAGE(L146:O146)</f>
        <v>4.8973530529583365E-2</v>
      </c>
      <c r="Q146" s="98">
        <f>AVERAGE(M146:P146)</f>
        <v>4.8507486813638173E-2</v>
      </c>
      <c r="R146" s="98">
        <f>AVERAGE(N146:Q146)</f>
        <v>4.8140615064262676E-2</v>
      </c>
      <c r="S146" s="98">
        <f t="shared" ref="M146:S146" si="91">AVERAGE(O146:R146)</f>
        <v>4.8426491815454407E-2</v>
      </c>
      <c r="T146" s="94"/>
      <c r="U146" s="93">
        <f t="shared" si="81"/>
        <v>1</v>
      </c>
      <c r="V146" s="24">
        <v>1</v>
      </c>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row>
    <row r="147" spans="2:99" ht="13.5" customHeight="1">
      <c r="B147" s="20"/>
      <c r="C147" s="80" t="s">
        <v>207</v>
      </c>
      <c r="D147" s="3" t="s">
        <v>166</v>
      </c>
      <c r="E147" s="3" t="s">
        <v>206</v>
      </c>
      <c r="G147" s="106"/>
      <c r="H147" s="106">
        <f>-H142/H141</f>
        <v>0.7288401253918495</v>
      </c>
      <c r="I147" s="106">
        <f>-I142/I141</f>
        <v>0.59010152284263961</v>
      </c>
      <c r="J147" s="106">
        <f>-J142/J141</f>
        <v>0.70106221547799696</v>
      </c>
      <c r="K147" s="106">
        <f>-K142/K141</f>
        <v>0.60629921259842523</v>
      </c>
      <c r="L147" s="98">
        <f>AVERAGE(H147:K147)</f>
        <v>0.65657576907772786</v>
      </c>
      <c r="M147" s="98">
        <f>AVERAGE(I147:L147)</f>
        <v>0.63850967999919739</v>
      </c>
      <c r="N147" s="98">
        <f>AVERAGE(J147:M147)</f>
        <v>0.65061171928833683</v>
      </c>
      <c r="O147" s="98">
        <f>AVERAGE(K147:N147)</f>
        <v>0.6379990952409218</v>
      </c>
      <c r="P147" s="98">
        <f>AVERAGE(L147:O147)</f>
        <v>0.64592406590154594</v>
      </c>
      <c r="Q147" s="98">
        <f>AVERAGE(M147:P147)</f>
        <v>0.64326114010750057</v>
      </c>
      <c r="R147" s="98">
        <f t="shared" ref="M147:S147" si="92">AVERAGE(N147:Q147)</f>
        <v>0.64444900513457626</v>
      </c>
      <c r="S147" s="98">
        <f t="shared" si="92"/>
        <v>0.64290832659613617</v>
      </c>
      <c r="T147" s="94"/>
      <c r="U147" s="93">
        <f t="shared" si="81"/>
        <v>1</v>
      </c>
      <c r="V147" s="24">
        <v>1</v>
      </c>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row>
    <row r="148" spans="2:99" ht="13.5" customHeight="1">
      <c r="B148" s="20"/>
      <c r="C148" s="80"/>
      <c r="G148" s="6"/>
      <c r="H148" s="6"/>
      <c r="I148" s="6"/>
      <c r="J148" s="6"/>
      <c r="K148" s="6"/>
      <c r="L148" s="6"/>
      <c r="M148" s="6"/>
      <c r="N148" s="6"/>
      <c r="O148" s="6"/>
      <c r="P148" s="6"/>
      <c r="Q148" s="6"/>
      <c r="R148" s="6"/>
      <c r="S148" s="6"/>
      <c r="T148" s="94"/>
      <c r="U148" s="93">
        <f t="shared" si="81"/>
        <v>0</v>
      </c>
      <c r="V148" s="24">
        <v>0</v>
      </c>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row>
    <row r="149" spans="2:99" ht="13.5" customHeight="1">
      <c r="B149" s="20"/>
      <c r="C149" s="160" t="s">
        <v>208</v>
      </c>
      <c r="D149" s="3" t="s">
        <v>165</v>
      </c>
      <c r="E149" s="3" t="s">
        <v>134</v>
      </c>
      <c r="G149" s="6"/>
      <c r="H149" s="6">
        <f>G153</f>
        <v>230</v>
      </c>
      <c r="I149" s="6">
        <f t="shared" ref="I149:S149" si="93">H153</f>
        <v>577</v>
      </c>
      <c r="J149" s="6">
        <f t="shared" si="93"/>
        <v>443</v>
      </c>
      <c r="K149" s="6">
        <f t="shared" si="93"/>
        <v>565</v>
      </c>
      <c r="L149" s="644">
        <f t="shared" si="93"/>
        <v>526</v>
      </c>
      <c r="M149" s="644">
        <f t="shared" si="93"/>
        <v>536.25142550258715</v>
      </c>
      <c r="N149" s="644">
        <f t="shared" si="93"/>
        <v>527.03473079967659</v>
      </c>
      <c r="O149" s="644">
        <f t="shared" si="93"/>
        <v>540.73105205930301</v>
      </c>
      <c r="P149" s="644">
        <f t="shared" si="93"/>
        <v>537.43384580243787</v>
      </c>
      <c r="Q149" s="644">
        <f t="shared" si="93"/>
        <v>540.0759210968406</v>
      </c>
      <c r="R149" s="644">
        <f t="shared" si="93"/>
        <v>540.5922093036686</v>
      </c>
      <c r="S149" s="644">
        <f t="shared" si="93"/>
        <v>544.59127630284161</v>
      </c>
      <c r="T149" s="94"/>
      <c r="U149" s="93">
        <f t="shared" si="81"/>
        <v>1</v>
      </c>
      <c r="V149" s="24">
        <v>1</v>
      </c>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row>
    <row r="150" spans="2:99" ht="13.5" customHeight="1">
      <c r="B150" s="20"/>
      <c r="C150" s="108" t="s">
        <v>201</v>
      </c>
      <c r="D150" s="32" t="s">
        <v>165</v>
      </c>
      <c r="E150" s="32" t="s">
        <v>134</v>
      </c>
      <c r="F150" s="32"/>
      <c r="G150" s="638"/>
      <c r="H150" s="638">
        <v>206</v>
      </c>
      <c r="I150" s="638">
        <v>56</v>
      </c>
      <c r="J150" s="638">
        <v>185</v>
      </c>
      <c r="K150" s="638">
        <v>82</v>
      </c>
      <c r="L150" s="1149">
        <f t="shared" ref="L150" si="94">L155*L$92</f>
        <v>171.93828512726785</v>
      </c>
      <c r="M150" s="1149">
        <f t="shared" ref="M150:S150" si="95">M155*M$92</f>
        <v>144.41446065300056</v>
      </c>
      <c r="N150" s="1149">
        <f t="shared" si="95"/>
        <v>169.22018885366842</v>
      </c>
      <c r="O150" s="1149">
        <f t="shared" si="95"/>
        <v>161.23820159670007</v>
      </c>
      <c r="P150" s="1149">
        <f t="shared" si="95"/>
        <v>187.74689873360953</v>
      </c>
      <c r="Q150" s="1149">
        <f t="shared" si="95"/>
        <v>192.28639803699133</v>
      </c>
      <c r="R150" s="1149">
        <f t="shared" si="95"/>
        <v>207.08184658076229</v>
      </c>
      <c r="S150" s="1149">
        <f t="shared" si="95"/>
        <v>218.06353932965504</v>
      </c>
      <c r="T150" s="94"/>
      <c r="U150" s="93">
        <f t="shared" si="81"/>
        <v>1</v>
      </c>
      <c r="V150" s="24">
        <v>1</v>
      </c>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row>
    <row r="151" spans="2:99" ht="13.5" customHeight="1">
      <c r="B151" s="20"/>
      <c r="C151" s="80" t="s">
        <v>202</v>
      </c>
      <c r="D151" s="3" t="s">
        <v>165</v>
      </c>
      <c r="E151" s="3" t="s">
        <v>134</v>
      </c>
      <c r="G151" s="82"/>
      <c r="H151" s="82">
        <v>-92</v>
      </c>
      <c r="I151" s="82">
        <v>-92</v>
      </c>
      <c r="J151" s="82">
        <v>-95</v>
      </c>
      <c r="K151" s="82">
        <v>-95</v>
      </c>
      <c r="L151" s="1048">
        <f t="shared" ref="L151:S151" si="96">-L150*L156</f>
        <v>-161.68685962468069</v>
      </c>
      <c r="M151" s="1048">
        <f t="shared" si="96"/>
        <v>-153.63115535591109</v>
      </c>
      <c r="N151" s="1048">
        <f t="shared" si="96"/>
        <v>-155.523867594042</v>
      </c>
      <c r="O151" s="1048">
        <f t="shared" si="96"/>
        <v>-164.53540785356518</v>
      </c>
      <c r="P151" s="1048">
        <f t="shared" si="96"/>
        <v>-185.10482343920688</v>
      </c>
      <c r="Q151" s="1048">
        <f t="shared" si="96"/>
        <v>-191.77010983016336</v>
      </c>
      <c r="R151" s="1048">
        <f t="shared" si="96"/>
        <v>-203.08277958158934</v>
      </c>
      <c r="S151" s="1048">
        <f t="shared" si="96"/>
        <v>-217.21201346369736</v>
      </c>
      <c r="T151" s="94"/>
      <c r="U151" s="93">
        <f t="shared" si="81"/>
        <v>1</v>
      </c>
      <c r="V151" s="24">
        <v>1</v>
      </c>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row>
    <row r="152" spans="2:99" ht="13.5" customHeight="1">
      <c r="B152" s="20"/>
      <c r="C152" s="108" t="s">
        <v>203</v>
      </c>
      <c r="D152" s="32" t="s">
        <v>165</v>
      </c>
      <c r="E152" s="32" t="s">
        <v>134</v>
      </c>
      <c r="F152" s="32"/>
      <c r="G152" s="638"/>
      <c r="H152" s="77">
        <f>H153-SUM(H149:H151)</f>
        <v>233</v>
      </c>
      <c r="I152" s="77">
        <f>I153-SUM(I149:I151)</f>
        <v>-98</v>
      </c>
      <c r="J152" s="77">
        <f>J153-SUM(J149:J151)</f>
        <v>32</v>
      </c>
      <c r="K152" s="77">
        <f>K153-SUM(K149:K151)</f>
        <v>-26</v>
      </c>
      <c r="L152" s="660">
        <v>0</v>
      </c>
      <c r="M152" s="660">
        <v>0</v>
      </c>
      <c r="N152" s="660">
        <v>0</v>
      </c>
      <c r="O152" s="660">
        <v>0</v>
      </c>
      <c r="P152" s="660">
        <v>0</v>
      </c>
      <c r="Q152" s="660">
        <v>0</v>
      </c>
      <c r="R152" s="660">
        <v>0</v>
      </c>
      <c r="S152" s="660">
        <v>0</v>
      </c>
      <c r="T152" s="94"/>
      <c r="U152" s="93">
        <f t="shared" si="81"/>
        <v>1</v>
      </c>
      <c r="V152" s="24">
        <v>1</v>
      </c>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row>
    <row r="153" spans="2:99" ht="13.5" customHeight="1">
      <c r="B153" s="20"/>
      <c r="C153" s="80" t="s">
        <v>204</v>
      </c>
      <c r="D153" s="3" t="s">
        <v>165</v>
      </c>
      <c r="E153" s="3" t="s">
        <v>127</v>
      </c>
      <c r="G153" s="82">
        <v>230</v>
      </c>
      <c r="H153" s="82">
        <v>577</v>
      </c>
      <c r="I153" s="82">
        <v>443</v>
      </c>
      <c r="J153" s="82">
        <v>565</v>
      </c>
      <c r="K153" s="82">
        <v>526</v>
      </c>
      <c r="L153" s="644">
        <f t="shared" ref="L153:S153" si="97">SUM(L149:L152)</f>
        <v>536.25142550258715</v>
      </c>
      <c r="M153" s="644">
        <f t="shared" si="97"/>
        <v>527.03473079967659</v>
      </c>
      <c r="N153" s="644">
        <f t="shared" si="97"/>
        <v>540.73105205930301</v>
      </c>
      <c r="O153" s="644">
        <f t="shared" si="97"/>
        <v>537.43384580243787</v>
      </c>
      <c r="P153" s="644">
        <f t="shared" si="97"/>
        <v>540.0759210968406</v>
      </c>
      <c r="Q153" s="644">
        <f t="shared" si="97"/>
        <v>540.5922093036686</v>
      </c>
      <c r="R153" s="644">
        <f t="shared" si="97"/>
        <v>544.59127630284161</v>
      </c>
      <c r="S153" s="644">
        <f t="shared" si="97"/>
        <v>545.44280216879929</v>
      </c>
      <c r="T153" s="94"/>
      <c r="U153" s="93">
        <f t="shared" si="81"/>
        <v>1</v>
      </c>
      <c r="V153" s="24">
        <v>1</v>
      </c>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row>
    <row r="154" spans="2:99" ht="13.5" customHeight="1">
      <c r="B154" s="20"/>
      <c r="C154" s="80"/>
      <c r="G154" s="6"/>
      <c r="H154" s="6"/>
      <c r="I154" s="6"/>
      <c r="J154" s="6"/>
      <c r="K154" s="6"/>
      <c r="L154" s="6"/>
      <c r="M154" s="6"/>
      <c r="N154" s="6"/>
      <c r="O154" s="6"/>
      <c r="P154" s="6"/>
      <c r="Q154" s="6"/>
      <c r="R154" s="6"/>
      <c r="S154" s="6"/>
      <c r="T154" s="94"/>
      <c r="U154" s="93">
        <f t="shared" si="81"/>
        <v>0</v>
      </c>
      <c r="V154" s="24">
        <v>0</v>
      </c>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row>
    <row r="155" spans="2:99" ht="13.5" customHeight="1">
      <c r="B155" s="20"/>
      <c r="C155" s="80" t="s">
        <v>205</v>
      </c>
      <c r="D155" s="3" t="s">
        <v>166</v>
      </c>
      <c r="E155" s="3" t="s">
        <v>206</v>
      </c>
      <c r="G155" s="106"/>
      <c r="H155" s="106">
        <f>H150/H$92</f>
        <v>1.7528931245745404E-2</v>
      </c>
      <c r="I155" s="106">
        <f>I150/I$92</f>
        <v>4.3980208905992305E-3</v>
      </c>
      <c r="J155" s="106">
        <f>J150/J$92</f>
        <v>1.197256018638364E-2</v>
      </c>
      <c r="K155" s="106">
        <f>K150/K$92</f>
        <v>4.7916788406474611E-3</v>
      </c>
      <c r="L155" s="98">
        <f>AVERAGE(H155:K155)</f>
        <v>9.6727977908439341E-3</v>
      </c>
      <c r="M155" s="98">
        <f>AVERAGE(I155:L155)</f>
        <v>7.7087644271185661E-3</v>
      </c>
      <c r="N155" s="98">
        <f t="shared" ref="N155:S155" si="98">AVERAGE(J155:M155)</f>
        <v>8.5364503112483996E-3</v>
      </c>
      <c r="O155" s="98">
        <f t="shared" si="98"/>
        <v>7.67742284246459E-3</v>
      </c>
      <c r="P155" s="98">
        <f t="shared" si="98"/>
        <v>8.3988588429188722E-3</v>
      </c>
      <c r="Q155" s="98">
        <f t="shared" si="98"/>
        <v>8.0803741059376072E-3</v>
      </c>
      <c r="R155" s="98">
        <f t="shared" si="98"/>
        <v>8.1732765256423666E-3</v>
      </c>
      <c r="S155" s="98">
        <f t="shared" si="98"/>
        <v>8.0824830792408583E-3</v>
      </c>
      <c r="T155" s="94"/>
      <c r="U155" s="93">
        <f t="shared" si="81"/>
        <v>1</v>
      </c>
      <c r="V155" s="24">
        <v>1</v>
      </c>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row>
    <row r="156" spans="2:99" ht="13.5" customHeight="1">
      <c r="B156" s="20"/>
      <c r="C156" s="80" t="s">
        <v>207</v>
      </c>
      <c r="D156" s="3" t="s">
        <v>166</v>
      </c>
      <c r="E156" s="3" t="s">
        <v>206</v>
      </c>
      <c r="G156" s="106"/>
      <c r="H156" s="106">
        <f>-H151/H150</f>
        <v>0.44660194174757284</v>
      </c>
      <c r="I156" s="106">
        <f>-I151/I150</f>
        <v>1.6428571428571428</v>
      </c>
      <c r="J156" s="106">
        <f>-J151/J150</f>
        <v>0.51351351351351349</v>
      </c>
      <c r="K156" s="106">
        <f>-K151/K150</f>
        <v>1.1585365853658536</v>
      </c>
      <c r="L156" s="98">
        <f>AVERAGE(H156:K156)</f>
        <v>0.94037729587102081</v>
      </c>
      <c r="M156" s="98">
        <f>AVERAGE(I156:L156)</f>
        <v>1.0638211344018826</v>
      </c>
      <c r="N156" s="98">
        <f>AVERAGE(J156:M156)</f>
        <v>0.91906213228806766</v>
      </c>
      <c r="O156" s="98">
        <f>AVERAGE(K156:N156)</f>
        <v>1.0204492869817061</v>
      </c>
      <c r="P156" s="98">
        <f t="shared" ref="M156:S156" si="99">AVERAGE(L156:O156)</f>
        <v>0.98592746238566931</v>
      </c>
      <c r="Q156" s="98">
        <f t="shared" si="99"/>
        <v>0.99731500401433149</v>
      </c>
      <c r="R156" s="98">
        <f t="shared" si="99"/>
        <v>0.98068847141744364</v>
      </c>
      <c r="S156" s="98">
        <f t="shared" si="99"/>
        <v>0.99609505619978767</v>
      </c>
      <c r="T156" s="94"/>
      <c r="U156" s="93">
        <f t="shared" si="81"/>
        <v>1</v>
      </c>
      <c r="V156" s="24">
        <v>1</v>
      </c>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row>
    <row r="157" spans="2:99" ht="13.5" customHeight="1">
      <c r="B157" s="20"/>
      <c r="C157" s="80"/>
      <c r="G157" s="6"/>
      <c r="H157" s="6"/>
      <c r="I157" s="6"/>
      <c r="J157" s="6"/>
      <c r="K157" s="6"/>
      <c r="L157" s="6"/>
      <c r="M157" s="6"/>
      <c r="N157" s="6"/>
      <c r="O157" s="6"/>
      <c r="P157" s="6"/>
      <c r="Q157" s="6"/>
      <c r="R157" s="6"/>
      <c r="S157" s="6"/>
      <c r="T157" s="94"/>
      <c r="U157" s="93">
        <f t="shared" si="81"/>
        <v>0</v>
      </c>
      <c r="V157" s="24">
        <v>0</v>
      </c>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row>
    <row r="158" spans="2:99" ht="13.5" customHeight="1">
      <c r="B158" s="20"/>
      <c r="C158" s="160" t="s">
        <v>209</v>
      </c>
      <c r="D158" s="3" t="s">
        <v>165</v>
      </c>
      <c r="E158" s="3" t="s">
        <v>134</v>
      </c>
      <c r="G158" s="6"/>
      <c r="H158" s="6">
        <f>G162</f>
        <v>12557</v>
      </c>
      <c r="I158" s="6">
        <f t="shared" ref="I158:K158" si="100">H162</f>
        <v>11300</v>
      </c>
      <c r="J158" s="6">
        <f t="shared" si="100"/>
        <v>10764</v>
      </c>
      <c r="K158" s="6">
        <f t="shared" si="100"/>
        <v>11902</v>
      </c>
      <c r="L158" s="644">
        <f>K162</f>
        <v>11512</v>
      </c>
      <c r="M158" s="644">
        <f t="shared" ref="M158:S158" si="101">L162</f>
        <v>10711.426938292532</v>
      </c>
      <c r="N158" s="644">
        <f t="shared" si="101"/>
        <v>10602.814380954429</v>
      </c>
      <c r="O158" s="644">
        <f t="shared" si="101"/>
        <v>10322.459533754174</v>
      </c>
      <c r="P158" s="644">
        <f t="shared" si="101"/>
        <v>9992.8233263715192</v>
      </c>
      <c r="Q158" s="644">
        <f t="shared" si="101"/>
        <v>9541.9777818351376</v>
      </c>
      <c r="R158" s="644">
        <f t="shared" si="101"/>
        <v>9209.9852914090316</v>
      </c>
      <c r="S158" s="644">
        <f t="shared" si="101"/>
        <v>8804.8664276916061</v>
      </c>
      <c r="T158" s="94"/>
      <c r="U158" s="93">
        <f t="shared" si="81"/>
        <v>1</v>
      </c>
      <c r="V158" s="24">
        <v>1</v>
      </c>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row>
    <row r="159" spans="2:99" ht="13.5" customHeight="1">
      <c r="B159" s="20"/>
      <c r="C159" s="108" t="s">
        <v>201</v>
      </c>
      <c r="D159" s="32" t="s">
        <v>165</v>
      </c>
      <c r="E159" s="32" t="s">
        <v>134</v>
      </c>
      <c r="F159" s="32"/>
      <c r="G159" s="638"/>
      <c r="H159" s="638">
        <v>165</v>
      </c>
      <c r="I159" s="638">
        <v>648</v>
      </c>
      <c r="J159" s="638">
        <v>301</v>
      </c>
      <c r="K159" s="638">
        <v>598</v>
      </c>
      <c r="L159" s="1149">
        <f t="shared" ref="L159:S159" si="102">L164*L92</f>
        <v>530.39893233978216</v>
      </c>
      <c r="M159" s="1149">
        <f t="shared" si="102"/>
        <v>558.99518583840108</v>
      </c>
      <c r="N159" s="1149">
        <f t="shared" si="102"/>
        <v>591.50309031640802</v>
      </c>
      <c r="O159" s="1149">
        <f t="shared" si="102"/>
        <v>626.6638525583794</v>
      </c>
      <c r="P159" s="1149">
        <f t="shared" si="102"/>
        <v>667.01353846297377</v>
      </c>
      <c r="Q159" s="1149">
        <f t="shared" si="102"/>
        <v>710.06687855913856</v>
      </c>
      <c r="R159" s="1149">
        <f t="shared" si="102"/>
        <v>756.01079306593101</v>
      </c>
      <c r="S159" s="1149">
        <f t="shared" si="102"/>
        <v>805.04547251918211</v>
      </c>
      <c r="T159" s="94"/>
      <c r="U159" s="93">
        <f t="shared" si="81"/>
        <v>1</v>
      </c>
      <c r="V159" s="24">
        <v>1</v>
      </c>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row>
    <row r="160" spans="2:99" ht="13.5" customHeight="1">
      <c r="B160" s="20"/>
      <c r="C160" s="80" t="s">
        <v>210</v>
      </c>
      <c r="D160" s="3" t="s">
        <v>165</v>
      </c>
      <c r="E160" s="3" t="s">
        <v>134</v>
      </c>
      <c r="G160" s="82"/>
      <c r="H160" s="82">
        <f>-63-1219</f>
        <v>-1282</v>
      </c>
      <c r="I160" s="82">
        <f>-49</f>
        <v>-49</v>
      </c>
      <c r="J160" s="82">
        <f>-45-336</f>
        <v>-381</v>
      </c>
      <c r="K160" s="82">
        <f>-56-498</f>
        <v>-554</v>
      </c>
      <c r="L160" s="1048">
        <f t="shared" ref="L160:S160" si="103">L159*-L165</f>
        <v>-1330.9719940472494</v>
      </c>
      <c r="M160" s="1048">
        <f t="shared" si="103"/>
        <v>-667.6077431765051</v>
      </c>
      <c r="N160" s="1048">
        <f t="shared" si="103"/>
        <v>-871.85793751666336</v>
      </c>
      <c r="O160" s="1048">
        <f t="shared" si="103"/>
        <v>-956.30005994103283</v>
      </c>
      <c r="P160" s="1048">
        <f t="shared" si="103"/>
        <v>-1117.8590829993561</v>
      </c>
      <c r="Q160" s="1048">
        <f t="shared" si="103"/>
        <v>-1042.0593689852456</v>
      </c>
      <c r="R160" s="1048">
        <f t="shared" si="103"/>
        <v>-1161.1296567833556</v>
      </c>
      <c r="S160" s="1048">
        <f t="shared" si="103"/>
        <v>-1248.897049051538</v>
      </c>
      <c r="T160" s="94"/>
      <c r="U160" s="93">
        <f t="shared" si="81"/>
        <v>1</v>
      </c>
      <c r="V160" s="24">
        <v>1</v>
      </c>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row>
    <row r="161" spans="1:99" ht="13.5" customHeight="1">
      <c r="B161" s="20"/>
      <c r="C161" s="108" t="s">
        <v>203</v>
      </c>
      <c r="D161" s="32" t="s">
        <v>165</v>
      </c>
      <c r="E161" s="32" t="s">
        <v>134</v>
      </c>
      <c r="F161" s="32"/>
      <c r="G161" s="77"/>
      <c r="H161" s="77">
        <f>H162-SUM(H158:H160)</f>
        <v>-140</v>
      </c>
      <c r="I161" s="77">
        <f>I162-SUM(I158:I160)</f>
        <v>-1135</v>
      </c>
      <c r="J161" s="77">
        <f>J162-SUM(J158:J160)</f>
        <v>1218</v>
      </c>
      <c r="K161" s="77">
        <f>K162-SUM(K158:K160)</f>
        <v>-434</v>
      </c>
      <c r="L161" s="660">
        <v>0</v>
      </c>
      <c r="M161" s="660">
        <v>0</v>
      </c>
      <c r="N161" s="660">
        <v>0</v>
      </c>
      <c r="O161" s="660">
        <v>0</v>
      </c>
      <c r="P161" s="660">
        <v>0</v>
      </c>
      <c r="Q161" s="660">
        <v>0</v>
      </c>
      <c r="R161" s="660">
        <v>0</v>
      </c>
      <c r="S161" s="660">
        <v>0</v>
      </c>
      <c r="T161" s="94"/>
      <c r="U161" s="93">
        <f t="shared" si="81"/>
        <v>1</v>
      </c>
      <c r="V161" s="24">
        <v>1</v>
      </c>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row>
    <row r="162" spans="1:99" ht="13.5" customHeight="1">
      <c r="B162" s="20"/>
      <c r="C162" s="80" t="s">
        <v>204</v>
      </c>
      <c r="D162" s="3" t="s">
        <v>165</v>
      </c>
      <c r="E162" s="3" t="s">
        <v>134</v>
      </c>
      <c r="G162" s="6">
        <f>'DCF - Financials'!G133</f>
        <v>12557</v>
      </c>
      <c r="H162" s="6">
        <f>'DCF - Financials'!H133</f>
        <v>11300</v>
      </c>
      <c r="I162" s="6">
        <f>'DCF - Financials'!I133</f>
        <v>10764</v>
      </c>
      <c r="J162" s="6">
        <f>'DCF - Financials'!J133</f>
        <v>11902</v>
      </c>
      <c r="K162" s="6">
        <f>'DCF - Financials'!K133</f>
        <v>11512</v>
      </c>
      <c r="L162" s="644">
        <f t="shared" ref="L162:S162" si="104">SUM(L158:L161)</f>
        <v>10711.426938292532</v>
      </c>
      <c r="M162" s="644">
        <f t="shared" si="104"/>
        <v>10602.814380954429</v>
      </c>
      <c r="N162" s="644">
        <f t="shared" si="104"/>
        <v>10322.459533754174</v>
      </c>
      <c r="O162" s="644">
        <f t="shared" si="104"/>
        <v>9992.8233263715192</v>
      </c>
      <c r="P162" s="644">
        <f t="shared" si="104"/>
        <v>9541.9777818351376</v>
      </c>
      <c r="Q162" s="644">
        <f t="shared" si="104"/>
        <v>9209.9852914090316</v>
      </c>
      <c r="R162" s="644">
        <f t="shared" si="104"/>
        <v>8804.8664276916061</v>
      </c>
      <c r="S162" s="644">
        <f t="shared" si="104"/>
        <v>8361.0148511592488</v>
      </c>
      <c r="T162" s="94"/>
      <c r="U162" s="93">
        <f t="shared" si="81"/>
        <v>1</v>
      </c>
      <c r="V162" s="24">
        <v>1</v>
      </c>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row>
    <row r="163" spans="1:99" ht="13.5" customHeight="1">
      <c r="B163" s="20"/>
      <c r="C163" s="80"/>
      <c r="G163" s="6"/>
      <c r="H163" s="6"/>
      <c r="I163" s="6"/>
      <c r="J163" s="6"/>
      <c r="K163" s="6"/>
      <c r="L163"/>
      <c r="M163"/>
      <c r="N163"/>
      <c r="O163"/>
      <c r="P163"/>
      <c r="Q163"/>
      <c r="R163"/>
      <c r="S163"/>
      <c r="T163" s="94"/>
      <c r="U163" s="93">
        <f t="shared" si="81"/>
        <v>0</v>
      </c>
      <c r="V163" s="24">
        <v>0</v>
      </c>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row>
    <row r="164" spans="1:99" ht="13.5" customHeight="1">
      <c r="B164" s="20"/>
      <c r="C164" s="80" t="s">
        <v>211</v>
      </c>
      <c r="D164" s="3" t="s">
        <v>166</v>
      </c>
      <c r="E164" s="3" t="s">
        <v>206</v>
      </c>
      <c r="G164" s="106"/>
      <c r="H164" s="106">
        <f>H159/H92</f>
        <v>1.4040163376446563E-2</v>
      </c>
      <c r="I164" s="106">
        <f>I159/I92</f>
        <v>5.0891384591219668E-2</v>
      </c>
      <c r="J164" s="106">
        <f>J159/J92</f>
        <v>1.9479679005953921E-2</v>
      </c>
      <c r="K164" s="106">
        <f>K159/K92</f>
        <v>3.4944194472038802E-2</v>
      </c>
      <c r="L164" s="98">
        <v>2.9838855361414701E-2</v>
      </c>
      <c r="M164" s="98">
        <v>2.9838855361414701E-2</v>
      </c>
      <c r="N164" s="98">
        <v>2.9838855361414701E-2</v>
      </c>
      <c r="O164" s="98">
        <v>2.9838855361414736E-2</v>
      </c>
      <c r="P164" s="98">
        <v>2.9838855361414736E-2</v>
      </c>
      <c r="Q164" s="98">
        <v>2.9838855361414736E-2</v>
      </c>
      <c r="R164" s="98">
        <v>2.9838855361414736E-2</v>
      </c>
      <c r="S164" s="98">
        <v>2.9838855361414736E-2</v>
      </c>
      <c r="T164" s="94"/>
      <c r="U164" s="93">
        <f t="shared" si="81"/>
        <v>1</v>
      </c>
      <c r="V164" s="24">
        <v>1</v>
      </c>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row>
    <row r="165" spans="1:99" ht="13.5" customHeight="1">
      <c r="B165" s="20"/>
      <c r="C165" s="80" t="s">
        <v>212</v>
      </c>
      <c r="D165" s="3" t="s">
        <v>166</v>
      </c>
      <c r="E165" s="3" t="s">
        <v>206</v>
      </c>
      <c r="G165" s="106"/>
      <c r="H165" s="106">
        <f>-H160/H159</f>
        <v>7.7696969696969695</v>
      </c>
      <c r="I165" s="106">
        <f>-I160/I159</f>
        <v>7.5617283950617287E-2</v>
      </c>
      <c r="J165" s="106">
        <f>-J160/J159</f>
        <v>1.2657807308970099</v>
      </c>
      <c r="K165" s="106">
        <f>-K160/K159</f>
        <v>0.9264214046822743</v>
      </c>
      <c r="L165" s="98">
        <f>AVERAGE(H165:K165)</f>
        <v>2.5093790973067178</v>
      </c>
      <c r="M165" s="98">
        <f>AVERAGE(I165:L165)</f>
        <v>1.194299629209155</v>
      </c>
      <c r="N165" s="98">
        <f t="shared" ref="N165:S165" si="105">AVERAGE(J165:M165)</f>
        <v>1.4739702155237893</v>
      </c>
      <c r="O165" s="98">
        <f t="shared" si="105"/>
        <v>1.5260175866804842</v>
      </c>
      <c r="P165" s="98">
        <f t="shared" si="105"/>
        <v>1.6759166321800365</v>
      </c>
      <c r="Q165" s="98">
        <f t="shared" si="105"/>
        <v>1.4675510158983662</v>
      </c>
      <c r="R165" s="98">
        <f t="shared" si="105"/>
        <v>1.5358638625706691</v>
      </c>
      <c r="S165" s="98">
        <f t="shared" si="105"/>
        <v>1.551337274332389</v>
      </c>
      <c r="T165" s="94"/>
      <c r="U165" s="93">
        <f t="shared" si="81"/>
        <v>1</v>
      </c>
      <c r="V165" s="24">
        <v>1</v>
      </c>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row>
    <row r="166" spans="1:99" ht="13.5" customHeight="1">
      <c r="B166" s="20"/>
      <c r="C166" s="80"/>
      <c r="G166" s="6"/>
      <c r="H166" s="6"/>
      <c r="I166" s="6"/>
      <c r="J166" s="6"/>
      <c r="K166" s="6"/>
      <c r="L166" s="6"/>
      <c r="M166" s="6"/>
      <c r="N166" s="6"/>
      <c r="O166" s="6"/>
      <c r="P166" s="6"/>
      <c r="Q166" s="6"/>
      <c r="R166" s="6"/>
      <c r="S166" s="6"/>
      <c r="T166" s="94"/>
      <c r="U166" s="93">
        <f t="shared" si="81"/>
        <v>0</v>
      </c>
      <c r="V166" s="24">
        <v>0</v>
      </c>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row>
    <row r="167" spans="1:99" ht="13.5" customHeight="1">
      <c r="B167" s="20"/>
      <c r="C167" s="663" t="s">
        <v>213</v>
      </c>
      <c r="D167" s="32" t="s">
        <v>165</v>
      </c>
      <c r="E167" s="32" t="s">
        <v>134</v>
      </c>
      <c r="F167" s="78"/>
      <c r="G167" s="218"/>
      <c r="H167" s="218">
        <f>'DCF - Financials'!H61</f>
        <v>1839</v>
      </c>
      <c r="I167" s="218">
        <f>'DCF - Financials'!I61</f>
        <v>447</v>
      </c>
      <c r="J167" s="218">
        <f>'DCF - Financials'!J61</f>
        <v>828</v>
      </c>
      <c r="K167" s="218">
        <f>'DCF - Financials'!K61</f>
        <v>1066</v>
      </c>
      <c r="L167" s="1148">
        <f>-SUM(L142,L151,L160)</f>
        <v>2085.9819753014162</v>
      </c>
      <c r="M167" s="649">
        <f t="shared" ref="M167:S167" si="106">-SUM(M142,M151,M160)</f>
        <v>1419.0252144661404</v>
      </c>
      <c r="N167" s="649">
        <f t="shared" si="106"/>
        <v>1633.5147297818771</v>
      </c>
      <c r="O167" s="649">
        <f t="shared" si="106"/>
        <v>1765.1177089482894</v>
      </c>
      <c r="P167" s="649">
        <f t="shared" si="106"/>
        <v>2010.087567089512</v>
      </c>
      <c r="Q167" s="649">
        <f t="shared" si="106"/>
        <v>1976.3580793540591</v>
      </c>
      <c r="R167" s="649">
        <f t="shared" si="106"/>
        <v>2150.2549371344057</v>
      </c>
      <c r="S167" s="649">
        <f t="shared" si="106"/>
        <v>2306.0917044556209</v>
      </c>
      <c r="T167" s="94"/>
      <c r="U167" s="93">
        <f t="shared" ref="U167:U198" si="107">IF(NOT(ISBLANK(C167)), 1, 0)</f>
        <v>1</v>
      </c>
      <c r="V167" s="24">
        <v>1</v>
      </c>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row>
    <row r="168" spans="1:99" ht="13.5" customHeight="1">
      <c r="B168" s="20"/>
      <c r="C168" s="81"/>
      <c r="L168" s="6"/>
      <c r="M168" s="6"/>
      <c r="N168" s="6"/>
      <c r="O168" s="6"/>
      <c r="P168" s="6"/>
      <c r="Q168" s="6"/>
      <c r="R168" s="6"/>
      <c r="S168" s="6"/>
      <c r="T168" s="94"/>
      <c r="U168" s="93">
        <f t="shared" si="107"/>
        <v>0</v>
      </c>
      <c r="V168" s="24">
        <v>0</v>
      </c>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row>
    <row r="169" spans="1:99" ht="16">
      <c r="B169" s="117"/>
      <c r="C169" s="926" t="s">
        <v>214</v>
      </c>
      <c r="D169" s="927"/>
      <c r="E169" s="927"/>
      <c r="F169" s="927"/>
      <c r="G169" s="927"/>
      <c r="H169" s="927"/>
      <c r="I169" s="927"/>
      <c r="J169" s="927"/>
      <c r="K169" s="927"/>
      <c r="L169" s="927"/>
      <c r="M169" s="927"/>
      <c r="N169" s="927"/>
      <c r="O169" s="927"/>
      <c r="P169" s="927"/>
      <c r="Q169" s="927"/>
      <c r="R169" s="927"/>
      <c r="S169" s="927"/>
      <c r="T169"/>
      <c r="U169" s="93">
        <f t="shared" si="107"/>
        <v>1</v>
      </c>
      <c r="V169" s="24">
        <v>1</v>
      </c>
    </row>
    <row r="170" spans="1:99" ht="13.5" customHeight="1">
      <c r="B170" s="20"/>
      <c r="C170" s="81"/>
      <c r="T170" s="94"/>
      <c r="U170" s="93">
        <f t="shared" si="107"/>
        <v>0</v>
      </c>
      <c r="V170" s="24">
        <v>0</v>
      </c>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row>
    <row r="171" spans="1:99" ht="13.5" customHeight="1" thickBot="1">
      <c r="B171" s="20"/>
      <c r="C171" s="100" t="s">
        <v>215</v>
      </c>
      <c r="D171" s="57"/>
      <c r="E171" s="57"/>
      <c r="F171" s="57"/>
      <c r="G171" s="57"/>
      <c r="H171" s="57"/>
      <c r="I171" s="57"/>
      <c r="J171" s="57"/>
      <c r="K171" s="57"/>
      <c r="L171" s="57"/>
      <c r="M171" s="57"/>
      <c r="N171" s="57"/>
      <c r="O171" s="57"/>
      <c r="P171" s="57"/>
      <c r="Q171" s="57"/>
      <c r="R171" s="57"/>
      <c r="S171" s="57"/>
      <c r="T171" s="94"/>
      <c r="U171" s="93">
        <f t="shared" si="107"/>
        <v>1</v>
      </c>
      <c r="V171" s="24">
        <v>1</v>
      </c>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row>
    <row r="172" spans="1:99" ht="13.5" customHeight="1">
      <c r="B172" s="20"/>
      <c r="C172" s="81" t="s">
        <v>216</v>
      </c>
      <c r="D172" s="3" t="s">
        <v>165</v>
      </c>
      <c r="E172" s="3" t="s">
        <v>134</v>
      </c>
      <c r="G172" s="3">
        <f>'DCF - Financials'!G129</f>
        <v>932</v>
      </c>
      <c r="H172" s="6">
        <f>'DCF - Financials'!H129</f>
        <v>3323</v>
      </c>
      <c r="I172" s="6">
        <f>'DCF - Financials'!I129</f>
        <v>2749</v>
      </c>
      <c r="J172" s="6">
        <f>'DCF - Financials'!J129</f>
        <v>2285</v>
      </c>
      <c r="K172" s="6">
        <f>'DCF - Financials'!K129</f>
        <v>1439</v>
      </c>
      <c r="L172" s="644">
        <f>'DCF - Financials'!L129</f>
        <v>2485</v>
      </c>
      <c r="M172" s="644">
        <f>'DCF - Financials'!M129</f>
        <v>2820.9500000000003</v>
      </c>
      <c r="N172" s="644">
        <f>'DCF - Financials'!N129</f>
        <v>3173.25</v>
      </c>
      <c r="O172" s="644">
        <f>'DCF - Financials'!O129</f>
        <v>3490.0474999999997</v>
      </c>
      <c r="P172" s="644">
        <f>'DCF - Financials'!P129</f>
        <v>3807.6624999999995</v>
      </c>
      <c r="Q172" s="644">
        <f>'DCF - Financials'!Q129</f>
        <v>4123.502375</v>
      </c>
      <c r="R172" s="644">
        <f>'DCF - Financials'!R129</f>
        <v>4439.3831249999994</v>
      </c>
      <c r="S172" s="644">
        <f>'DCF - Financials'!S129</f>
        <v>4755.1751187500004</v>
      </c>
      <c r="T172" s="94"/>
      <c r="U172" s="93">
        <f t="shared" si="107"/>
        <v>1</v>
      </c>
      <c r="V172" s="24">
        <v>1</v>
      </c>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row>
    <row r="173" spans="1:99" ht="13.5" customHeight="1">
      <c r="B173" s="20"/>
      <c r="C173" s="81" t="s">
        <v>217</v>
      </c>
      <c r="D173" s="3" t="s">
        <v>166</v>
      </c>
      <c r="E173" s="3" t="s">
        <v>127</v>
      </c>
      <c r="G173" s="99"/>
      <c r="H173" s="99">
        <f>H174/G172</f>
        <v>0.20600858369098712</v>
      </c>
      <c r="I173" s="99">
        <f>I174/H172</f>
        <v>3.5811014143845923E-2</v>
      </c>
      <c r="J173" s="99">
        <f>J174/I172</f>
        <v>4.6198617679156055E-2</v>
      </c>
      <c r="K173" s="99">
        <f>K174/J172</f>
        <v>7.0021881838074396E-2</v>
      </c>
      <c r="L173" s="98">
        <v>0.05</v>
      </c>
      <c r="M173" s="98">
        <v>0.04</v>
      </c>
      <c r="N173" s="98">
        <v>3.5999999999999997E-2</v>
      </c>
      <c r="O173" s="98">
        <f>N173</f>
        <v>3.5999999999999997E-2</v>
      </c>
      <c r="P173" s="98">
        <v>7.0000000000000007E-2</v>
      </c>
      <c r="Q173" s="98">
        <v>7.0000000000000007E-2</v>
      </c>
      <c r="R173" s="98">
        <v>7.0000000000000007E-2</v>
      </c>
      <c r="S173" s="98">
        <v>7.0000000000000007E-2</v>
      </c>
      <c r="T173" s="94"/>
      <c r="U173" s="93">
        <f t="shared" si="107"/>
        <v>1</v>
      </c>
      <c r="V173" s="24">
        <v>1</v>
      </c>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row>
    <row r="174" spans="1:99" ht="13.5" customHeight="1">
      <c r="B174" s="20"/>
      <c r="C174" s="103" t="s">
        <v>218</v>
      </c>
      <c r="D174" s="32" t="s">
        <v>165</v>
      </c>
      <c r="E174" s="32" t="s">
        <v>134</v>
      </c>
      <c r="F174" s="32"/>
      <c r="G174" s="1053">
        <v>232</v>
      </c>
      <c r="H174" s="638">
        <v>192</v>
      </c>
      <c r="I174" s="638">
        <v>119</v>
      </c>
      <c r="J174" s="638">
        <v>127</v>
      </c>
      <c r="K174" s="638">
        <v>160</v>
      </c>
      <c r="L174" s="660">
        <f>K172*L173</f>
        <v>71.95</v>
      </c>
      <c r="M174" s="660">
        <f t="shared" ref="M174:S174" si="108">L172*M173</f>
        <v>99.4</v>
      </c>
      <c r="N174" s="660">
        <f t="shared" si="108"/>
        <v>101.55420000000001</v>
      </c>
      <c r="O174" s="660">
        <f t="shared" si="108"/>
        <v>114.23699999999999</v>
      </c>
      <c r="P174" s="660">
        <f t="shared" si="108"/>
        <v>244.303325</v>
      </c>
      <c r="Q174" s="660">
        <f t="shared" si="108"/>
        <v>266.53637499999996</v>
      </c>
      <c r="R174" s="660">
        <f t="shared" si="108"/>
        <v>288.64516625000005</v>
      </c>
      <c r="S174" s="660">
        <f t="shared" si="108"/>
        <v>310.75681874999998</v>
      </c>
      <c r="T174" s="94"/>
      <c r="U174" s="93">
        <f t="shared" si="107"/>
        <v>1</v>
      </c>
      <c r="V174" s="24">
        <v>1</v>
      </c>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row>
    <row r="175" spans="1:99" ht="13.5" customHeight="1">
      <c r="B175" s="20"/>
      <c r="C175" s="81" t="s">
        <v>219</v>
      </c>
      <c r="D175" s="3" t="s">
        <v>165</v>
      </c>
      <c r="E175" s="3" t="s">
        <v>134</v>
      </c>
      <c r="G175" s="230">
        <f>'DCF - Financials'!G29-'DCF - Assumptions'!G174</f>
        <v>210</v>
      </c>
      <c r="H175" s="230">
        <f>'DCF - Financials'!H29-'DCF - Assumptions'!H174</f>
        <v>174</v>
      </c>
      <c r="I175" s="230">
        <f>'DCF - Financials'!I29-'DCF - Assumptions'!I174</f>
        <v>159</v>
      </c>
      <c r="J175" s="230">
        <f>'DCF - Financials'!J29-'DCF - Assumptions'!J174</f>
        <v>370</v>
      </c>
      <c r="K175" s="230">
        <f>'DCF - Financials'!K29-'DCF - Assumptions'!K174</f>
        <v>180</v>
      </c>
      <c r="L175" s="644">
        <f>K175</f>
        <v>180</v>
      </c>
      <c r="M175" s="644">
        <f t="shared" ref="M175:S175" si="109">L175</f>
        <v>180</v>
      </c>
      <c r="N175" s="644">
        <f t="shared" si="109"/>
        <v>180</v>
      </c>
      <c r="O175" s="644">
        <f t="shared" si="109"/>
        <v>180</v>
      </c>
      <c r="P175" s="644">
        <f t="shared" si="109"/>
        <v>180</v>
      </c>
      <c r="Q175" s="644">
        <f t="shared" si="109"/>
        <v>180</v>
      </c>
      <c r="R175" s="644">
        <f t="shared" si="109"/>
        <v>180</v>
      </c>
      <c r="S175" s="644">
        <f t="shared" si="109"/>
        <v>180</v>
      </c>
      <c r="T175" s="94"/>
      <c r="U175" s="93">
        <f t="shared" si="107"/>
        <v>1</v>
      </c>
      <c r="V175" s="24">
        <v>1</v>
      </c>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row>
    <row r="176" spans="1:99" s="2" customFormat="1" ht="13.5" customHeight="1">
      <c r="A176" s="54"/>
      <c r="B176" s="54"/>
      <c r="C176" s="149" t="s">
        <v>220</v>
      </c>
      <c r="D176" s="32" t="s">
        <v>165</v>
      </c>
      <c r="E176" s="32" t="s">
        <v>134</v>
      </c>
      <c r="F176" s="32"/>
      <c r="G176" s="102">
        <f>SUM(G174:G175)</f>
        <v>442</v>
      </c>
      <c r="H176" s="102">
        <f t="shared" ref="H176:S176" si="110">SUM(H174:H175)</f>
        <v>366</v>
      </c>
      <c r="I176" s="102">
        <f t="shared" si="110"/>
        <v>278</v>
      </c>
      <c r="J176" s="102">
        <f t="shared" si="110"/>
        <v>497</v>
      </c>
      <c r="K176" s="102">
        <f t="shared" si="110"/>
        <v>340</v>
      </c>
      <c r="L176" s="1054">
        <f t="shared" si="110"/>
        <v>251.95</v>
      </c>
      <c r="M176" s="1054">
        <f t="shared" si="110"/>
        <v>279.39999999999998</v>
      </c>
      <c r="N176" s="1054">
        <f t="shared" si="110"/>
        <v>281.55420000000004</v>
      </c>
      <c r="O176" s="1054">
        <f t="shared" si="110"/>
        <v>294.23699999999997</v>
      </c>
      <c r="P176" s="1054">
        <f t="shared" si="110"/>
        <v>424.30332499999997</v>
      </c>
      <c r="Q176" s="1054">
        <f t="shared" si="110"/>
        <v>446.53637499999996</v>
      </c>
      <c r="R176" s="1054">
        <f t="shared" si="110"/>
        <v>468.64516625000005</v>
      </c>
      <c r="S176" s="1054">
        <f t="shared" si="110"/>
        <v>490.75681874999998</v>
      </c>
      <c r="U176" s="93">
        <f t="shared" si="107"/>
        <v>1</v>
      </c>
      <c r="V176" s="93">
        <v>1</v>
      </c>
    </row>
    <row r="177" spans="1:99" ht="13.5" customHeight="1">
      <c r="A177"/>
      <c r="B177" s="20"/>
      <c r="C177" s="81"/>
      <c r="G177" s="99"/>
      <c r="H177" s="99"/>
      <c r="I177" s="99"/>
      <c r="J177" s="99"/>
      <c r="K177" s="99"/>
      <c r="L177" s="125"/>
      <c r="M177" s="125"/>
      <c r="N177" s="125"/>
      <c r="O177" s="125"/>
      <c r="P177" s="125"/>
      <c r="Q177" s="125"/>
      <c r="R177" s="125"/>
      <c r="S177" s="125"/>
      <c r="T177" s="94"/>
      <c r="U177" s="93">
        <f t="shared" si="107"/>
        <v>0</v>
      </c>
      <c r="V177" s="24">
        <v>0</v>
      </c>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row>
    <row r="178" spans="1:99" ht="13.5" customHeight="1" thickBot="1">
      <c r="B178" s="20"/>
      <c r="C178" s="100" t="s">
        <v>221</v>
      </c>
      <c r="D178" s="57"/>
      <c r="E178" s="57"/>
      <c r="F178" s="57"/>
      <c r="G178" s="57"/>
      <c r="H178" s="57"/>
      <c r="I178" s="57"/>
      <c r="J178" s="57"/>
      <c r="K178" s="57"/>
      <c r="L178" s="57"/>
      <c r="M178" s="57"/>
      <c r="N178" s="57"/>
      <c r="O178" s="57"/>
      <c r="P178" s="57"/>
      <c r="Q178" s="57"/>
      <c r="R178" s="57"/>
      <c r="S178" s="57"/>
      <c r="T178" s="94"/>
      <c r="U178" s="93">
        <f t="shared" si="107"/>
        <v>1</v>
      </c>
      <c r="V178" s="24">
        <v>1</v>
      </c>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row>
    <row r="179" spans="1:99" ht="13.5" customHeight="1">
      <c r="B179" s="20"/>
      <c r="C179" s="81" t="s">
        <v>111</v>
      </c>
      <c r="D179" s="3" t="s">
        <v>166</v>
      </c>
      <c r="E179" s="3" t="s">
        <v>127</v>
      </c>
      <c r="G179" s="99">
        <f>'DCF - Financials'!G34/-'DCF - Financials'!G32</f>
        <v>0.21204250295159385</v>
      </c>
      <c r="H179" s="99">
        <f>'DCF - Financials'!H34/-'DCF - Financials'!H32</f>
        <v>0.28830151737640725</v>
      </c>
      <c r="I179" s="99">
        <f>'DCF - Financials'!I34/-'DCF - Financials'!I32</f>
        <v>0.24473826227738801</v>
      </c>
      <c r="J179" s="99">
        <f>'DCF - Financials'!J34/-'DCF - Financials'!J32</f>
        <v>0.23911556872578071</v>
      </c>
      <c r="K179" s="99">
        <f>'DCF - Financials'!K34/-'DCF - Financials'!K32</f>
        <v>0.2048141891891892</v>
      </c>
      <c r="L179" s="98">
        <v>0.20480000000000001</v>
      </c>
      <c r="M179" s="98">
        <v>0.20480000000000001</v>
      </c>
      <c r="N179" s="98">
        <v>0.20480000000000001</v>
      </c>
      <c r="O179" s="98">
        <v>0.20480000000000001</v>
      </c>
      <c r="P179" s="98">
        <v>0.20480000000000001</v>
      </c>
      <c r="Q179" s="98">
        <v>0.20480000000000001</v>
      </c>
      <c r="R179" s="98">
        <v>0.20480000000000001</v>
      </c>
      <c r="S179" s="98">
        <v>0.20480000000000001</v>
      </c>
      <c r="T179" s="94"/>
      <c r="U179" s="93">
        <f t="shared" si="107"/>
        <v>1</v>
      </c>
      <c r="V179" s="24">
        <v>1</v>
      </c>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row>
    <row r="180" spans="1:99" s="2" customFormat="1" ht="13.5" customHeight="1">
      <c r="B180" s="3"/>
      <c r="C180" s="103" t="s">
        <v>222</v>
      </c>
      <c r="D180" s="32" t="s">
        <v>166</v>
      </c>
      <c r="E180" s="32" t="s">
        <v>127</v>
      </c>
      <c r="F180" s="116"/>
      <c r="G180" s="77"/>
      <c r="H180" s="77"/>
      <c r="I180" s="77"/>
      <c r="J180" s="77"/>
      <c r="K180" s="77"/>
      <c r="L180" s="640">
        <v>0.04</v>
      </c>
      <c r="M180" s="640">
        <v>0.03</v>
      </c>
      <c r="N180" s="640">
        <v>2.5000000000000001E-2</v>
      </c>
      <c r="O180" s="640">
        <v>2.5000000000000001E-2</v>
      </c>
      <c r="P180" s="640">
        <v>2.5000000000000001E-2</v>
      </c>
      <c r="Q180" s="640">
        <v>2.5000000000000001E-2</v>
      </c>
      <c r="R180" s="640">
        <v>2.5000000000000001E-2</v>
      </c>
      <c r="S180" s="640">
        <v>2.5000000000000001E-2</v>
      </c>
      <c r="T180"/>
      <c r="U180" s="93">
        <f t="shared" si="107"/>
        <v>1</v>
      </c>
      <c r="V180" s="24">
        <v>1</v>
      </c>
    </row>
    <row r="181" spans="1:99" s="2" customFormat="1" ht="13.5" customHeight="1">
      <c r="B181" s="3"/>
      <c r="C181" s="81" t="s">
        <v>223</v>
      </c>
      <c r="D181" s="3" t="s">
        <v>132</v>
      </c>
      <c r="E181" s="3" t="s">
        <v>134</v>
      </c>
      <c r="F181" s="118"/>
      <c r="G181" s="6"/>
      <c r="H181" s="6"/>
      <c r="I181" s="6"/>
      <c r="J181" s="6"/>
      <c r="K181" s="641">
        <v>1</v>
      </c>
      <c r="L181" s="740">
        <f>K181*(1+L180)</f>
        <v>1.04</v>
      </c>
      <c r="M181" s="740">
        <f t="shared" ref="M181:S181" si="111">L181*(1+M180)</f>
        <v>1.0712000000000002</v>
      </c>
      <c r="N181" s="740">
        <f t="shared" si="111"/>
        <v>1.09798</v>
      </c>
      <c r="O181" s="740">
        <f t="shared" si="111"/>
        <v>1.1254294999999999</v>
      </c>
      <c r="P181" s="740">
        <f t="shared" si="111"/>
        <v>1.1535652374999998</v>
      </c>
      <c r="Q181" s="740">
        <f t="shared" si="111"/>
        <v>1.1824043684374996</v>
      </c>
      <c r="R181" s="740">
        <f t="shared" si="111"/>
        <v>1.2119644776484371</v>
      </c>
      <c r="S181" s="740">
        <f t="shared" si="111"/>
        <v>1.2422635895896479</v>
      </c>
      <c r="T181"/>
      <c r="U181" s="93">
        <f t="shared" si="107"/>
        <v>1</v>
      </c>
      <c r="V181" s="24">
        <v>1</v>
      </c>
    </row>
    <row r="182" spans="1:99" s="1" customFormat="1" ht="13.5" customHeight="1">
      <c r="B182" s="20"/>
      <c r="C182" s="80"/>
      <c r="D182" s="3"/>
      <c r="E182" s="3"/>
      <c r="F182" s="3"/>
      <c r="G182" s="97"/>
      <c r="H182" s="97"/>
      <c r="I182" s="97"/>
      <c r="J182" s="97"/>
      <c r="K182" s="97"/>
      <c r="L182" s="962"/>
      <c r="M182" s="962"/>
      <c r="N182" s="962"/>
      <c r="O182" s="962"/>
      <c r="P182" s="962"/>
      <c r="Q182" s="962"/>
      <c r="R182" s="962"/>
      <c r="S182" s="962"/>
      <c r="T182" s="94"/>
      <c r="U182" s="93">
        <f t="shared" si="107"/>
        <v>0</v>
      </c>
      <c r="V182" s="24">
        <v>0</v>
      </c>
    </row>
    <row r="183" spans="1:99" ht="13.5" customHeight="1" thickBot="1">
      <c r="B183" s="20"/>
      <c r="C183" s="100" t="s">
        <v>224</v>
      </c>
      <c r="D183" s="57"/>
      <c r="E183" s="57"/>
      <c r="F183" s="57"/>
      <c r="G183" s="57"/>
      <c r="H183" s="57"/>
      <c r="I183" s="57"/>
      <c r="J183" s="57"/>
      <c r="K183" s="57"/>
      <c r="L183" s="57"/>
      <c r="M183" s="57"/>
      <c r="N183" s="57"/>
      <c r="O183" s="57"/>
      <c r="P183" s="57"/>
      <c r="Q183" s="57"/>
      <c r="R183" s="57"/>
      <c r="S183" s="57"/>
      <c r="T183" s="94"/>
      <c r="U183" s="93">
        <f t="shared" si="107"/>
        <v>1</v>
      </c>
      <c r="V183" s="24">
        <v>1</v>
      </c>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row>
    <row r="184" spans="1:99" s="2" customFormat="1" ht="13.5" customHeight="1">
      <c r="A184" s="54"/>
      <c r="B184" s="54"/>
      <c r="C184" s="81" t="s">
        <v>225</v>
      </c>
      <c r="D184" s="3" t="s">
        <v>165</v>
      </c>
      <c r="E184" s="3" t="s">
        <v>134</v>
      </c>
      <c r="G184" s="97"/>
      <c r="H184" s="1041">
        <v>-123</v>
      </c>
      <c r="I184" s="1041">
        <v>-126</v>
      </c>
      <c r="J184" s="1041">
        <v>-346</v>
      </c>
      <c r="K184" s="1041">
        <v>-102</v>
      </c>
      <c r="L184" s="105">
        <v>0</v>
      </c>
      <c r="M184" s="105">
        <v>0</v>
      </c>
      <c r="N184" s="105">
        <v>0</v>
      </c>
      <c r="O184" s="105">
        <v>0</v>
      </c>
      <c r="P184" s="105">
        <v>0</v>
      </c>
      <c r="Q184" s="105">
        <v>0</v>
      </c>
      <c r="R184" s="105">
        <v>0</v>
      </c>
      <c r="S184" s="105">
        <v>0</v>
      </c>
      <c r="U184" s="93">
        <f t="shared" si="107"/>
        <v>1</v>
      </c>
      <c r="V184" s="93">
        <v>1</v>
      </c>
    </row>
    <row r="185" spans="1:99" s="2" customFormat="1" ht="13.5" customHeight="1">
      <c r="A185" s="54"/>
      <c r="B185" s="54"/>
      <c r="C185" s="81" t="s">
        <v>226</v>
      </c>
      <c r="D185" s="3" t="s">
        <v>165</v>
      </c>
      <c r="E185" s="3" t="s">
        <v>134</v>
      </c>
      <c r="G185" s="97"/>
      <c r="H185" s="1041">
        <v>-71</v>
      </c>
      <c r="I185" s="1041">
        <v>-60</v>
      </c>
      <c r="J185" s="1041">
        <v>-98</v>
      </c>
      <c r="K185" s="1041">
        <v>-76</v>
      </c>
      <c r="L185" s="105">
        <f t="shared" ref="L185:S185" si="112">K185</f>
        <v>-76</v>
      </c>
      <c r="M185" s="105">
        <f t="shared" si="112"/>
        <v>-76</v>
      </c>
      <c r="N185" s="105">
        <f t="shared" si="112"/>
        <v>-76</v>
      </c>
      <c r="O185" s="105">
        <f t="shared" si="112"/>
        <v>-76</v>
      </c>
      <c r="P185" s="105">
        <f t="shared" si="112"/>
        <v>-76</v>
      </c>
      <c r="Q185" s="105">
        <f t="shared" si="112"/>
        <v>-76</v>
      </c>
      <c r="R185" s="105">
        <f t="shared" si="112"/>
        <v>-76</v>
      </c>
      <c r="S185" s="105">
        <f t="shared" si="112"/>
        <v>-76</v>
      </c>
      <c r="U185" s="93">
        <f t="shared" si="107"/>
        <v>1</v>
      </c>
      <c r="V185" s="93">
        <v>1</v>
      </c>
    </row>
    <row r="186" spans="1:99" s="2" customFormat="1" ht="13.5" customHeight="1">
      <c r="A186" s="54"/>
      <c r="B186" s="54"/>
      <c r="C186" s="149" t="s">
        <v>227</v>
      </c>
      <c r="D186" s="32" t="s">
        <v>165</v>
      </c>
      <c r="E186" s="32" t="s">
        <v>134</v>
      </c>
      <c r="F186" s="32"/>
      <c r="G186" s="102"/>
      <c r="H186" s="148">
        <f t="shared" ref="H186:S186" si="113">SUM(H184:H185)</f>
        <v>-194</v>
      </c>
      <c r="I186" s="148">
        <f t="shared" si="113"/>
        <v>-186</v>
      </c>
      <c r="J186" s="148">
        <f t="shared" si="113"/>
        <v>-444</v>
      </c>
      <c r="K186" s="148">
        <f t="shared" si="113"/>
        <v>-178</v>
      </c>
      <c r="L186" s="147">
        <f t="shared" si="113"/>
        <v>-76</v>
      </c>
      <c r="M186" s="147">
        <f t="shared" si="113"/>
        <v>-76</v>
      </c>
      <c r="N186" s="147">
        <f t="shared" si="113"/>
        <v>-76</v>
      </c>
      <c r="O186" s="147">
        <f t="shared" si="113"/>
        <v>-76</v>
      </c>
      <c r="P186" s="147">
        <f t="shared" si="113"/>
        <v>-76</v>
      </c>
      <c r="Q186" s="147">
        <f t="shared" si="113"/>
        <v>-76</v>
      </c>
      <c r="R186" s="147">
        <f t="shared" si="113"/>
        <v>-76</v>
      </c>
      <c r="S186" s="147">
        <f t="shared" si="113"/>
        <v>-76</v>
      </c>
      <c r="U186" s="93">
        <f t="shared" si="107"/>
        <v>1</v>
      </c>
      <c r="V186" s="93">
        <v>1</v>
      </c>
    </row>
    <row r="187" spans="1:99" s="2" customFormat="1" ht="13.5" customHeight="1">
      <c r="A187" s="54"/>
      <c r="B187" s="54"/>
      <c r="C187" s="149"/>
      <c r="D187" s="32"/>
      <c r="E187" s="32"/>
      <c r="F187" s="32"/>
      <c r="G187" s="102"/>
      <c r="H187" s="148"/>
      <c r="I187" s="148"/>
      <c r="J187" s="148"/>
      <c r="K187" s="148"/>
      <c r="L187" s="148"/>
      <c r="M187" s="148"/>
      <c r="N187" s="148"/>
      <c r="O187" s="148"/>
      <c r="P187" s="148"/>
      <c r="Q187" s="148"/>
      <c r="R187" s="148"/>
      <c r="S187" s="148"/>
      <c r="U187" s="93">
        <f t="shared" si="107"/>
        <v>0</v>
      </c>
      <c r="V187" s="93">
        <v>0</v>
      </c>
    </row>
    <row r="188" spans="1:99" ht="13.5" customHeight="1" thickBot="1">
      <c r="B188" s="20"/>
      <c r="C188" s="100" t="s">
        <v>228</v>
      </c>
      <c r="D188" s="1060"/>
      <c r="E188" s="57"/>
      <c r="F188" s="57"/>
      <c r="G188" s="57"/>
      <c r="H188" s="57"/>
      <c r="I188" s="57"/>
      <c r="J188" s="57"/>
      <c r="K188" s="57"/>
      <c r="L188" s="57"/>
      <c r="M188" s="57"/>
      <c r="N188" s="57"/>
      <c r="O188" s="57"/>
      <c r="P188" s="57"/>
      <c r="Q188" s="57"/>
      <c r="R188" s="57"/>
      <c r="S188" s="57"/>
      <c r="T188" s="94"/>
      <c r="U188" s="93">
        <f t="shared" si="107"/>
        <v>1</v>
      </c>
      <c r="V188" s="24">
        <v>1</v>
      </c>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row>
    <row r="189" spans="1:99" ht="13.5" customHeight="1">
      <c r="B189" s="1059"/>
      <c r="C189" s="81" t="s">
        <v>229</v>
      </c>
      <c r="D189" s="3" t="s">
        <v>165</v>
      </c>
      <c r="E189" s="3" t="s">
        <v>134</v>
      </c>
      <c r="H189" s="6">
        <f>G197</f>
        <v>2428</v>
      </c>
      <c r="I189" s="6">
        <f t="shared" ref="I189:S189" si="114">H197</f>
        <v>2354</v>
      </c>
      <c r="J189" s="6">
        <f t="shared" si="114"/>
        <v>2345</v>
      </c>
      <c r="K189" s="6">
        <f t="shared" si="114"/>
        <v>2325</v>
      </c>
      <c r="L189" s="6">
        <f t="shared" si="114"/>
        <v>2271</v>
      </c>
      <c r="M189" s="6">
        <f t="shared" si="114"/>
        <v>2093.4227889798276</v>
      </c>
      <c r="N189" s="6">
        <f t="shared" si="114"/>
        <v>2035.1094390481069</v>
      </c>
      <c r="O189" s="6">
        <f t="shared" si="114"/>
        <v>1894.3639317432353</v>
      </c>
      <c r="P189" s="6">
        <f t="shared" si="114"/>
        <v>1791.1160844653439</v>
      </c>
      <c r="Q189" s="6">
        <f t="shared" si="114"/>
        <v>1645.4179301507859</v>
      </c>
      <c r="R189" s="6">
        <f t="shared" si="114"/>
        <v>1512.6061606418086</v>
      </c>
      <c r="S189" s="6">
        <f t="shared" si="114"/>
        <v>1351.0519859218534</v>
      </c>
      <c r="T189" s="94"/>
      <c r="U189" s="93">
        <f t="shared" si="107"/>
        <v>1</v>
      </c>
      <c r="V189" s="24">
        <v>1</v>
      </c>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row>
    <row r="190" spans="1:99" ht="13.5" customHeight="1">
      <c r="B190" s="1059"/>
      <c r="C190" s="81" t="s">
        <v>230</v>
      </c>
      <c r="D190" s="3" t="s">
        <v>165</v>
      </c>
      <c r="E190" s="3" t="s">
        <v>134</v>
      </c>
      <c r="G190" s="97"/>
      <c r="H190" s="97">
        <f>'DCF - Financials'!H90</f>
        <v>-1282</v>
      </c>
      <c r="I190" s="97">
        <f>'DCF - Financials'!I90</f>
        <v>-109</v>
      </c>
      <c r="J190" s="97">
        <f>'DCF - Financials'!J90</f>
        <v>-2284</v>
      </c>
      <c r="K190" s="97">
        <f>'DCF - Financials'!K90</f>
        <v>-1381</v>
      </c>
      <c r="L190" s="1082">
        <f>'DCF - Capital Structure'!L117</f>
        <v>-6743.4160957369886</v>
      </c>
      <c r="M190" s="1082">
        <f>'DCF - Capital Structure'!M117</f>
        <v>-2386.1834988282117</v>
      </c>
      <c r="N190" s="1082">
        <f>'DCF - Capital Structure'!N117</f>
        <v>-5397.7922113234808</v>
      </c>
      <c r="O190" s="1082">
        <f>'DCF - Capital Structure'!O117</f>
        <v>-4027.8380182742912</v>
      </c>
      <c r="P190" s="1082">
        <f>'DCF - Capital Structure'!P117</f>
        <v>-5578.7341563069986</v>
      </c>
      <c r="Q190" s="1082">
        <f>'DCF - Capital Structure'!Q117</f>
        <v>-5107.9379283570779</v>
      </c>
      <c r="R190" s="1082">
        <f>'DCF - Capital Structure'!R117</f>
        <v>-6158.0242139750808</v>
      </c>
      <c r="S190" s="1082">
        <f>'DCF - Capital Structure'!S117</f>
        <v>-6429.9555534631363</v>
      </c>
      <c r="T190" s="94"/>
      <c r="U190" s="93">
        <f t="shared" si="107"/>
        <v>1</v>
      </c>
      <c r="V190" s="24">
        <v>1</v>
      </c>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row>
    <row r="191" spans="1:99" ht="13.5" customHeight="1">
      <c r="B191" s="1059"/>
      <c r="C191" s="81" t="s">
        <v>231</v>
      </c>
      <c r="D191" s="3" t="s">
        <v>165</v>
      </c>
      <c r="E191" s="3" t="s">
        <v>134</v>
      </c>
      <c r="G191" s="1079"/>
      <c r="H191" s="1079">
        <v>-39</v>
      </c>
      <c r="I191" s="1079">
        <v>-3.2</v>
      </c>
      <c r="J191" s="1079">
        <v>-61.2</v>
      </c>
      <c r="K191" s="1079">
        <v>-37.799999999999997</v>
      </c>
      <c r="L191" s="1081">
        <f>IFERROR(-L190/L192,"")</f>
        <v>-184.57721102017243</v>
      </c>
      <c r="M191" s="1081">
        <f t="shared" ref="M191:S191" si="115">IFERROR(-M190/M192,"")</f>
        <v>-65.313349931720779</v>
      </c>
      <c r="N191" s="1081">
        <f t="shared" si="115"/>
        <v>-147.7455073048715</v>
      </c>
      <c r="O191" s="1081">
        <f t="shared" si="115"/>
        <v>-110.24784727789152</v>
      </c>
      <c r="P191" s="1081">
        <f t="shared" si="115"/>
        <v>-152.69815431455794</v>
      </c>
      <c r="Q191" s="1081">
        <f t="shared" si="115"/>
        <v>-139.81176950897722</v>
      </c>
      <c r="R191" s="1081">
        <f t="shared" si="115"/>
        <v>-168.55417471995511</v>
      </c>
      <c r="S191" s="1081">
        <f t="shared" si="115"/>
        <v>-175.99733520702861</v>
      </c>
      <c r="T191" s="94"/>
      <c r="U191" s="93">
        <f t="shared" si="107"/>
        <v>1</v>
      </c>
      <c r="V191" s="24">
        <v>1</v>
      </c>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row>
    <row r="192" spans="1:99" ht="13.5" customHeight="1">
      <c r="B192" s="1059"/>
      <c r="C192" s="81" t="s">
        <v>232</v>
      </c>
      <c r="D192" s="3" t="s">
        <v>165</v>
      </c>
      <c r="E192" s="3" t="s">
        <v>134</v>
      </c>
      <c r="G192" s="1080"/>
      <c r="H192" s="1080">
        <f t="shared" ref="H192:J192" si="116">-H190/H191</f>
        <v>-32.871794871794869</v>
      </c>
      <c r="I192" s="1080">
        <f t="shared" si="116"/>
        <v>-34.0625</v>
      </c>
      <c r="J192" s="1080">
        <f t="shared" si="116"/>
        <v>-37.320261437908492</v>
      </c>
      <c r="K192" s="1080">
        <f>-K190/K191</f>
        <v>-36.534391534391538</v>
      </c>
      <c r="L192" s="1176">
        <f>K192</f>
        <v>-36.534391534391538</v>
      </c>
      <c r="M192" s="1176">
        <f>L192</f>
        <v>-36.534391534391538</v>
      </c>
      <c r="N192" s="1176">
        <f>M192</f>
        <v>-36.534391534391538</v>
      </c>
      <c r="O192" s="1176">
        <f>N192</f>
        <v>-36.534391534391538</v>
      </c>
      <c r="P192" s="1176">
        <f>O192</f>
        <v>-36.534391534391538</v>
      </c>
      <c r="Q192" s="1176">
        <f>P192</f>
        <v>-36.534391534391538</v>
      </c>
      <c r="R192" s="1176">
        <f>Q192</f>
        <v>-36.534391534391538</v>
      </c>
      <c r="S192" s="1176">
        <f>R192</f>
        <v>-36.534391534391538</v>
      </c>
      <c r="T192" s="94"/>
      <c r="U192" s="93">
        <f t="shared" si="107"/>
        <v>1</v>
      </c>
      <c r="V192" s="24">
        <v>1</v>
      </c>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row>
    <row r="193" spans="2:259" ht="13.5" customHeight="1">
      <c r="B193" s="1059"/>
      <c r="C193" s="81" t="s">
        <v>233</v>
      </c>
      <c r="D193" s="3" t="s">
        <v>165</v>
      </c>
      <c r="E193" s="3" t="s">
        <v>134</v>
      </c>
      <c r="G193" s="97"/>
      <c r="H193" s="97">
        <f>'DCF - Financials'!H91</f>
        <v>1</v>
      </c>
      <c r="I193" s="97">
        <f>'DCF - Financials'!I91</f>
        <v>0</v>
      </c>
      <c r="J193" s="97">
        <f>'DCF - Financials'!J91</f>
        <v>0</v>
      </c>
      <c r="K193" s="97">
        <f>'DCF - Financials'!K91</f>
        <v>0</v>
      </c>
      <c r="L193" s="1082">
        <v>0</v>
      </c>
      <c r="M193" s="1082">
        <v>0</v>
      </c>
      <c r="N193" s="1082">
        <v>0</v>
      </c>
      <c r="O193" s="1082">
        <v>0</v>
      </c>
      <c r="P193" s="1082">
        <v>0</v>
      </c>
      <c r="Q193" s="1082">
        <v>0</v>
      </c>
      <c r="R193" s="1082">
        <v>0</v>
      </c>
      <c r="S193" s="1082">
        <v>0</v>
      </c>
      <c r="T193" s="94"/>
      <c r="U193" s="93">
        <f t="shared" si="107"/>
        <v>1</v>
      </c>
      <c r="V193" s="24">
        <v>1</v>
      </c>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row>
    <row r="194" spans="2:259" ht="13.5" customHeight="1">
      <c r="B194" s="1059"/>
      <c r="C194" s="81" t="s">
        <v>234</v>
      </c>
      <c r="D194" s="3" t="s">
        <v>165</v>
      </c>
      <c r="E194" s="3" t="s">
        <v>134</v>
      </c>
      <c r="G194" s="1080"/>
      <c r="H194" s="1080">
        <v>0</v>
      </c>
      <c r="I194" s="1080">
        <v>0</v>
      </c>
      <c r="J194" s="1080">
        <v>0</v>
      </c>
      <c r="K194" s="1080">
        <v>0</v>
      </c>
      <c r="L194" s="1081">
        <v>0</v>
      </c>
      <c r="M194" s="1081">
        <v>0</v>
      </c>
      <c r="N194" s="1081">
        <v>0</v>
      </c>
      <c r="O194" s="1081">
        <v>0</v>
      </c>
      <c r="P194" s="1081">
        <v>0</v>
      </c>
      <c r="Q194" s="1081">
        <v>0</v>
      </c>
      <c r="R194" s="1081">
        <v>0</v>
      </c>
      <c r="S194" s="1081">
        <v>0</v>
      </c>
      <c r="T194" s="94"/>
      <c r="U194" s="93">
        <f t="shared" si="107"/>
        <v>1</v>
      </c>
      <c r="V194" s="24">
        <v>1</v>
      </c>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row>
    <row r="195" spans="2:259" ht="13.5" customHeight="1">
      <c r="B195" s="1059"/>
      <c r="C195" s="81" t="s">
        <v>235</v>
      </c>
      <c r="D195" s="3" t="s">
        <v>165</v>
      </c>
      <c r="E195" s="3" t="s">
        <v>134</v>
      </c>
      <c r="G195" s="1041"/>
      <c r="H195" s="1041">
        <v>8</v>
      </c>
      <c r="I195" s="1041">
        <v>8</v>
      </c>
      <c r="J195" s="1041">
        <v>7</v>
      </c>
      <c r="K195" s="1041">
        <v>7</v>
      </c>
      <c r="L195" s="1082">
        <f>K195</f>
        <v>7</v>
      </c>
      <c r="M195" s="1082">
        <f t="shared" ref="M195:S195" si="117">L195</f>
        <v>7</v>
      </c>
      <c r="N195" s="1082">
        <f t="shared" si="117"/>
        <v>7</v>
      </c>
      <c r="O195" s="1082">
        <f t="shared" si="117"/>
        <v>7</v>
      </c>
      <c r="P195" s="1082">
        <f t="shared" si="117"/>
        <v>7</v>
      </c>
      <c r="Q195" s="1082">
        <f t="shared" si="117"/>
        <v>7</v>
      </c>
      <c r="R195" s="1082">
        <f t="shared" si="117"/>
        <v>7</v>
      </c>
      <c r="S195" s="1082">
        <f t="shared" si="117"/>
        <v>7</v>
      </c>
      <c r="T195" s="94"/>
      <c r="U195" s="93">
        <f t="shared" si="107"/>
        <v>1</v>
      </c>
      <c r="V195" s="24">
        <v>1</v>
      </c>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row>
    <row r="196" spans="2:259" ht="13.5" customHeight="1">
      <c r="B196" s="1059"/>
      <c r="C196" s="81" t="s">
        <v>236</v>
      </c>
      <c r="D196" s="3" t="s">
        <v>165</v>
      </c>
      <c r="E196" s="3" t="s">
        <v>134</v>
      </c>
      <c r="G196" s="1122"/>
      <c r="H196" s="297">
        <f>H197-H195-H191-H189</f>
        <v>-43</v>
      </c>
      <c r="I196" s="297">
        <f t="shared" ref="I196:K196" si="118">I197-I195-I191-I189</f>
        <v>-13.800000000000182</v>
      </c>
      <c r="J196" s="297">
        <f t="shared" si="118"/>
        <v>34.199999999999818</v>
      </c>
      <c r="K196" s="297">
        <f t="shared" si="118"/>
        <v>-23.199999999999818</v>
      </c>
      <c r="L196" s="1123">
        <v>0</v>
      </c>
      <c r="M196" s="1123">
        <v>0</v>
      </c>
      <c r="N196" s="1123">
        <v>0</v>
      </c>
      <c r="O196" s="1123">
        <v>0</v>
      </c>
      <c r="P196" s="1123">
        <v>0</v>
      </c>
      <c r="Q196" s="1123">
        <v>0</v>
      </c>
      <c r="R196" s="1123">
        <v>0</v>
      </c>
      <c r="S196" s="1123">
        <v>0</v>
      </c>
      <c r="T196" s="94"/>
      <c r="U196" s="93">
        <f t="shared" si="107"/>
        <v>1</v>
      </c>
      <c r="V196" s="24">
        <v>1</v>
      </c>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row>
    <row r="197" spans="2:259" ht="13.5" customHeight="1">
      <c r="B197" s="20"/>
      <c r="C197" s="726" t="str">
        <f>'DCF - Financials'!C40</f>
        <v>Diluted shares outstanding (mm)</v>
      </c>
      <c r="D197" s="15" t="s">
        <v>165</v>
      </c>
      <c r="E197" s="15" t="s">
        <v>134</v>
      </c>
      <c r="F197" s="15"/>
      <c r="G197" s="642">
        <f>'DCF - Financials'!G40</f>
        <v>2428</v>
      </c>
      <c r="H197" s="642">
        <f>'DCF - Financials'!H40</f>
        <v>2354</v>
      </c>
      <c r="I197" s="642">
        <f>'DCF - Financials'!I40</f>
        <v>2345</v>
      </c>
      <c r="J197" s="642">
        <f>'DCF - Financials'!J40</f>
        <v>2325</v>
      </c>
      <c r="K197" s="642">
        <f>'DCF - Financials'!K40</f>
        <v>2271</v>
      </c>
      <c r="L197" s="1061">
        <f>SUM(L195,L189,L194,L191)</f>
        <v>2093.4227889798276</v>
      </c>
      <c r="M197" s="1061">
        <f t="shared" ref="M197:S197" si="119">SUM(M195,M189,M194,M191)</f>
        <v>2035.1094390481069</v>
      </c>
      <c r="N197" s="1061">
        <f t="shared" si="119"/>
        <v>1894.3639317432353</v>
      </c>
      <c r="O197" s="1061">
        <f t="shared" si="119"/>
        <v>1791.1160844653439</v>
      </c>
      <c r="P197" s="1061">
        <f t="shared" si="119"/>
        <v>1645.4179301507859</v>
      </c>
      <c r="Q197" s="1061">
        <f t="shared" si="119"/>
        <v>1512.6061606418086</v>
      </c>
      <c r="R197" s="1061">
        <f t="shared" si="119"/>
        <v>1351.0519859218534</v>
      </c>
      <c r="S197" s="1061">
        <f t="shared" si="119"/>
        <v>1182.0546507148249</v>
      </c>
      <c r="T197" s="94"/>
      <c r="U197" s="93">
        <f t="shared" si="107"/>
        <v>1</v>
      </c>
      <c r="V197" s="24">
        <v>1</v>
      </c>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row>
    <row r="198" spans="2:259" s="2" customFormat="1" ht="11.25" customHeight="1">
      <c r="B198" s="54"/>
      <c r="C198" s="80"/>
      <c r="D198" s="3"/>
      <c r="E198" s="3"/>
      <c r="F198" s="3"/>
      <c r="G198" s="91"/>
      <c r="H198" s="92"/>
      <c r="I198" s="92"/>
      <c r="J198" s="92"/>
      <c r="K198" s="91"/>
      <c r="L198" s="90"/>
      <c r="M198" s="90"/>
      <c r="N198" s="90"/>
      <c r="O198" s="90"/>
      <c r="P198" s="90"/>
      <c r="Q198" s="90"/>
      <c r="R198" s="90"/>
      <c r="S198" s="90"/>
      <c r="T198"/>
      <c r="U198" s="93">
        <f t="shared" si="107"/>
        <v>0</v>
      </c>
      <c r="V198">
        <v>0</v>
      </c>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row>
    <row r="199" spans="2:259" s="1" customFormat="1" ht="12.75" hidden="1" customHeight="1">
      <c r="B199" s="89"/>
      <c r="C199" s="80"/>
      <c r="D199" s="3"/>
      <c r="E199" s="3"/>
      <c r="F199" s="3"/>
      <c r="G199" s="2"/>
      <c r="H199" s="2"/>
      <c r="I199" s="2"/>
      <c r="J199" s="2"/>
      <c r="K199" s="2"/>
      <c r="L199" s="2"/>
      <c r="M199" s="2"/>
      <c r="N199" s="2"/>
      <c r="O199" s="2"/>
      <c r="P199" s="2"/>
      <c r="Q199" s="2"/>
      <c r="R199" s="2"/>
      <c r="S199" s="2"/>
      <c r="T199"/>
      <c r="U199" s="93">
        <f t="shared" ref="U199:U231" si="120">IF(NOT(ISBLANK(C199)), 1, 0)</f>
        <v>0</v>
      </c>
      <c r="V199">
        <v>0</v>
      </c>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88"/>
      <c r="CE199" s="88"/>
      <c r="CF199" s="88"/>
      <c r="CG199" s="88"/>
      <c r="CH199" s="88"/>
      <c r="CI199" s="88"/>
      <c r="CJ199" s="88"/>
      <c r="CK199" s="88"/>
      <c r="CL199" s="88"/>
      <c r="CM199" s="88"/>
      <c r="CN199" s="88"/>
      <c r="CO199" s="88"/>
      <c r="CP199" s="88"/>
      <c r="CQ199" s="88"/>
      <c r="CR199" s="88"/>
      <c r="CS199" s="88"/>
      <c r="CT199" s="88"/>
      <c r="CU199" s="88"/>
    </row>
    <row r="200" spans="2:259" ht="15" hidden="1">
      <c r="C200" s="80"/>
      <c r="G200" s="2"/>
      <c r="H200" s="2"/>
      <c r="I200" s="2"/>
      <c r="J200" s="2"/>
      <c r="K200" s="2"/>
      <c r="L200" s="2"/>
      <c r="M200" s="2"/>
      <c r="N200" s="2"/>
      <c r="O200" s="2"/>
      <c r="P200" s="2"/>
      <c r="Q200" s="2"/>
      <c r="R200" s="2"/>
      <c r="S200" s="2"/>
      <c r="T200"/>
      <c r="U200" s="93">
        <f t="shared" si="120"/>
        <v>0</v>
      </c>
      <c r="V200">
        <v>0</v>
      </c>
    </row>
    <row r="201" spans="2:259" ht="15" hidden="1">
      <c r="C201" s="80"/>
      <c r="G201" s="2"/>
      <c r="H201" s="2"/>
      <c r="I201" s="2"/>
      <c r="J201" s="2"/>
      <c r="K201" s="2"/>
      <c r="L201" s="2"/>
      <c r="M201" s="2"/>
      <c r="N201" s="2"/>
      <c r="O201" s="2"/>
      <c r="P201" s="2"/>
      <c r="Q201" s="2"/>
      <c r="R201" s="2"/>
      <c r="S201" s="2"/>
      <c r="T201"/>
      <c r="U201" s="93">
        <f t="shared" si="120"/>
        <v>0</v>
      </c>
      <c r="V201">
        <v>0</v>
      </c>
    </row>
    <row r="202" spans="2:259" ht="15" hidden="1">
      <c r="C202" s="80"/>
      <c r="G202" s="2"/>
      <c r="H202" s="2"/>
      <c r="I202" s="2"/>
      <c r="J202" s="2"/>
      <c r="K202" s="2"/>
      <c r="L202" s="2"/>
      <c r="M202" s="2"/>
      <c r="N202" s="2"/>
      <c r="O202" s="2"/>
      <c r="P202" s="2"/>
      <c r="Q202" s="2"/>
      <c r="R202" s="2"/>
      <c r="S202" s="2"/>
      <c r="T202"/>
      <c r="U202" s="93">
        <f t="shared" si="120"/>
        <v>0</v>
      </c>
      <c r="V202" s="2">
        <v>0</v>
      </c>
      <c r="CJ202" s="3"/>
      <c r="CK202" s="3"/>
      <c r="CL202" s="3"/>
      <c r="CM202" s="3"/>
      <c r="CN202" s="3"/>
      <c r="CO202" s="3"/>
      <c r="CP202" s="3"/>
      <c r="CQ202" s="3"/>
      <c r="CR202" s="3"/>
      <c r="CS202" s="3"/>
      <c r="CT202" s="3"/>
      <c r="CU202" s="3"/>
    </row>
    <row r="203" spans="2:259" ht="15" hidden="1">
      <c r="C203" s="80"/>
      <c r="G203" s="2"/>
      <c r="H203" s="2"/>
      <c r="I203" s="2"/>
      <c r="J203" s="2"/>
      <c r="K203" s="2"/>
      <c r="L203" s="2"/>
      <c r="M203" s="2"/>
      <c r="N203" s="2"/>
      <c r="O203" s="2"/>
      <c r="P203" s="2"/>
      <c r="Q203" s="2"/>
      <c r="R203" s="2"/>
      <c r="S203" s="2"/>
      <c r="T203"/>
      <c r="U203" s="93">
        <f t="shared" si="120"/>
        <v>0</v>
      </c>
      <c r="V203" s="2">
        <v>0</v>
      </c>
      <c r="CJ203" s="3"/>
      <c r="CK203" s="3"/>
      <c r="CL203" s="3"/>
      <c r="CM203" s="3"/>
      <c r="CN203" s="3"/>
      <c r="CO203" s="3"/>
      <c r="CP203" s="3"/>
      <c r="CQ203" s="3"/>
      <c r="CR203" s="3"/>
      <c r="CS203" s="3"/>
      <c r="CT203" s="3"/>
      <c r="CU203" s="3"/>
    </row>
    <row r="204" spans="2:259" ht="15" hidden="1">
      <c r="C204" s="80"/>
      <c r="G204" s="2"/>
      <c r="H204" s="2"/>
      <c r="I204" s="2"/>
      <c r="J204" s="2"/>
      <c r="K204" s="2"/>
      <c r="L204" s="2"/>
      <c r="M204" s="2"/>
      <c r="N204" s="2"/>
      <c r="O204" s="2"/>
      <c r="P204" s="2"/>
      <c r="Q204" s="2"/>
      <c r="R204" s="2"/>
      <c r="S204" s="2"/>
      <c r="T204"/>
      <c r="U204" s="93">
        <f t="shared" si="120"/>
        <v>0</v>
      </c>
      <c r="V204" s="2">
        <v>0</v>
      </c>
      <c r="CJ204" s="3"/>
      <c r="CK204" s="3"/>
      <c r="CL204" s="3"/>
      <c r="CM204" s="3"/>
      <c r="CN204" s="3"/>
      <c r="CO204" s="3"/>
      <c r="CP204" s="3"/>
      <c r="CQ204" s="3"/>
      <c r="CR204" s="3"/>
      <c r="CS204" s="3"/>
      <c r="CT204" s="3"/>
      <c r="CU204" s="3"/>
    </row>
    <row r="205" spans="2:259" ht="15" hidden="1">
      <c r="C205" s="80"/>
      <c r="G205" s="2"/>
      <c r="H205" s="2"/>
      <c r="I205" s="2"/>
      <c r="J205" s="2"/>
      <c r="K205" s="2"/>
      <c r="L205" s="2"/>
      <c r="M205" s="2"/>
      <c r="N205" s="2"/>
      <c r="O205" s="2"/>
      <c r="P205" s="2"/>
      <c r="Q205" s="2"/>
      <c r="R205" s="2"/>
      <c r="S205" s="2"/>
      <c r="T205"/>
      <c r="U205" s="93">
        <f t="shared" si="120"/>
        <v>0</v>
      </c>
      <c r="V205" s="2">
        <v>0</v>
      </c>
      <c r="CJ205" s="3"/>
      <c r="CK205" s="3"/>
      <c r="CL205" s="3"/>
      <c r="CM205" s="3"/>
      <c r="CN205" s="3"/>
      <c r="CO205" s="3"/>
      <c r="CP205" s="3"/>
      <c r="CQ205" s="3"/>
      <c r="CR205" s="3"/>
      <c r="CS205" s="3"/>
      <c r="CT205" s="3"/>
      <c r="CU205" s="3"/>
    </row>
    <row r="206" spans="2:259" ht="15" hidden="1">
      <c r="C206" s="80"/>
      <c r="G206" s="2"/>
      <c r="H206" s="2"/>
      <c r="I206" s="2"/>
      <c r="J206" s="2"/>
      <c r="K206" s="2"/>
      <c r="L206" s="2"/>
      <c r="M206" s="2"/>
      <c r="N206" s="2"/>
      <c r="O206" s="2"/>
      <c r="P206" s="2"/>
      <c r="Q206" s="2"/>
      <c r="R206" s="2"/>
      <c r="S206" s="2"/>
      <c r="T206"/>
      <c r="U206" s="93">
        <f t="shared" si="120"/>
        <v>0</v>
      </c>
      <c r="V206" s="2">
        <v>0</v>
      </c>
      <c r="CJ206" s="3"/>
      <c r="CK206" s="3"/>
      <c r="CL206" s="3"/>
      <c r="CM206" s="3"/>
      <c r="CN206" s="3"/>
      <c r="CO206" s="3"/>
      <c r="CP206" s="3"/>
      <c r="CQ206" s="3"/>
      <c r="CR206" s="3"/>
      <c r="CS206" s="3"/>
      <c r="CT206" s="3"/>
      <c r="CU206" s="3"/>
    </row>
    <row r="207" spans="2:259" ht="15" hidden="1">
      <c r="C207" s="80"/>
      <c r="G207" s="2"/>
      <c r="H207" s="2"/>
      <c r="I207" s="2"/>
      <c r="J207" s="2"/>
      <c r="K207" s="2"/>
      <c r="L207" s="2"/>
      <c r="M207" s="2"/>
      <c r="N207" s="2"/>
      <c r="O207" s="2"/>
      <c r="P207" s="2"/>
      <c r="Q207" s="2"/>
      <c r="R207" s="2"/>
      <c r="S207" s="2"/>
      <c r="T207"/>
      <c r="U207" s="93">
        <f t="shared" si="120"/>
        <v>0</v>
      </c>
      <c r="V207" s="2">
        <v>0</v>
      </c>
      <c r="CJ207" s="3"/>
      <c r="CK207" s="3"/>
      <c r="CL207" s="3"/>
      <c r="CM207" s="3"/>
      <c r="CN207" s="3"/>
      <c r="CO207" s="3"/>
      <c r="CP207" s="3"/>
      <c r="CQ207" s="3"/>
      <c r="CR207" s="3"/>
      <c r="CS207" s="3"/>
      <c r="CT207" s="3"/>
      <c r="CU207" s="3"/>
    </row>
    <row r="208" spans="2:259" ht="15" hidden="1">
      <c r="C208" s="80"/>
      <c r="G208" s="2"/>
      <c r="H208" s="2"/>
      <c r="I208" s="2"/>
      <c r="J208" s="2"/>
      <c r="K208" s="2"/>
      <c r="L208" s="2"/>
      <c r="M208" s="2"/>
      <c r="N208" s="2"/>
      <c r="O208" s="2"/>
      <c r="P208" s="2"/>
      <c r="Q208" s="2"/>
      <c r="R208" s="2"/>
      <c r="S208" s="2"/>
      <c r="T208"/>
      <c r="U208" s="93">
        <f t="shared" si="120"/>
        <v>0</v>
      </c>
      <c r="V208" s="2">
        <v>0</v>
      </c>
      <c r="CJ208" s="3"/>
      <c r="CK208" s="3"/>
      <c r="CL208" s="3"/>
      <c r="CM208" s="3"/>
      <c r="CN208" s="3"/>
      <c r="CO208" s="3"/>
      <c r="CP208" s="3"/>
      <c r="CQ208" s="3"/>
      <c r="CR208" s="3"/>
      <c r="CS208" s="3"/>
      <c r="CT208" s="3"/>
      <c r="CU208" s="3"/>
    </row>
    <row r="209" spans="20:99" ht="15" hidden="1">
      <c r="T209"/>
      <c r="U209" s="93">
        <f t="shared" si="120"/>
        <v>0</v>
      </c>
      <c r="V209" s="2">
        <v>0</v>
      </c>
    </row>
    <row r="210" spans="20:99" ht="15" hidden="1">
      <c r="T210"/>
      <c r="U210" s="93">
        <f t="shared" si="120"/>
        <v>0</v>
      </c>
      <c r="V210" s="2">
        <v>0</v>
      </c>
    </row>
    <row r="211" spans="20:99" ht="15" hidden="1">
      <c r="T211"/>
      <c r="U211" s="93">
        <f t="shared" si="120"/>
        <v>0</v>
      </c>
      <c r="V211" s="2">
        <v>0</v>
      </c>
    </row>
    <row r="212" spans="20:99" ht="15" hidden="1">
      <c r="T212"/>
      <c r="U212" s="93">
        <f t="shared" si="120"/>
        <v>0</v>
      </c>
      <c r="V212" s="2">
        <v>0</v>
      </c>
    </row>
    <row r="213" spans="20:99" ht="15" hidden="1">
      <c r="T213"/>
      <c r="U213" s="93">
        <f t="shared" si="120"/>
        <v>0</v>
      </c>
      <c r="V213" s="2">
        <v>0</v>
      </c>
    </row>
    <row r="214" spans="20:99" ht="15" hidden="1">
      <c r="T214"/>
      <c r="U214" s="93">
        <f t="shared" si="120"/>
        <v>0</v>
      </c>
      <c r="V214" s="2">
        <v>0</v>
      </c>
    </row>
    <row r="215" spans="20:99" ht="15" hidden="1">
      <c r="T215"/>
      <c r="U215" s="93">
        <f t="shared" si="120"/>
        <v>0</v>
      </c>
      <c r="V215" s="3">
        <v>0</v>
      </c>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row>
    <row r="216" spans="20:99" ht="15" hidden="1">
      <c r="T216"/>
      <c r="U216" s="93">
        <f t="shared" si="120"/>
        <v>0</v>
      </c>
      <c r="V216" s="3">
        <v>0</v>
      </c>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row>
    <row r="217" spans="20:99" ht="15" hidden="1">
      <c r="T217"/>
      <c r="U217" s="93">
        <f t="shared" si="120"/>
        <v>0</v>
      </c>
      <c r="V217" s="3">
        <v>0</v>
      </c>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row>
    <row r="218" spans="20:99" ht="15" hidden="1">
      <c r="T218"/>
      <c r="U218" s="93">
        <f t="shared" si="120"/>
        <v>0</v>
      </c>
      <c r="V218" s="3">
        <v>0</v>
      </c>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row>
    <row r="219" spans="20:99" ht="15" hidden="1">
      <c r="T219"/>
      <c r="U219" s="93">
        <f t="shared" si="120"/>
        <v>0</v>
      </c>
      <c r="V219" s="3">
        <v>0</v>
      </c>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row>
    <row r="220" spans="20:99" ht="15" hidden="1">
      <c r="T220"/>
      <c r="U220" s="93">
        <f t="shared" si="120"/>
        <v>0</v>
      </c>
      <c r="V220" s="3">
        <v>0</v>
      </c>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row>
    <row r="221" spans="20:99" ht="15" hidden="1">
      <c r="T221"/>
      <c r="U221" s="93">
        <f t="shared" si="120"/>
        <v>0</v>
      </c>
      <c r="V221" s="3">
        <v>0</v>
      </c>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row>
    <row r="222" spans="20:99" ht="15" hidden="1">
      <c r="T222"/>
      <c r="U222" s="93">
        <f t="shared" si="120"/>
        <v>0</v>
      </c>
      <c r="V222" s="3">
        <v>0</v>
      </c>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row>
    <row r="223" spans="20:99" ht="15" hidden="1">
      <c r="T223"/>
      <c r="U223" s="93">
        <f t="shared" si="120"/>
        <v>0</v>
      </c>
      <c r="V223" s="3">
        <v>0</v>
      </c>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row>
    <row r="224" spans="20:99" ht="15" hidden="1">
      <c r="T224"/>
      <c r="U224" s="93">
        <f t="shared" si="120"/>
        <v>0</v>
      </c>
      <c r="V224" s="3">
        <v>0</v>
      </c>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row>
    <row r="225" spans="12:99" ht="15" hidden="1">
      <c r="L225" s="3" t="e">
        <f>'DCF - Assumptions'!#REF!*'DCF - Financials'!L11</f>
        <v>#REF!</v>
      </c>
      <c r="T225"/>
      <c r="U225" s="93">
        <f t="shared" si="120"/>
        <v>0</v>
      </c>
      <c r="V225" s="3">
        <v>0</v>
      </c>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row>
    <row r="226" spans="12:99" ht="15" hidden="1">
      <c r="T226"/>
      <c r="U226" s="93">
        <f t="shared" si="120"/>
        <v>0</v>
      </c>
      <c r="V226" s="3">
        <v>0</v>
      </c>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row>
    <row r="227" spans="12:99" ht="15" hidden="1">
      <c r="L227" s="3">
        <v>1744</v>
      </c>
      <c r="T227"/>
      <c r="U227" s="93">
        <f t="shared" si="120"/>
        <v>0</v>
      </c>
      <c r="V227" s="3">
        <v>0</v>
      </c>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row>
    <row r="228" spans="12:99" ht="15" hidden="1">
      <c r="L228" s="3">
        <f>$K$228</f>
        <v>0</v>
      </c>
      <c r="M228" s="3">
        <f>$K$228</f>
        <v>0</v>
      </c>
      <c r="T228"/>
      <c r="U228" s="93">
        <f t="shared" si="120"/>
        <v>0</v>
      </c>
      <c r="V228" s="3">
        <v>0</v>
      </c>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row>
    <row r="229" spans="12:99" ht="15" hidden="1">
      <c r="M229" s="86" t="e">
        <f>L229+#REF!</f>
        <v>#REF!</v>
      </c>
      <c r="T229"/>
      <c r="U229" s="93">
        <f t="shared" si="120"/>
        <v>0</v>
      </c>
      <c r="V229" s="3">
        <v>0</v>
      </c>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row>
    <row r="230" spans="12:99" ht="15" hidden="1">
      <c r="L230" s="6" t="e">
        <f>K230+#REF!</f>
        <v>#REF!</v>
      </c>
      <c r="M230" s="6" t="e">
        <f>L230</f>
        <v>#REF!</v>
      </c>
      <c r="T230"/>
      <c r="U230" s="93">
        <f t="shared" si="120"/>
        <v>0</v>
      </c>
      <c r="V230" s="3">
        <v>0</v>
      </c>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row>
    <row r="231" spans="12:99" ht="15" hidden="1">
      <c r="T231"/>
      <c r="U231" s="93">
        <f t="shared" si="120"/>
        <v>0</v>
      </c>
      <c r="V231" s="3">
        <v>0</v>
      </c>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row>
    <row r="232" spans="12:99" ht="15" hidden="1">
      <c r="T232"/>
      <c r="U232" s="93">
        <f t="shared" ref="U232:U295" si="121">IF(NOT(ISBLANK(C232)), 1, 0)</f>
        <v>0</v>
      </c>
      <c r="V232" s="3">
        <v>0</v>
      </c>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row>
    <row r="233" spans="12:99" ht="15" hidden="1">
      <c r="T233"/>
      <c r="U233" s="93">
        <f t="shared" si="121"/>
        <v>0</v>
      </c>
      <c r="V233" s="3">
        <v>0</v>
      </c>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row>
    <row r="234" spans="12:99" ht="15" hidden="1">
      <c r="T234"/>
      <c r="U234" s="93">
        <f t="shared" si="121"/>
        <v>0</v>
      </c>
      <c r="V234" s="3">
        <v>0</v>
      </c>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row>
    <row r="235" spans="12:99" ht="15" hidden="1">
      <c r="T235"/>
      <c r="U235" s="93">
        <f t="shared" si="121"/>
        <v>0</v>
      </c>
      <c r="V235" s="3">
        <v>0</v>
      </c>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row>
    <row r="236" spans="12:99" ht="15" hidden="1">
      <c r="T236"/>
      <c r="U236" s="93">
        <f t="shared" si="121"/>
        <v>0</v>
      </c>
      <c r="V236" s="3">
        <v>0</v>
      </c>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row>
    <row r="237" spans="12:99" ht="15" hidden="1">
      <c r="T237"/>
      <c r="U237" s="93">
        <f t="shared" si="121"/>
        <v>0</v>
      </c>
      <c r="V237" s="3">
        <v>0</v>
      </c>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row>
    <row r="238" spans="12:99" ht="15" hidden="1">
      <c r="T238"/>
      <c r="U238" s="93">
        <f t="shared" si="121"/>
        <v>0</v>
      </c>
      <c r="V238" s="3">
        <v>0</v>
      </c>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row>
    <row r="239" spans="12:99" ht="15" hidden="1">
      <c r="T239"/>
      <c r="U239" s="93">
        <f t="shared" si="121"/>
        <v>0</v>
      </c>
      <c r="V239" s="3">
        <v>0</v>
      </c>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row>
    <row r="240" spans="12:99" ht="15" hidden="1">
      <c r="T240"/>
      <c r="U240" s="93">
        <f t="shared" si="121"/>
        <v>0</v>
      </c>
      <c r="V240" s="3">
        <v>0</v>
      </c>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row>
    <row r="241" spans="20:99" ht="15" hidden="1">
      <c r="T241"/>
      <c r="U241" s="93">
        <f t="shared" si="121"/>
        <v>0</v>
      </c>
      <c r="V241" s="3">
        <v>0</v>
      </c>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row>
    <row r="242" spans="20:99" ht="15" hidden="1">
      <c r="T242"/>
      <c r="U242" s="93">
        <f t="shared" si="121"/>
        <v>0</v>
      </c>
      <c r="V242" s="3">
        <v>0</v>
      </c>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row>
    <row r="243" spans="20:99" ht="15" hidden="1">
      <c r="T243"/>
      <c r="U243" s="93">
        <f t="shared" si="121"/>
        <v>0</v>
      </c>
      <c r="V243" s="3">
        <v>0</v>
      </c>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row>
    <row r="244" spans="20:99" ht="15" hidden="1">
      <c r="T244"/>
      <c r="U244" s="93">
        <f t="shared" si="121"/>
        <v>0</v>
      </c>
      <c r="V244" s="3">
        <v>0</v>
      </c>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row>
    <row r="245" spans="20:99" ht="15" hidden="1">
      <c r="T245"/>
      <c r="U245" s="93">
        <f t="shared" si="121"/>
        <v>0</v>
      </c>
      <c r="V245" s="3">
        <v>0</v>
      </c>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row>
    <row r="246" spans="20:99" ht="15" hidden="1">
      <c r="T246"/>
      <c r="U246" s="93">
        <f t="shared" si="121"/>
        <v>0</v>
      </c>
      <c r="V246" s="3">
        <v>0</v>
      </c>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row>
    <row r="247" spans="20:99" ht="15" hidden="1">
      <c r="T247"/>
      <c r="U247" s="93">
        <f t="shared" si="121"/>
        <v>0</v>
      </c>
      <c r="V247" s="3">
        <v>0</v>
      </c>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row>
    <row r="248" spans="20:99" ht="15" hidden="1">
      <c r="T248"/>
      <c r="U248" s="93">
        <f t="shared" si="121"/>
        <v>0</v>
      </c>
      <c r="V248" s="3">
        <v>0</v>
      </c>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row>
    <row r="249" spans="20:99" ht="15" hidden="1">
      <c r="T249"/>
      <c r="U249" s="93">
        <f t="shared" si="121"/>
        <v>0</v>
      </c>
      <c r="V249" s="3">
        <v>0</v>
      </c>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row>
    <row r="250" spans="20:99" ht="15" hidden="1">
      <c r="T250"/>
      <c r="U250" s="93">
        <f t="shared" si="121"/>
        <v>0</v>
      </c>
      <c r="V250" s="3">
        <v>0</v>
      </c>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row>
    <row r="251" spans="20:99" ht="15" hidden="1">
      <c r="T251"/>
      <c r="U251" s="93">
        <f t="shared" si="121"/>
        <v>0</v>
      </c>
      <c r="V251" s="3">
        <v>0</v>
      </c>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row>
    <row r="252" spans="20:99" ht="15" hidden="1">
      <c r="T252"/>
      <c r="U252" s="93">
        <f t="shared" si="121"/>
        <v>0</v>
      </c>
      <c r="V252" s="3">
        <v>0</v>
      </c>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row>
    <row r="253" spans="20:99" ht="15" hidden="1">
      <c r="T253"/>
      <c r="U253" s="93">
        <f t="shared" si="121"/>
        <v>0</v>
      </c>
      <c r="V253" s="3">
        <v>0</v>
      </c>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row>
    <row r="254" spans="20:99" ht="15" hidden="1">
      <c r="T254"/>
      <c r="U254" s="93">
        <f t="shared" si="121"/>
        <v>0</v>
      </c>
      <c r="V254" s="3">
        <v>0</v>
      </c>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row>
    <row r="255" spans="20:99" ht="15" hidden="1">
      <c r="T255"/>
      <c r="U255" s="93">
        <f t="shared" si="121"/>
        <v>0</v>
      </c>
      <c r="V255" s="3">
        <v>0</v>
      </c>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row>
    <row r="256" spans="20:99" ht="15" hidden="1">
      <c r="T256"/>
      <c r="U256" s="93">
        <f t="shared" si="121"/>
        <v>0</v>
      </c>
      <c r="V256" s="2">
        <v>0</v>
      </c>
    </row>
    <row r="257" spans="20:22" ht="15" hidden="1">
      <c r="T257"/>
      <c r="U257" s="93">
        <f t="shared" si="121"/>
        <v>0</v>
      </c>
      <c r="V257" s="2">
        <v>0</v>
      </c>
    </row>
    <row r="258" spans="20:22" ht="15" hidden="1">
      <c r="T258"/>
      <c r="U258" s="93">
        <f t="shared" si="121"/>
        <v>0</v>
      </c>
      <c r="V258" s="2">
        <v>0</v>
      </c>
    </row>
    <row r="259" spans="20:22" ht="15" hidden="1">
      <c r="T259"/>
      <c r="U259" s="93">
        <f t="shared" si="121"/>
        <v>0</v>
      </c>
      <c r="V259" s="2">
        <v>0</v>
      </c>
    </row>
    <row r="260" spans="20:22" ht="15" hidden="1">
      <c r="T260"/>
      <c r="U260" s="93">
        <f t="shared" si="121"/>
        <v>0</v>
      </c>
      <c r="V260" s="2">
        <v>0</v>
      </c>
    </row>
    <row r="261" spans="20:22" ht="15" hidden="1">
      <c r="T261"/>
      <c r="U261" s="93">
        <f t="shared" si="121"/>
        <v>0</v>
      </c>
      <c r="V261" s="2">
        <v>0</v>
      </c>
    </row>
    <row r="262" spans="20:22" ht="15" hidden="1">
      <c r="T262"/>
      <c r="U262" s="93">
        <f t="shared" si="121"/>
        <v>0</v>
      </c>
      <c r="V262" s="2">
        <v>0</v>
      </c>
    </row>
    <row r="263" spans="20:22" ht="15" hidden="1">
      <c r="T263"/>
      <c r="U263" s="93">
        <f t="shared" si="121"/>
        <v>0</v>
      </c>
      <c r="V263" s="2">
        <v>0</v>
      </c>
    </row>
    <row r="264" spans="20:22" ht="15" hidden="1">
      <c r="T264"/>
      <c r="U264" s="93">
        <f t="shared" si="121"/>
        <v>0</v>
      </c>
      <c r="V264" s="2">
        <v>0</v>
      </c>
    </row>
    <row r="265" spans="20:22" ht="15" hidden="1">
      <c r="T265"/>
      <c r="U265" s="93">
        <f t="shared" si="121"/>
        <v>0</v>
      </c>
      <c r="V265" s="2">
        <v>0</v>
      </c>
    </row>
    <row r="266" spans="20:22" ht="15" hidden="1">
      <c r="T266"/>
      <c r="U266" s="93">
        <f t="shared" si="121"/>
        <v>0</v>
      </c>
      <c r="V266" s="2">
        <v>0</v>
      </c>
    </row>
    <row r="267" spans="20:22" ht="15" hidden="1">
      <c r="T267"/>
      <c r="U267" s="93">
        <f t="shared" si="121"/>
        <v>0</v>
      </c>
      <c r="V267" s="2">
        <v>0</v>
      </c>
    </row>
    <row r="268" spans="20:22" ht="15" hidden="1">
      <c r="T268"/>
      <c r="U268" s="93">
        <f t="shared" si="121"/>
        <v>0</v>
      </c>
      <c r="V268" s="2">
        <v>0</v>
      </c>
    </row>
    <row r="269" spans="20:22" ht="15" hidden="1">
      <c r="T269"/>
      <c r="U269" s="93">
        <f t="shared" si="121"/>
        <v>0</v>
      </c>
      <c r="V269" s="2">
        <v>0</v>
      </c>
    </row>
    <row r="270" spans="20:22" ht="15" hidden="1">
      <c r="T270"/>
      <c r="U270" s="93">
        <f t="shared" si="121"/>
        <v>0</v>
      </c>
      <c r="V270" s="2">
        <v>0</v>
      </c>
    </row>
    <row r="271" spans="20:22" ht="15" hidden="1">
      <c r="T271"/>
      <c r="U271" s="93">
        <f t="shared" si="121"/>
        <v>0</v>
      </c>
      <c r="V271" s="2">
        <v>0</v>
      </c>
    </row>
    <row r="272" spans="20:22" ht="15" hidden="1">
      <c r="T272"/>
      <c r="U272" s="93">
        <f t="shared" si="121"/>
        <v>0</v>
      </c>
      <c r="V272" s="2">
        <v>0</v>
      </c>
    </row>
    <row r="273" spans="20:22" ht="15" hidden="1">
      <c r="T273"/>
      <c r="U273" s="93">
        <f t="shared" si="121"/>
        <v>0</v>
      </c>
      <c r="V273" s="2">
        <v>0</v>
      </c>
    </row>
    <row r="274" spans="20:22" ht="15" hidden="1">
      <c r="T274"/>
      <c r="U274" s="93">
        <f t="shared" si="121"/>
        <v>0</v>
      </c>
      <c r="V274" s="2">
        <v>0</v>
      </c>
    </row>
    <row r="275" spans="20:22" ht="15" hidden="1">
      <c r="T275"/>
      <c r="U275" s="93">
        <f t="shared" si="121"/>
        <v>0</v>
      </c>
      <c r="V275" s="2">
        <v>0</v>
      </c>
    </row>
    <row r="276" spans="20:22" ht="15" hidden="1">
      <c r="T276"/>
      <c r="U276" s="93">
        <f t="shared" si="121"/>
        <v>0</v>
      </c>
      <c r="V276" s="2">
        <v>0</v>
      </c>
    </row>
    <row r="277" spans="20:22" ht="15" hidden="1">
      <c r="T277"/>
      <c r="U277" s="93">
        <f t="shared" si="121"/>
        <v>0</v>
      </c>
      <c r="V277" s="2">
        <v>0</v>
      </c>
    </row>
    <row r="278" spans="20:22" ht="15" hidden="1">
      <c r="T278"/>
      <c r="U278" s="93">
        <f t="shared" si="121"/>
        <v>0</v>
      </c>
      <c r="V278" s="2">
        <v>0</v>
      </c>
    </row>
    <row r="279" spans="20:22" ht="15" hidden="1">
      <c r="T279"/>
      <c r="U279" s="93">
        <f t="shared" si="121"/>
        <v>0</v>
      </c>
      <c r="V279" s="2">
        <v>0</v>
      </c>
    </row>
    <row r="280" spans="20:22" ht="15" hidden="1">
      <c r="T280"/>
      <c r="U280" s="93">
        <f t="shared" si="121"/>
        <v>0</v>
      </c>
      <c r="V280" s="2">
        <v>0</v>
      </c>
    </row>
    <row r="281" spans="20:22" ht="15" hidden="1">
      <c r="T281"/>
      <c r="U281" s="93">
        <f t="shared" si="121"/>
        <v>0</v>
      </c>
      <c r="V281" s="2">
        <v>0</v>
      </c>
    </row>
    <row r="282" spans="20:22" ht="15" hidden="1">
      <c r="T282"/>
      <c r="U282" s="93">
        <f t="shared" si="121"/>
        <v>0</v>
      </c>
      <c r="V282" s="2">
        <v>0</v>
      </c>
    </row>
    <row r="283" spans="20:22" ht="15" hidden="1">
      <c r="T283"/>
      <c r="U283" s="93">
        <f t="shared" si="121"/>
        <v>0</v>
      </c>
      <c r="V283" s="2">
        <v>0</v>
      </c>
    </row>
    <row r="284" spans="20:22" ht="15" hidden="1">
      <c r="T284"/>
      <c r="U284" s="93">
        <f t="shared" si="121"/>
        <v>0</v>
      </c>
      <c r="V284" s="2">
        <v>0</v>
      </c>
    </row>
    <row r="285" spans="20:22" ht="15" hidden="1">
      <c r="T285"/>
      <c r="U285" s="93">
        <f t="shared" si="121"/>
        <v>0</v>
      </c>
      <c r="V285" s="2">
        <v>0</v>
      </c>
    </row>
    <row r="286" spans="20:22" ht="15" hidden="1">
      <c r="T286"/>
      <c r="U286" s="93">
        <f t="shared" si="121"/>
        <v>0</v>
      </c>
      <c r="V286" s="2">
        <v>0</v>
      </c>
    </row>
    <row r="287" spans="20:22" ht="15" hidden="1">
      <c r="T287"/>
      <c r="U287" s="93">
        <f t="shared" si="121"/>
        <v>0</v>
      </c>
      <c r="V287" s="2">
        <v>0</v>
      </c>
    </row>
    <row r="288" spans="20:22" ht="15" hidden="1">
      <c r="T288"/>
      <c r="U288" s="93">
        <f t="shared" si="121"/>
        <v>0</v>
      </c>
      <c r="V288" s="2">
        <v>0</v>
      </c>
    </row>
    <row r="289" spans="20:22" ht="15" hidden="1">
      <c r="T289"/>
      <c r="U289" s="93">
        <f t="shared" si="121"/>
        <v>0</v>
      </c>
      <c r="V289" s="2">
        <v>0</v>
      </c>
    </row>
    <row r="290" spans="20:22" ht="15" hidden="1">
      <c r="T290"/>
      <c r="U290" s="93">
        <f t="shared" si="121"/>
        <v>0</v>
      </c>
      <c r="V290" s="2">
        <v>0</v>
      </c>
    </row>
    <row r="291" spans="20:22" ht="15" hidden="1">
      <c r="T291"/>
      <c r="U291" s="93">
        <f t="shared" si="121"/>
        <v>0</v>
      </c>
      <c r="V291" s="2">
        <v>0</v>
      </c>
    </row>
    <row r="292" spans="20:22" ht="15" hidden="1">
      <c r="T292"/>
      <c r="U292" s="93">
        <f t="shared" si="121"/>
        <v>0</v>
      </c>
      <c r="V292" s="2">
        <v>0</v>
      </c>
    </row>
    <row r="293" spans="20:22" ht="15" hidden="1">
      <c r="T293"/>
      <c r="U293" s="93">
        <f t="shared" si="121"/>
        <v>0</v>
      </c>
      <c r="V293" s="2">
        <v>0</v>
      </c>
    </row>
    <row r="294" spans="20:22" ht="15" hidden="1">
      <c r="T294"/>
      <c r="U294" s="93">
        <f t="shared" si="121"/>
        <v>0</v>
      </c>
      <c r="V294" s="2">
        <v>0</v>
      </c>
    </row>
    <row r="295" spans="20:22" ht="15" hidden="1">
      <c r="T295"/>
      <c r="U295" s="93">
        <f t="shared" si="121"/>
        <v>0</v>
      </c>
      <c r="V295" s="2">
        <v>0</v>
      </c>
    </row>
    <row r="296" spans="20:22" ht="15" hidden="1">
      <c r="T296"/>
      <c r="U296" s="93">
        <f t="shared" ref="U296:U359" si="122">IF(NOT(ISBLANK(C296)), 1, 0)</f>
        <v>0</v>
      </c>
      <c r="V296" s="2">
        <v>0</v>
      </c>
    </row>
    <row r="297" spans="20:22" ht="15" hidden="1">
      <c r="T297"/>
      <c r="U297" s="93">
        <f t="shared" si="122"/>
        <v>0</v>
      </c>
      <c r="V297" s="2">
        <v>0</v>
      </c>
    </row>
    <row r="298" spans="20:22" ht="15" hidden="1">
      <c r="T298"/>
      <c r="U298" s="93">
        <f t="shared" si="122"/>
        <v>0</v>
      </c>
      <c r="V298" s="2">
        <v>0</v>
      </c>
    </row>
    <row r="299" spans="20:22" ht="15" hidden="1">
      <c r="T299"/>
      <c r="U299" s="93">
        <f t="shared" si="122"/>
        <v>0</v>
      </c>
      <c r="V299" s="2">
        <v>0</v>
      </c>
    </row>
    <row r="300" spans="20:22" ht="15" hidden="1">
      <c r="T300"/>
      <c r="U300" s="93">
        <f t="shared" si="122"/>
        <v>0</v>
      </c>
      <c r="V300" s="2">
        <v>0</v>
      </c>
    </row>
    <row r="301" spans="20:22" ht="15" hidden="1">
      <c r="T301"/>
      <c r="U301" s="93">
        <f t="shared" si="122"/>
        <v>0</v>
      </c>
      <c r="V301" s="2">
        <v>0</v>
      </c>
    </row>
    <row r="302" spans="20:22" ht="15" hidden="1">
      <c r="T302"/>
      <c r="U302" s="93">
        <f t="shared" si="122"/>
        <v>0</v>
      </c>
      <c r="V302" s="2">
        <v>0</v>
      </c>
    </row>
    <row r="303" spans="20:22" ht="15" hidden="1">
      <c r="T303"/>
      <c r="U303" s="93">
        <f t="shared" si="122"/>
        <v>0</v>
      </c>
      <c r="V303" s="2">
        <v>0</v>
      </c>
    </row>
    <row r="304" spans="20:22" ht="15" hidden="1">
      <c r="T304"/>
      <c r="U304" s="93">
        <f t="shared" si="122"/>
        <v>0</v>
      </c>
      <c r="V304" s="2">
        <v>0</v>
      </c>
    </row>
    <row r="305" spans="20:22" ht="15" hidden="1">
      <c r="T305"/>
      <c r="U305" s="93">
        <f t="shared" si="122"/>
        <v>0</v>
      </c>
      <c r="V305" s="2">
        <v>0</v>
      </c>
    </row>
    <row r="306" spans="20:22" ht="15" hidden="1">
      <c r="T306"/>
      <c r="U306" s="93">
        <f t="shared" si="122"/>
        <v>0</v>
      </c>
      <c r="V306" s="2">
        <v>0</v>
      </c>
    </row>
    <row r="307" spans="20:22" ht="15" hidden="1">
      <c r="T307"/>
      <c r="U307" s="93">
        <f t="shared" si="122"/>
        <v>0</v>
      </c>
      <c r="V307" s="2">
        <v>0</v>
      </c>
    </row>
    <row r="308" spans="20:22" ht="15" hidden="1">
      <c r="T308"/>
      <c r="U308" s="93">
        <f t="shared" si="122"/>
        <v>0</v>
      </c>
      <c r="V308" s="2">
        <v>0</v>
      </c>
    </row>
    <row r="309" spans="20:22" ht="15" hidden="1">
      <c r="T309"/>
      <c r="U309" s="93">
        <f t="shared" si="122"/>
        <v>0</v>
      </c>
      <c r="V309" s="2">
        <v>0</v>
      </c>
    </row>
    <row r="310" spans="20:22" ht="15" hidden="1">
      <c r="T310"/>
      <c r="U310" s="93">
        <f t="shared" si="122"/>
        <v>0</v>
      </c>
      <c r="V310" s="2">
        <v>0</v>
      </c>
    </row>
    <row r="311" spans="20:22" ht="15" hidden="1">
      <c r="T311"/>
      <c r="U311" s="93">
        <f t="shared" si="122"/>
        <v>0</v>
      </c>
      <c r="V311" s="2">
        <v>0</v>
      </c>
    </row>
    <row r="312" spans="20:22" ht="15" hidden="1">
      <c r="T312"/>
      <c r="U312" s="93">
        <f t="shared" si="122"/>
        <v>0</v>
      </c>
      <c r="V312" s="2">
        <v>0</v>
      </c>
    </row>
    <row r="313" spans="20:22" ht="15" hidden="1">
      <c r="T313"/>
      <c r="U313" s="93">
        <f t="shared" si="122"/>
        <v>0</v>
      </c>
      <c r="V313" s="2">
        <v>0</v>
      </c>
    </row>
    <row r="314" spans="20:22" ht="15" hidden="1">
      <c r="T314"/>
      <c r="U314" s="93">
        <f t="shared" si="122"/>
        <v>0</v>
      </c>
      <c r="V314" s="2">
        <v>0</v>
      </c>
    </row>
    <row r="315" spans="20:22" ht="15" hidden="1">
      <c r="T315"/>
      <c r="U315" s="93">
        <f t="shared" si="122"/>
        <v>0</v>
      </c>
      <c r="V315" s="2">
        <v>0</v>
      </c>
    </row>
    <row r="316" spans="20:22" ht="15" hidden="1">
      <c r="T316"/>
      <c r="U316" s="93">
        <f t="shared" si="122"/>
        <v>0</v>
      </c>
      <c r="V316" s="2">
        <v>0</v>
      </c>
    </row>
    <row r="317" spans="20:22" ht="15" hidden="1">
      <c r="T317"/>
      <c r="U317" s="93">
        <f t="shared" si="122"/>
        <v>0</v>
      </c>
      <c r="V317" s="2">
        <v>0</v>
      </c>
    </row>
    <row r="318" spans="20:22" ht="15" hidden="1">
      <c r="T318"/>
      <c r="U318" s="93">
        <f t="shared" si="122"/>
        <v>0</v>
      </c>
      <c r="V318" s="2">
        <v>0</v>
      </c>
    </row>
    <row r="319" spans="20:22" ht="15" hidden="1">
      <c r="T319"/>
      <c r="U319" s="93">
        <f t="shared" si="122"/>
        <v>0</v>
      </c>
      <c r="V319" s="2">
        <v>0</v>
      </c>
    </row>
    <row r="320" spans="20:22" ht="15" hidden="1">
      <c r="T320"/>
      <c r="U320" s="93">
        <f t="shared" si="122"/>
        <v>0</v>
      </c>
      <c r="V320" s="2">
        <v>0</v>
      </c>
    </row>
    <row r="321" spans="20:22" ht="15" hidden="1">
      <c r="T321"/>
      <c r="U321" s="93">
        <f t="shared" si="122"/>
        <v>0</v>
      </c>
      <c r="V321" s="2">
        <v>0</v>
      </c>
    </row>
    <row r="322" spans="20:22" ht="15" hidden="1">
      <c r="T322"/>
      <c r="U322" s="93">
        <f t="shared" si="122"/>
        <v>0</v>
      </c>
      <c r="V322" s="2">
        <v>0</v>
      </c>
    </row>
    <row r="323" spans="20:22" ht="15" hidden="1">
      <c r="T323"/>
      <c r="U323" s="93">
        <f t="shared" si="122"/>
        <v>0</v>
      </c>
      <c r="V323" s="2">
        <v>0</v>
      </c>
    </row>
    <row r="324" spans="20:22" ht="15" hidden="1">
      <c r="T324"/>
      <c r="U324" s="93">
        <f t="shared" si="122"/>
        <v>0</v>
      </c>
      <c r="V324" s="2">
        <v>0</v>
      </c>
    </row>
    <row r="325" spans="20:22" ht="15" hidden="1">
      <c r="T325"/>
      <c r="U325" s="93">
        <f t="shared" si="122"/>
        <v>0</v>
      </c>
      <c r="V325" s="2">
        <v>0</v>
      </c>
    </row>
    <row r="326" spans="20:22" ht="15" hidden="1">
      <c r="T326"/>
      <c r="U326" s="93">
        <f t="shared" si="122"/>
        <v>0</v>
      </c>
      <c r="V326" s="2">
        <v>0</v>
      </c>
    </row>
    <row r="327" spans="20:22" ht="15" hidden="1">
      <c r="T327"/>
      <c r="U327" s="93">
        <f t="shared" si="122"/>
        <v>0</v>
      </c>
      <c r="V327" s="2">
        <v>0</v>
      </c>
    </row>
    <row r="328" spans="20:22" ht="15" hidden="1">
      <c r="T328"/>
      <c r="U328" s="93">
        <f t="shared" si="122"/>
        <v>0</v>
      </c>
      <c r="V328" s="2">
        <v>0</v>
      </c>
    </row>
    <row r="329" spans="20:22" ht="15" hidden="1">
      <c r="T329"/>
      <c r="U329" s="93">
        <f t="shared" si="122"/>
        <v>0</v>
      </c>
      <c r="V329" s="2">
        <v>0</v>
      </c>
    </row>
    <row r="330" spans="20:22" ht="15" hidden="1">
      <c r="T330"/>
      <c r="U330" s="93">
        <f t="shared" si="122"/>
        <v>0</v>
      </c>
      <c r="V330" s="2">
        <v>0</v>
      </c>
    </row>
    <row r="331" spans="20:22" ht="15" hidden="1">
      <c r="T331"/>
      <c r="U331" s="93">
        <f t="shared" si="122"/>
        <v>0</v>
      </c>
      <c r="V331" s="2">
        <v>0</v>
      </c>
    </row>
    <row r="332" spans="20:22" ht="15" hidden="1">
      <c r="T332"/>
      <c r="U332" s="93">
        <f t="shared" si="122"/>
        <v>0</v>
      </c>
      <c r="V332" s="2">
        <v>0</v>
      </c>
    </row>
    <row r="333" spans="20:22" ht="15" hidden="1">
      <c r="T333"/>
      <c r="U333" s="93">
        <f t="shared" si="122"/>
        <v>0</v>
      </c>
      <c r="V333" s="2">
        <v>0</v>
      </c>
    </row>
    <row r="334" spans="20:22" ht="15" hidden="1">
      <c r="T334"/>
      <c r="U334" s="93">
        <f t="shared" si="122"/>
        <v>0</v>
      </c>
      <c r="V334" s="2">
        <v>0</v>
      </c>
    </row>
    <row r="335" spans="20:22" ht="15" hidden="1">
      <c r="T335"/>
      <c r="U335" s="93">
        <f t="shared" si="122"/>
        <v>0</v>
      </c>
      <c r="V335" s="2">
        <v>0</v>
      </c>
    </row>
    <row r="336" spans="20:22" ht="15" hidden="1">
      <c r="T336"/>
      <c r="U336" s="93">
        <f t="shared" si="122"/>
        <v>0</v>
      </c>
      <c r="V336" s="2">
        <v>0</v>
      </c>
    </row>
    <row r="337" spans="20:22" ht="15" hidden="1">
      <c r="T337"/>
      <c r="U337" s="93">
        <f t="shared" si="122"/>
        <v>0</v>
      </c>
      <c r="V337" s="2">
        <v>0</v>
      </c>
    </row>
    <row r="338" spans="20:22" ht="15" hidden="1">
      <c r="T338"/>
      <c r="U338" s="93">
        <f t="shared" si="122"/>
        <v>0</v>
      </c>
      <c r="V338" s="2">
        <v>0</v>
      </c>
    </row>
    <row r="339" spans="20:22" ht="15" hidden="1">
      <c r="T339"/>
      <c r="U339" s="93">
        <f t="shared" si="122"/>
        <v>0</v>
      </c>
      <c r="V339" s="2">
        <v>0</v>
      </c>
    </row>
    <row r="340" spans="20:22" ht="15" hidden="1">
      <c r="T340"/>
      <c r="U340" s="93">
        <f t="shared" si="122"/>
        <v>0</v>
      </c>
      <c r="V340" s="2">
        <v>0</v>
      </c>
    </row>
    <row r="341" spans="20:22" ht="15" hidden="1">
      <c r="T341"/>
      <c r="U341" s="93">
        <f t="shared" si="122"/>
        <v>0</v>
      </c>
      <c r="V341" s="2">
        <v>0</v>
      </c>
    </row>
    <row r="342" spans="20:22" ht="15" hidden="1">
      <c r="T342"/>
      <c r="U342" s="93">
        <f t="shared" si="122"/>
        <v>0</v>
      </c>
      <c r="V342" s="2">
        <v>0</v>
      </c>
    </row>
    <row r="343" spans="20:22" ht="15" hidden="1">
      <c r="T343"/>
      <c r="U343" s="93">
        <f t="shared" si="122"/>
        <v>0</v>
      </c>
      <c r="V343" s="2">
        <v>0</v>
      </c>
    </row>
    <row r="344" spans="20:22" ht="15" hidden="1">
      <c r="T344"/>
      <c r="U344" s="93">
        <f t="shared" si="122"/>
        <v>0</v>
      </c>
      <c r="V344" s="2">
        <v>0</v>
      </c>
    </row>
    <row r="345" spans="20:22" ht="15" hidden="1">
      <c r="T345"/>
      <c r="U345" s="93">
        <f t="shared" si="122"/>
        <v>0</v>
      </c>
      <c r="V345" s="2">
        <v>0</v>
      </c>
    </row>
    <row r="346" spans="20:22" ht="15" hidden="1">
      <c r="T346"/>
      <c r="U346" s="93">
        <f t="shared" si="122"/>
        <v>0</v>
      </c>
      <c r="V346" s="2">
        <v>0</v>
      </c>
    </row>
    <row r="347" spans="20:22" ht="15" hidden="1">
      <c r="T347"/>
      <c r="U347" s="93">
        <f t="shared" si="122"/>
        <v>0</v>
      </c>
      <c r="V347" s="2">
        <v>0</v>
      </c>
    </row>
    <row r="348" spans="20:22" ht="15" hidden="1">
      <c r="T348"/>
      <c r="U348" s="93">
        <f t="shared" si="122"/>
        <v>0</v>
      </c>
      <c r="V348" s="2">
        <v>0</v>
      </c>
    </row>
    <row r="349" spans="20:22" ht="15" hidden="1">
      <c r="T349"/>
      <c r="U349" s="93">
        <f t="shared" si="122"/>
        <v>0</v>
      </c>
      <c r="V349" s="2">
        <v>0</v>
      </c>
    </row>
    <row r="350" spans="20:22" ht="15" hidden="1">
      <c r="T350"/>
      <c r="U350" s="93">
        <f t="shared" si="122"/>
        <v>0</v>
      </c>
      <c r="V350" s="2">
        <v>0</v>
      </c>
    </row>
    <row r="351" spans="20:22" ht="15" hidden="1">
      <c r="T351"/>
      <c r="U351" s="93">
        <f t="shared" si="122"/>
        <v>0</v>
      </c>
      <c r="V351" s="2">
        <v>0</v>
      </c>
    </row>
    <row r="352" spans="20:22" ht="15" hidden="1">
      <c r="T352"/>
      <c r="U352" s="93">
        <f t="shared" si="122"/>
        <v>0</v>
      </c>
      <c r="V352" s="2">
        <v>0</v>
      </c>
    </row>
    <row r="353" spans="20:22" ht="15" hidden="1">
      <c r="T353"/>
      <c r="U353" s="93">
        <f t="shared" si="122"/>
        <v>0</v>
      </c>
      <c r="V353" s="2">
        <v>0</v>
      </c>
    </row>
    <row r="354" spans="20:22" ht="15" hidden="1">
      <c r="T354"/>
      <c r="U354" s="93">
        <f t="shared" si="122"/>
        <v>0</v>
      </c>
      <c r="V354" s="2">
        <v>0</v>
      </c>
    </row>
    <row r="355" spans="20:22" ht="15" hidden="1">
      <c r="T355"/>
      <c r="U355" s="93">
        <f t="shared" si="122"/>
        <v>0</v>
      </c>
      <c r="V355" s="2">
        <v>0</v>
      </c>
    </row>
    <row r="356" spans="20:22" ht="15" hidden="1">
      <c r="T356"/>
      <c r="U356" s="93">
        <f t="shared" si="122"/>
        <v>0</v>
      </c>
      <c r="V356" s="2">
        <v>0</v>
      </c>
    </row>
    <row r="357" spans="20:22" ht="15" hidden="1">
      <c r="T357"/>
      <c r="U357" s="93">
        <f t="shared" si="122"/>
        <v>0</v>
      </c>
      <c r="V357" s="2">
        <v>0</v>
      </c>
    </row>
    <row r="358" spans="20:22" ht="15" hidden="1">
      <c r="T358"/>
      <c r="U358" s="93">
        <f t="shared" si="122"/>
        <v>0</v>
      </c>
      <c r="V358" s="2">
        <v>0</v>
      </c>
    </row>
    <row r="359" spans="20:22" ht="15" hidden="1">
      <c r="T359"/>
      <c r="U359" s="93">
        <f t="shared" si="122"/>
        <v>0</v>
      </c>
      <c r="V359" s="2">
        <v>0</v>
      </c>
    </row>
    <row r="360" spans="20:22" ht="15" hidden="1">
      <c r="T360"/>
      <c r="U360" s="93">
        <f t="shared" ref="U360:U422" si="123">IF(NOT(ISBLANK(C360)), 1, 0)</f>
        <v>0</v>
      </c>
      <c r="V360" s="2">
        <v>0</v>
      </c>
    </row>
    <row r="361" spans="20:22" ht="15" hidden="1">
      <c r="T361"/>
      <c r="U361" s="93">
        <f t="shared" si="123"/>
        <v>0</v>
      </c>
      <c r="V361" s="2">
        <v>0</v>
      </c>
    </row>
    <row r="362" spans="20:22" ht="15" hidden="1">
      <c r="T362"/>
      <c r="U362" s="93">
        <f t="shared" si="123"/>
        <v>0</v>
      </c>
      <c r="V362" s="2">
        <v>0</v>
      </c>
    </row>
    <row r="363" spans="20:22" ht="15" hidden="1">
      <c r="T363"/>
      <c r="U363" s="93">
        <f t="shared" si="123"/>
        <v>0</v>
      </c>
      <c r="V363" s="2">
        <v>0</v>
      </c>
    </row>
    <row r="364" spans="20:22" ht="15" hidden="1">
      <c r="T364"/>
      <c r="U364" s="93">
        <f t="shared" si="123"/>
        <v>0</v>
      </c>
      <c r="V364" s="2">
        <v>0</v>
      </c>
    </row>
    <row r="365" spans="20:22" ht="15" hidden="1">
      <c r="T365"/>
      <c r="U365" s="93">
        <f t="shared" si="123"/>
        <v>0</v>
      </c>
      <c r="V365" s="2">
        <v>0</v>
      </c>
    </row>
    <row r="366" spans="20:22" ht="15" hidden="1">
      <c r="T366"/>
      <c r="U366" s="93">
        <f t="shared" si="123"/>
        <v>0</v>
      </c>
      <c r="V366" s="2">
        <v>0</v>
      </c>
    </row>
    <row r="367" spans="20:22" ht="15" hidden="1">
      <c r="T367"/>
      <c r="U367" s="93">
        <f t="shared" si="123"/>
        <v>0</v>
      </c>
      <c r="V367" s="2">
        <v>0</v>
      </c>
    </row>
    <row r="368" spans="20:22" ht="15" hidden="1">
      <c r="T368"/>
      <c r="U368" s="93">
        <f t="shared" si="123"/>
        <v>0</v>
      </c>
      <c r="V368" s="2">
        <v>0</v>
      </c>
    </row>
    <row r="369" spans="20:22" ht="15" hidden="1">
      <c r="T369"/>
      <c r="U369" s="93">
        <f t="shared" si="123"/>
        <v>0</v>
      </c>
      <c r="V369" s="2">
        <v>0</v>
      </c>
    </row>
    <row r="370" spans="20:22" ht="15" hidden="1">
      <c r="T370"/>
      <c r="U370" s="93">
        <f t="shared" si="123"/>
        <v>0</v>
      </c>
      <c r="V370" s="2">
        <v>0</v>
      </c>
    </row>
    <row r="371" spans="20:22" ht="15" hidden="1">
      <c r="T371"/>
      <c r="U371" s="93">
        <f t="shared" si="123"/>
        <v>0</v>
      </c>
      <c r="V371" s="2">
        <v>0</v>
      </c>
    </row>
    <row r="372" spans="20:22" ht="15" hidden="1">
      <c r="T372"/>
      <c r="U372" s="93">
        <f t="shared" si="123"/>
        <v>0</v>
      </c>
      <c r="V372" s="2">
        <v>0</v>
      </c>
    </row>
    <row r="373" spans="20:22" ht="15" hidden="1">
      <c r="T373"/>
      <c r="U373" s="93">
        <f t="shared" si="123"/>
        <v>0</v>
      </c>
      <c r="V373" s="2">
        <v>0</v>
      </c>
    </row>
    <row r="374" spans="20:22" ht="15" hidden="1">
      <c r="T374"/>
      <c r="U374" s="93">
        <f t="shared" si="123"/>
        <v>0</v>
      </c>
      <c r="V374" s="2">
        <v>0</v>
      </c>
    </row>
    <row r="375" spans="20:22" ht="15" hidden="1">
      <c r="T375"/>
      <c r="U375" s="93">
        <f t="shared" si="123"/>
        <v>0</v>
      </c>
      <c r="V375" s="2">
        <v>0</v>
      </c>
    </row>
    <row r="376" spans="20:22" ht="15" hidden="1">
      <c r="T376"/>
      <c r="U376" s="93">
        <f t="shared" si="123"/>
        <v>0</v>
      </c>
      <c r="V376" s="2">
        <v>0</v>
      </c>
    </row>
    <row r="377" spans="20:22" ht="15" hidden="1">
      <c r="T377"/>
      <c r="U377" s="93">
        <f t="shared" si="123"/>
        <v>0</v>
      </c>
      <c r="V377" s="2">
        <v>0</v>
      </c>
    </row>
    <row r="378" spans="20:22" ht="15" hidden="1">
      <c r="T378"/>
      <c r="U378" s="93">
        <f t="shared" si="123"/>
        <v>0</v>
      </c>
      <c r="V378" s="2">
        <v>0</v>
      </c>
    </row>
    <row r="379" spans="20:22" hidden="1">
      <c r="U379" s="93">
        <f t="shared" si="123"/>
        <v>0</v>
      </c>
      <c r="V379" s="2">
        <v>0</v>
      </c>
    </row>
    <row r="380" spans="20:22" hidden="1">
      <c r="U380" s="93">
        <f t="shared" si="123"/>
        <v>0</v>
      </c>
      <c r="V380" s="2">
        <v>0</v>
      </c>
    </row>
    <row r="381" spans="20:22" hidden="1">
      <c r="U381" s="93">
        <f t="shared" si="123"/>
        <v>0</v>
      </c>
      <c r="V381" s="2">
        <v>0</v>
      </c>
    </row>
    <row r="382" spans="20:22" hidden="1">
      <c r="U382" s="93">
        <f t="shared" si="123"/>
        <v>0</v>
      </c>
      <c r="V382" s="2">
        <v>0</v>
      </c>
    </row>
    <row r="383" spans="20:22" hidden="1">
      <c r="U383" s="93">
        <f t="shared" si="123"/>
        <v>0</v>
      </c>
      <c r="V383" s="2">
        <v>0</v>
      </c>
    </row>
    <row r="384" spans="20:22" hidden="1">
      <c r="U384" s="93">
        <f t="shared" si="123"/>
        <v>0</v>
      </c>
      <c r="V384" s="2">
        <v>0</v>
      </c>
    </row>
    <row r="385" spans="21:22" hidden="1">
      <c r="U385" s="93">
        <f t="shared" si="123"/>
        <v>0</v>
      </c>
      <c r="V385" s="2">
        <v>0</v>
      </c>
    </row>
    <row r="386" spans="21:22" hidden="1">
      <c r="U386" s="93">
        <f t="shared" si="123"/>
        <v>0</v>
      </c>
      <c r="V386" s="2">
        <v>0</v>
      </c>
    </row>
    <row r="387" spans="21:22" hidden="1">
      <c r="U387" s="93">
        <f t="shared" si="123"/>
        <v>0</v>
      </c>
      <c r="V387" s="2">
        <v>0</v>
      </c>
    </row>
    <row r="388" spans="21:22" hidden="1">
      <c r="U388" s="93">
        <f t="shared" si="123"/>
        <v>0</v>
      </c>
      <c r="V388" s="2">
        <v>0</v>
      </c>
    </row>
    <row r="389" spans="21:22" hidden="1">
      <c r="U389" s="93">
        <f t="shared" si="123"/>
        <v>0</v>
      </c>
      <c r="V389" s="2">
        <v>0</v>
      </c>
    </row>
    <row r="390" spans="21:22" hidden="1">
      <c r="U390" s="93">
        <f t="shared" si="123"/>
        <v>0</v>
      </c>
      <c r="V390" s="2">
        <v>0</v>
      </c>
    </row>
    <row r="391" spans="21:22" hidden="1">
      <c r="U391" s="93">
        <f t="shared" si="123"/>
        <v>0</v>
      </c>
      <c r="V391" s="2">
        <v>0</v>
      </c>
    </row>
    <row r="392" spans="21:22" hidden="1">
      <c r="U392" s="93">
        <f t="shared" si="123"/>
        <v>0</v>
      </c>
      <c r="V392" s="2">
        <v>0</v>
      </c>
    </row>
    <row r="393" spans="21:22" hidden="1">
      <c r="U393" s="93">
        <f t="shared" si="123"/>
        <v>0</v>
      </c>
      <c r="V393" s="2">
        <v>0</v>
      </c>
    </row>
    <row r="394" spans="21:22" hidden="1">
      <c r="U394" s="93">
        <f t="shared" si="123"/>
        <v>0</v>
      </c>
      <c r="V394" s="2">
        <v>0</v>
      </c>
    </row>
    <row r="395" spans="21:22" hidden="1">
      <c r="U395" s="93">
        <f t="shared" si="123"/>
        <v>0</v>
      </c>
      <c r="V395" s="2">
        <v>0</v>
      </c>
    </row>
    <row r="396" spans="21:22" hidden="1">
      <c r="U396" s="93">
        <f t="shared" si="123"/>
        <v>0</v>
      </c>
      <c r="V396" s="2">
        <v>0</v>
      </c>
    </row>
    <row r="397" spans="21:22" hidden="1">
      <c r="U397" s="93">
        <f t="shared" si="123"/>
        <v>0</v>
      </c>
      <c r="V397" s="2">
        <v>0</v>
      </c>
    </row>
    <row r="398" spans="21:22" hidden="1">
      <c r="U398" s="93">
        <f t="shared" si="123"/>
        <v>0</v>
      </c>
      <c r="V398" s="2">
        <v>0</v>
      </c>
    </row>
    <row r="399" spans="21:22" hidden="1">
      <c r="U399" s="93">
        <f t="shared" si="123"/>
        <v>0</v>
      </c>
      <c r="V399" s="2">
        <v>0</v>
      </c>
    </row>
    <row r="400" spans="21:22" hidden="1">
      <c r="U400" s="93">
        <f t="shared" si="123"/>
        <v>0</v>
      </c>
      <c r="V400" s="2">
        <v>0</v>
      </c>
    </row>
    <row r="401" spans="21:22" hidden="1">
      <c r="U401" s="93">
        <f t="shared" si="123"/>
        <v>0</v>
      </c>
      <c r="V401" s="2">
        <v>0</v>
      </c>
    </row>
    <row r="402" spans="21:22" hidden="1">
      <c r="U402" s="93">
        <f t="shared" si="123"/>
        <v>0</v>
      </c>
      <c r="V402" s="2">
        <v>0</v>
      </c>
    </row>
    <row r="403" spans="21:22" hidden="1">
      <c r="U403" s="93">
        <f t="shared" si="123"/>
        <v>0</v>
      </c>
      <c r="V403" s="2">
        <v>0</v>
      </c>
    </row>
    <row r="404" spans="21:22" hidden="1">
      <c r="U404" s="93">
        <f t="shared" si="123"/>
        <v>0</v>
      </c>
      <c r="V404" s="2">
        <v>0</v>
      </c>
    </row>
    <row r="405" spans="21:22" hidden="1">
      <c r="U405" s="93">
        <f t="shared" si="123"/>
        <v>0</v>
      </c>
      <c r="V405" s="2">
        <v>0</v>
      </c>
    </row>
    <row r="406" spans="21:22" hidden="1">
      <c r="U406" s="93">
        <f t="shared" si="123"/>
        <v>0</v>
      </c>
      <c r="V406" s="2">
        <v>0</v>
      </c>
    </row>
    <row r="407" spans="21:22" hidden="1">
      <c r="U407" s="93">
        <f t="shared" si="123"/>
        <v>0</v>
      </c>
      <c r="V407" s="2">
        <v>0</v>
      </c>
    </row>
    <row r="408" spans="21:22" hidden="1">
      <c r="U408" s="93">
        <f t="shared" si="123"/>
        <v>0</v>
      </c>
      <c r="V408" s="2">
        <v>0</v>
      </c>
    </row>
    <row r="409" spans="21:22" hidden="1">
      <c r="U409" s="93">
        <f t="shared" si="123"/>
        <v>0</v>
      </c>
      <c r="V409" s="2">
        <v>0</v>
      </c>
    </row>
    <row r="410" spans="21:22" hidden="1">
      <c r="U410" s="93">
        <f t="shared" si="123"/>
        <v>0</v>
      </c>
      <c r="V410" s="2">
        <v>0</v>
      </c>
    </row>
    <row r="411" spans="21:22" hidden="1">
      <c r="U411" s="93">
        <f t="shared" si="123"/>
        <v>0</v>
      </c>
      <c r="V411" s="2">
        <v>0</v>
      </c>
    </row>
    <row r="412" spans="21:22" hidden="1">
      <c r="U412" s="93">
        <f t="shared" si="123"/>
        <v>0</v>
      </c>
      <c r="V412" s="2">
        <v>0</v>
      </c>
    </row>
    <row r="413" spans="21:22" hidden="1">
      <c r="U413" s="93">
        <f t="shared" si="123"/>
        <v>0</v>
      </c>
      <c r="V413" s="2">
        <v>0</v>
      </c>
    </row>
    <row r="414" spans="21:22" hidden="1">
      <c r="U414" s="93">
        <f t="shared" si="123"/>
        <v>0</v>
      </c>
      <c r="V414" s="2">
        <v>0</v>
      </c>
    </row>
    <row r="415" spans="21:22" hidden="1">
      <c r="U415" s="93">
        <f t="shared" si="123"/>
        <v>0</v>
      </c>
      <c r="V415" s="2">
        <v>0</v>
      </c>
    </row>
    <row r="416" spans="21:22" hidden="1">
      <c r="U416" s="93">
        <f t="shared" si="123"/>
        <v>0</v>
      </c>
      <c r="V416" s="2">
        <v>0</v>
      </c>
    </row>
    <row r="417" spans="21:22" hidden="1">
      <c r="U417" s="93">
        <f t="shared" si="123"/>
        <v>0</v>
      </c>
      <c r="V417" s="2">
        <v>0</v>
      </c>
    </row>
    <row r="418" spans="21:22" hidden="1">
      <c r="U418" s="93">
        <f t="shared" si="123"/>
        <v>0</v>
      </c>
      <c r="V418" s="2">
        <v>0</v>
      </c>
    </row>
    <row r="419" spans="21:22" hidden="1">
      <c r="U419" s="93">
        <f t="shared" si="123"/>
        <v>0</v>
      </c>
      <c r="V419" s="2">
        <v>0</v>
      </c>
    </row>
    <row r="420" spans="21:22" hidden="1">
      <c r="U420" s="93">
        <f t="shared" si="123"/>
        <v>0</v>
      </c>
      <c r="V420" s="2">
        <v>0</v>
      </c>
    </row>
    <row r="421" spans="21:22" hidden="1">
      <c r="U421" s="93">
        <f t="shared" si="123"/>
        <v>0</v>
      </c>
      <c r="V421" s="2">
        <v>0</v>
      </c>
    </row>
    <row r="422" spans="21:22" hidden="1">
      <c r="U422" s="93">
        <f t="shared" si="123"/>
        <v>0</v>
      </c>
      <c r="V422" s="2">
        <v>0</v>
      </c>
    </row>
    <row r="423" spans="21:22" hidden="1">
      <c r="U423" s="93">
        <f t="shared" ref="U423:U435" si="124">IF(NOT(ISBLANK(C423)), 1, 0)</f>
        <v>0</v>
      </c>
      <c r="V423" s="2">
        <v>0</v>
      </c>
    </row>
    <row r="424" spans="21:22" hidden="1">
      <c r="U424" s="93">
        <f t="shared" si="124"/>
        <v>0</v>
      </c>
      <c r="V424" s="2">
        <v>0</v>
      </c>
    </row>
    <row r="425" spans="21:22" hidden="1">
      <c r="U425" s="93">
        <f t="shared" si="124"/>
        <v>0</v>
      </c>
      <c r="V425" s="2">
        <v>0</v>
      </c>
    </row>
    <row r="426" spans="21:22" hidden="1">
      <c r="U426" s="93">
        <f t="shared" si="124"/>
        <v>0</v>
      </c>
      <c r="V426" s="2">
        <v>0</v>
      </c>
    </row>
    <row r="427" spans="21:22" hidden="1">
      <c r="U427" s="93">
        <f t="shared" si="124"/>
        <v>0</v>
      </c>
      <c r="V427" s="2">
        <v>0</v>
      </c>
    </row>
    <row r="428" spans="21:22" hidden="1">
      <c r="U428" s="93">
        <f t="shared" si="124"/>
        <v>0</v>
      </c>
      <c r="V428" s="2">
        <v>0</v>
      </c>
    </row>
    <row r="429" spans="21:22" hidden="1">
      <c r="U429" s="93">
        <f t="shared" si="124"/>
        <v>0</v>
      </c>
      <c r="V429" s="2">
        <v>0</v>
      </c>
    </row>
    <row r="430" spans="21:22" hidden="1">
      <c r="U430" s="93">
        <f t="shared" si="124"/>
        <v>0</v>
      </c>
      <c r="V430" s="2">
        <v>0</v>
      </c>
    </row>
    <row r="431" spans="21:22" hidden="1">
      <c r="U431" s="93">
        <f t="shared" si="124"/>
        <v>0</v>
      </c>
      <c r="V431" s="2">
        <v>0</v>
      </c>
    </row>
    <row r="432" spans="21:22" hidden="1">
      <c r="U432" s="93">
        <f t="shared" si="124"/>
        <v>0</v>
      </c>
      <c r="V432" s="2">
        <v>0</v>
      </c>
    </row>
    <row r="433" spans="21:22" hidden="1">
      <c r="U433" s="93">
        <f t="shared" si="124"/>
        <v>0</v>
      </c>
      <c r="V433" s="2">
        <v>0</v>
      </c>
    </row>
    <row r="434" spans="21:22" hidden="1">
      <c r="U434" s="93">
        <f t="shared" si="124"/>
        <v>0</v>
      </c>
      <c r="V434" s="2">
        <v>0</v>
      </c>
    </row>
    <row r="435" spans="21:22" hidden="1">
      <c r="U435" s="93">
        <f t="shared" si="124"/>
        <v>0</v>
      </c>
      <c r="V435" s="2">
        <v>0</v>
      </c>
    </row>
  </sheetData>
  <conditionalFormatting sqref="G4:J4">
    <cfRule type="cellIs" dxfId="82" priority="1" stopIfTrue="1" operator="equal">
      <formula>#REF!</formula>
    </cfRule>
  </conditionalFormatting>
  <conditionalFormatting sqref="K4">
    <cfRule type="cellIs" dxfId="81" priority="2" stopIfTrue="1" operator="equal">
      <formula>#REF!</formula>
    </cfRule>
  </conditionalFormatting>
  <conditionalFormatting sqref="U1:V1">
    <cfRule type="cellIs" dxfId="80" priority="3" operator="equal">
      <formula>"Check"</formula>
    </cfRule>
  </conditionalFormatting>
  <pageMargins left="0.74803149606299213" right="0.74803149606299213" top="0.98425196850393704" bottom="0.98425196850393704" header="0.51181102362204722" footer="0.51181102362204722"/>
  <pageSetup orientation="portrait" r:id="rId1"/>
  <headerFooter alignWithMargins="0">
    <oddFooter>&amp;LIB-Competition Preliminary Case&amp;RPage &amp;P</oddFooter>
  </headerFooter>
  <ignoredErrors>
    <ignoredError sqref="L62:S62"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0">
    <tabColor rgb="FF86654A"/>
  </sheetPr>
  <dimension ref="A1:JC470"/>
  <sheetViews>
    <sheetView showGridLines="0" topLeftCell="A2" zoomScale="162" zoomScaleNormal="100" zoomScaleSheetLayoutView="100" workbookViewId="0">
      <pane xSplit="5" ySplit="7" topLeftCell="G40" activePane="bottomRight" state="frozen"/>
      <selection pane="topRight" activeCell="V123" sqref="V123"/>
      <selection pane="bottomLeft" activeCell="V123" sqref="V123"/>
      <selection pane="bottomRight" activeCell="J54" sqref="J54"/>
    </sheetView>
  </sheetViews>
  <sheetFormatPr baseColWidth="10" defaultColWidth="0" defaultRowHeight="11" zeroHeight="1"/>
  <cols>
    <col min="1" max="1" width="2.5" style="3" customWidth="1"/>
    <col min="2" max="2" width="1" style="3" customWidth="1"/>
    <col min="3" max="3" width="24.5" style="3" customWidth="1"/>
    <col min="4" max="4" width="16.5" style="3" customWidth="1"/>
    <col min="5" max="5" width="11.5" style="3" hidden="1" customWidth="1"/>
    <col min="6" max="6" width="29.83203125" style="1083" customWidth="1"/>
    <col min="7" max="7" width="7.1640625" style="3" customWidth="1"/>
    <col min="8" max="19" width="7.5" style="3" customWidth="1"/>
    <col min="20" max="20" width="2.5" style="3" customWidth="1"/>
    <col min="21" max="22" width="4.5" style="3" customWidth="1"/>
    <col min="23" max="23" width="2.5" style="3" customWidth="1"/>
    <col min="24" max="258" width="9.5" style="3" hidden="1" customWidth="1"/>
    <col min="259" max="263" width="0" style="3" hidden="1" customWidth="1"/>
    <col min="264" max="16384" width="9.5" style="3" hidden="1"/>
  </cols>
  <sheetData>
    <row r="1" spans="1:99" hidden="1">
      <c r="A1" s="32"/>
      <c r="B1" s="32"/>
      <c r="C1" s="32"/>
      <c r="D1" s="32"/>
      <c r="E1" s="32"/>
    </row>
    <row r="2" spans="1:99" s="26" customFormat="1" ht="13">
      <c r="A2" s="36"/>
      <c r="B2" s="36" t="str">
        <f>'DCF - Assumptions'!$F$8&amp;" | Discounted Cash Flows - Financial Statements"</f>
        <v>Diageo PLC | Discounted Cash Flows - Financial Statements</v>
      </c>
      <c r="C2" s="35"/>
      <c r="F2" s="1084"/>
      <c r="U2" s="34" t="str">
        <f>IF(V7=U7,"OK","Check")</f>
        <v>OK</v>
      </c>
      <c r="V2" s="34" t="str">
        <f>IF(U6=V6,"OK","Check")</f>
        <v>OK</v>
      </c>
    </row>
    <row r="3" spans="1:99" s="32" customFormat="1" ht="2.25" customHeight="1">
      <c r="A3" s="33"/>
      <c r="B3" s="33"/>
      <c r="F3" s="1085"/>
      <c r="T3" s="31"/>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row>
    <row r="4" spans="1:99" s="28" customFormat="1" ht="3" customHeight="1">
      <c r="A4" s="29"/>
      <c r="B4" s="29"/>
      <c r="F4" s="1086"/>
      <c r="T4" s="27"/>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row>
    <row r="5" spans="1:99" ht="11.25" customHeight="1">
      <c r="G5" s="1001"/>
      <c r="H5" s="1001"/>
      <c r="I5" s="1001"/>
      <c r="J5" s="1001"/>
      <c r="K5" s="1001"/>
      <c r="L5" s="214"/>
      <c r="M5" s="214"/>
      <c r="N5" s="214"/>
      <c r="O5" s="214"/>
      <c r="P5" s="214"/>
      <c r="Q5" s="214"/>
      <c r="R5" s="214"/>
      <c r="S5" s="214"/>
    </row>
    <row r="6" spans="1:99" ht="12">
      <c r="A6" s="19"/>
      <c r="B6" s="19"/>
      <c r="C6" s="926" t="s">
        <v>237</v>
      </c>
      <c r="D6" s="927"/>
      <c r="E6" s="927"/>
      <c r="F6" s="1087"/>
      <c r="G6" s="927"/>
      <c r="H6" s="927"/>
      <c r="I6" s="927"/>
      <c r="J6" s="927"/>
      <c r="K6" s="927"/>
      <c r="L6" s="927"/>
      <c r="M6" s="927"/>
      <c r="N6" s="927"/>
      <c r="O6" s="927"/>
      <c r="P6" s="927"/>
      <c r="Q6" s="927"/>
      <c r="R6" s="927"/>
      <c r="S6" s="927"/>
      <c r="U6" s="42">
        <f>ROWS(C6:C172)</f>
        <v>167</v>
      </c>
      <c r="V6" s="24">
        <v>167</v>
      </c>
      <c r="W6" s="19"/>
      <c r="X6" s="19"/>
      <c r="Y6" s="19"/>
      <c r="Z6" s="19"/>
      <c r="AA6" s="19"/>
      <c r="AB6" s="19"/>
      <c r="AC6" s="19"/>
      <c r="AD6" s="19"/>
      <c r="AE6" s="19"/>
      <c r="AF6" s="19"/>
      <c r="AG6" s="19"/>
      <c r="AH6" s="19"/>
      <c r="AI6" s="19"/>
      <c r="AJ6" s="19"/>
      <c r="AK6" s="19"/>
      <c r="AL6" s="19"/>
    </row>
    <row r="7" spans="1:99" ht="13.5" customHeight="1">
      <c r="G7" s="40"/>
      <c r="H7" s="40"/>
      <c r="I7" s="40"/>
      <c r="J7" s="39"/>
      <c r="K7" s="1001"/>
      <c r="L7" s="214" t="str">
        <f>'DCF - Assumptions'!$L$6</f>
        <v>Projected Fiscal Years Ending June 31</v>
      </c>
      <c r="M7" s="214"/>
      <c r="N7" s="214"/>
      <c r="O7" s="214"/>
      <c r="P7" s="214"/>
      <c r="Q7" s="214"/>
      <c r="R7" s="214"/>
      <c r="S7" s="214"/>
      <c r="U7" s="93"/>
      <c r="V7" s="24"/>
    </row>
    <row r="8" spans="1:99" ht="13.5" customHeight="1" thickBot="1">
      <c r="A8" s="57"/>
      <c r="B8" s="57"/>
      <c r="C8" s="57" t="str">
        <f>'DCF - Outputs'!C7</f>
        <v>* All amounts in millions of pounds sterling except per share and multiples</v>
      </c>
      <c r="D8" s="57"/>
      <c r="E8" s="57"/>
      <c r="F8" s="1088"/>
      <c r="G8" s="85">
        <f>+'DCF - Assumptions'!G7</f>
        <v>2019</v>
      </c>
      <c r="H8" s="85">
        <f>+'DCF - Assumptions'!H7</f>
        <v>2020</v>
      </c>
      <c r="I8" s="85">
        <f>+'DCF - Assumptions'!I7</f>
        <v>2021</v>
      </c>
      <c r="J8" s="85">
        <f>+'DCF - Assumptions'!J7</f>
        <v>2022</v>
      </c>
      <c r="K8" s="85">
        <f>+'DCF - Assumptions'!K7</f>
        <v>2023</v>
      </c>
      <c r="L8" s="85">
        <f>+'DCF - Assumptions'!L7</f>
        <v>2024</v>
      </c>
      <c r="M8" s="85">
        <f>+'DCF - Assumptions'!M7</f>
        <v>2025</v>
      </c>
      <c r="N8" s="85">
        <f>+'DCF - Assumptions'!N7</f>
        <v>2026</v>
      </c>
      <c r="O8" s="85">
        <f>+'DCF - Assumptions'!O7</f>
        <v>2027</v>
      </c>
      <c r="P8" s="85">
        <f>+'DCF - Assumptions'!P7</f>
        <v>2028</v>
      </c>
      <c r="Q8" s="85">
        <f>+'DCF - Assumptions'!Q7</f>
        <v>2029</v>
      </c>
      <c r="R8" s="85">
        <f>+'DCF - Assumptions'!R7</f>
        <v>2030</v>
      </c>
      <c r="S8" s="85">
        <f>+'DCF - Assumptions'!S7</f>
        <v>2031</v>
      </c>
      <c r="U8" s="93">
        <f t="shared" ref="U8:U72" si="0">IF(NOT(ISBLANK(C8)), 1, 0)</f>
        <v>1</v>
      </c>
      <c r="V8" s="24">
        <v>1</v>
      </c>
    </row>
    <row r="9" spans="1:99" ht="12.75" customHeight="1">
      <c r="A9" s="20"/>
      <c r="B9" s="20"/>
      <c r="C9" s="3" t="s">
        <v>238</v>
      </c>
      <c r="G9" s="1006">
        <f>G11-G10</f>
        <v>19294</v>
      </c>
      <c r="H9" s="1006">
        <f t="shared" ref="H9:J9" si="1">H11-H10</f>
        <v>17697</v>
      </c>
      <c r="I9" s="1006">
        <f t="shared" si="1"/>
        <v>19153</v>
      </c>
      <c r="J9" s="1006">
        <f t="shared" si="1"/>
        <v>22448</v>
      </c>
      <c r="K9" s="1006">
        <f>K11-K10</f>
        <v>23515</v>
      </c>
      <c r="L9" s="1006"/>
      <c r="M9" s="1006"/>
      <c r="N9" s="1006"/>
      <c r="O9" s="1006"/>
      <c r="P9" s="1006"/>
      <c r="Q9" s="1006"/>
      <c r="R9" s="1006"/>
      <c r="S9" s="1006"/>
      <c r="U9" s="93">
        <f t="shared" si="0"/>
        <v>1</v>
      </c>
      <c r="V9" s="24">
        <v>1</v>
      </c>
    </row>
    <row r="10" spans="1:99" ht="12.75" customHeight="1">
      <c r="A10" s="20"/>
      <c r="B10" s="20"/>
      <c r="C10" s="54" t="s">
        <v>239</v>
      </c>
      <c r="G10" s="1124">
        <v>-6427</v>
      </c>
      <c r="H10" s="1124">
        <v>-5945</v>
      </c>
      <c r="I10" s="1124">
        <v>-6420</v>
      </c>
      <c r="J10" s="1124">
        <v>-6996</v>
      </c>
      <c r="K10" s="1124">
        <v>-6402</v>
      </c>
      <c r="L10" s="651"/>
      <c r="M10" s="651"/>
      <c r="N10" s="651"/>
      <c r="O10" s="651"/>
      <c r="P10" s="651"/>
      <c r="Q10" s="651"/>
      <c r="R10" s="651"/>
      <c r="S10" s="651"/>
      <c r="U10" s="93">
        <f t="shared" si="0"/>
        <v>1</v>
      </c>
      <c r="V10" s="24">
        <v>1</v>
      </c>
    </row>
    <row r="11" spans="1:99" ht="13.5" customHeight="1">
      <c r="A11" s="20"/>
      <c r="B11" s="20"/>
      <c r="C11" s="1007" t="s">
        <v>163</v>
      </c>
      <c r="D11" s="32"/>
      <c r="E11" s="32"/>
      <c r="F11" s="1085"/>
      <c r="G11" s="218">
        <f>'DCF - Assumptions'!G92</f>
        <v>12867</v>
      </c>
      <c r="H11" s="218">
        <f>'DCF - Assumptions'!H92</f>
        <v>11752</v>
      </c>
      <c r="I11" s="218">
        <f>'DCF - Assumptions'!I92</f>
        <v>12733</v>
      </c>
      <c r="J11" s="218">
        <f>'DCF - Assumptions'!J92</f>
        <v>15452</v>
      </c>
      <c r="K11" s="218">
        <f>'DCF - Assumptions'!K92</f>
        <v>17113</v>
      </c>
      <c r="L11" s="649">
        <f>'DCF - Assumptions'!L92</f>
        <v>17775.445</v>
      </c>
      <c r="M11" s="649">
        <f>'DCF - Assumptions'!M92</f>
        <v>18733.801249</v>
      </c>
      <c r="N11" s="649">
        <f>'DCF - Assumptions'!N92</f>
        <v>19823.250025914</v>
      </c>
      <c r="O11" s="649">
        <f>'DCF - Assumptions'!O92</f>
        <v>21001.604953276186</v>
      </c>
      <c r="P11" s="649">
        <f>'DCF - Assumptions'!P92</f>
        <v>22353.858094888696</v>
      </c>
      <c r="Q11" s="649">
        <f>'DCF - Assumptions'!Q92</f>
        <v>23796.719745400867</v>
      </c>
      <c r="R11" s="649">
        <f>'DCF - Assumptions'!R92</f>
        <v>25336.454227515202</v>
      </c>
      <c r="S11" s="649">
        <f>'DCF - Assumptions'!S92</f>
        <v>26979.770596703373</v>
      </c>
      <c r="U11" s="93">
        <f t="shared" si="0"/>
        <v>1</v>
      </c>
      <c r="V11" s="24">
        <v>1</v>
      </c>
    </row>
    <row r="12" spans="1:99" ht="13.5" customHeight="1">
      <c r="C12" s="121" t="s">
        <v>240</v>
      </c>
      <c r="D12" s="1"/>
      <c r="E12" s="1"/>
      <c r="F12" s="1089"/>
      <c r="G12" s="1000"/>
      <c r="H12" s="372">
        <f>H11/G11-1</f>
        <v>-8.665578611953062E-2</v>
      </c>
      <c r="I12" s="372">
        <f>I11/H11-1</f>
        <v>8.3475153165418758E-2</v>
      </c>
      <c r="J12" s="372">
        <f>J11/I11-1</f>
        <v>0.21353962145605898</v>
      </c>
      <c r="K12" s="372">
        <f>K11/J11-1</f>
        <v>0.10749417551126061</v>
      </c>
      <c r="L12" s="372">
        <f>L11/K11-1</f>
        <v>3.8710044995033055E-2</v>
      </c>
      <c r="M12" s="372">
        <f t="shared" ref="M12:S12" si="2">M11/L11-1</f>
        <v>5.3914613614455265E-2</v>
      </c>
      <c r="N12" s="372">
        <f t="shared" si="2"/>
        <v>5.8154176103056177E-2</v>
      </c>
      <c r="O12" s="372">
        <f t="shared" si="2"/>
        <v>5.9443074461643652E-2</v>
      </c>
      <c r="P12" s="372">
        <f t="shared" si="2"/>
        <v>6.4388085797298267E-2</v>
      </c>
      <c r="Q12" s="372">
        <f t="shared" si="2"/>
        <v>6.4546426142075619E-2</v>
      </c>
      <c r="R12" s="372">
        <f t="shared" si="2"/>
        <v>6.4703643972271241E-2</v>
      </c>
      <c r="S12" s="372">
        <f t="shared" si="2"/>
        <v>6.4859761134355542E-2</v>
      </c>
      <c r="T12"/>
      <c r="U12" s="93">
        <f t="shared" si="0"/>
        <v>1</v>
      </c>
      <c r="V12" s="24">
        <v>1</v>
      </c>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row>
    <row r="13" spans="1:99" ht="13.5" customHeight="1">
      <c r="A13" s="20"/>
      <c r="B13" s="20"/>
      <c r="G13" s="84"/>
      <c r="H13" s="84"/>
      <c r="I13" s="84"/>
      <c r="J13" s="84"/>
      <c r="K13" s="83"/>
      <c r="M13" s="963"/>
      <c r="N13" s="963"/>
      <c r="O13" s="963"/>
      <c r="P13" s="963"/>
      <c r="Q13" s="963"/>
      <c r="R13" s="963"/>
      <c r="S13" s="963"/>
      <c r="U13" s="93">
        <f>IF(NOT(ISBLANK(C13)), 1, 0)</f>
        <v>0</v>
      </c>
      <c r="V13" s="24">
        <v>0</v>
      </c>
    </row>
    <row r="14" spans="1:99" ht="13.5" customHeight="1">
      <c r="A14" s="20"/>
      <c r="B14" s="20"/>
      <c r="C14" s="3" t="s">
        <v>241</v>
      </c>
      <c r="G14" s="82">
        <v>-4866</v>
      </c>
      <c r="H14" s="82">
        <v>-4654</v>
      </c>
      <c r="I14" s="82">
        <v>-5038</v>
      </c>
      <c r="J14" s="82">
        <v>-5973</v>
      </c>
      <c r="K14" s="82">
        <v>-6899</v>
      </c>
      <c r="L14" s="644">
        <f>'DCF - Assumptions'!L101</f>
        <v>-7110.1779999999999</v>
      </c>
      <c r="M14" s="644">
        <f>'DCF - Assumptions'!M101</f>
        <v>-7493.5204996000002</v>
      </c>
      <c r="N14" s="644">
        <f>'DCF - Assumptions'!N101</f>
        <v>-7929.3000103656004</v>
      </c>
      <c r="O14" s="644">
        <f>'DCF - Assumptions'!O101</f>
        <v>-8400.6419813104749</v>
      </c>
      <c r="P14" s="644">
        <f>'DCF - Assumptions'!P101</f>
        <v>-8941.5432379554786</v>
      </c>
      <c r="Q14" s="644">
        <f>'DCF - Assumptions'!Q101</f>
        <v>-9518.6878981603477</v>
      </c>
      <c r="R14" s="644">
        <f>'DCF - Assumptions'!R101</f>
        <v>-10134.581691006082</v>
      </c>
      <c r="S14" s="644">
        <f>'DCF - Assumptions'!S101</f>
        <v>-10791.90823868135</v>
      </c>
      <c r="U14" s="93">
        <f t="shared" si="0"/>
        <v>1</v>
      </c>
      <c r="V14" s="24">
        <v>1</v>
      </c>
    </row>
    <row r="15" spans="1:99" ht="13.5" customHeight="1">
      <c r="A15" s="20"/>
      <c r="B15" s="20"/>
      <c r="C15" s="78" t="s">
        <v>64</v>
      </c>
      <c r="D15" s="78"/>
      <c r="E15" s="78"/>
      <c r="F15" s="1090"/>
      <c r="G15" s="218">
        <f>SUM(G14)</f>
        <v>-4866</v>
      </c>
      <c r="H15" s="218">
        <f t="shared" ref="H15:S15" si="3">SUM(H14)</f>
        <v>-4654</v>
      </c>
      <c r="I15" s="218">
        <f t="shared" si="3"/>
        <v>-5038</v>
      </c>
      <c r="J15" s="218">
        <f t="shared" si="3"/>
        <v>-5973</v>
      </c>
      <c r="K15" s="218">
        <f t="shared" si="3"/>
        <v>-6899</v>
      </c>
      <c r="L15" s="649">
        <f t="shared" si="3"/>
        <v>-7110.1779999999999</v>
      </c>
      <c r="M15" s="649">
        <f t="shared" si="3"/>
        <v>-7493.5204996000002</v>
      </c>
      <c r="N15" s="649">
        <f t="shared" si="3"/>
        <v>-7929.3000103656004</v>
      </c>
      <c r="O15" s="649">
        <f t="shared" si="3"/>
        <v>-8400.6419813104749</v>
      </c>
      <c r="P15" s="649">
        <f t="shared" si="3"/>
        <v>-8941.5432379554786</v>
      </c>
      <c r="Q15" s="649">
        <f t="shared" si="3"/>
        <v>-9518.6878981603477</v>
      </c>
      <c r="R15" s="649">
        <f t="shared" si="3"/>
        <v>-10134.581691006082</v>
      </c>
      <c r="S15" s="649">
        <f t="shared" si="3"/>
        <v>-10791.90823868135</v>
      </c>
      <c r="U15" s="93">
        <f t="shared" si="0"/>
        <v>1</v>
      </c>
      <c r="V15" s="24">
        <v>1</v>
      </c>
    </row>
    <row r="16" spans="1:99" ht="13.5" customHeight="1">
      <c r="C16" s="121" t="s">
        <v>242</v>
      </c>
      <c r="D16" s="1"/>
      <c r="E16" s="1"/>
      <c r="F16" s="1089"/>
      <c r="G16" s="372">
        <f>G15/G11</f>
        <v>-0.37817673117276757</v>
      </c>
      <c r="H16" s="372">
        <f>H15/H11</f>
        <v>-0.39601769911504425</v>
      </c>
      <c r="I16" s="372">
        <f>I15/I11</f>
        <v>-0.39566480797926645</v>
      </c>
      <c r="J16" s="372">
        <f>J15/J11</f>
        <v>-0.3865519026663215</v>
      </c>
      <c r="K16" s="372">
        <f>K15/K11</f>
        <v>-0.40314380880032724</v>
      </c>
      <c r="L16" s="372">
        <v>0.4</v>
      </c>
      <c r="M16" s="372">
        <v>0.4</v>
      </c>
      <c r="N16" s="372">
        <v>0.4</v>
      </c>
      <c r="O16" s="372">
        <v>0.4</v>
      </c>
      <c r="P16" s="372">
        <v>0.4</v>
      </c>
      <c r="Q16" s="372">
        <v>0.4</v>
      </c>
      <c r="R16" s="372">
        <v>0.4</v>
      </c>
      <c r="S16" s="372">
        <v>0.4</v>
      </c>
      <c r="T16"/>
      <c r="U16" s="93">
        <f t="shared" si="0"/>
        <v>1</v>
      </c>
      <c r="V16" s="24">
        <v>1</v>
      </c>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row>
    <row r="17" spans="1:99" ht="13.5" customHeight="1">
      <c r="A17" s="20"/>
      <c r="B17" s="20"/>
      <c r="C17" s="23"/>
      <c r="G17" s="6"/>
      <c r="H17" s="6"/>
      <c r="I17" s="6"/>
      <c r="J17" s="6"/>
      <c r="K17" s="6"/>
      <c r="L17" s="6"/>
      <c r="M17" s="6"/>
      <c r="N17" s="6"/>
      <c r="O17" s="6"/>
      <c r="P17" s="6"/>
      <c r="Q17" s="6"/>
      <c r="R17" s="6"/>
      <c r="S17" s="6"/>
      <c r="U17" s="93">
        <f t="shared" si="0"/>
        <v>0</v>
      </c>
      <c r="V17" s="24">
        <v>0</v>
      </c>
    </row>
    <row r="18" spans="1:99" ht="13.5" customHeight="1">
      <c r="A18" s="20"/>
      <c r="B18" s="20"/>
      <c r="C18" s="78" t="s">
        <v>243</v>
      </c>
      <c r="D18" s="78"/>
      <c r="E18" s="78"/>
      <c r="F18" s="1090"/>
      <c r="G18" s="218">
        <f>G11+G15</f>
        <v>8001</v>
      </c>
      <c r="H18" s="218">
        <f t="shared" ref="H18:S18" si="4">H11+H15</f>
        <v>7098</v>
      </c>
      <c r="I18" s="218">
        <f t="shared" si="4"/>
        <v>7695</v>
      </c>
      <c r="J18" s="218">
        <f t="shared" si="4"/>
        <v>9479</v>
      </c>
      <c r="K18" s="218">
        <f t="shared" si="4"/>
        <v>10214</v>
      </c>
      <c r="L18" s="649">
        <f t="shared" si="4"/>
        <v>10665.267</v>
      </c>
      <c r="M18" s="649">
        <f t="shared" si="4"/>
        <v>11240.280749400001</v>
      </c>
      <c r="N18" s="649">
        <f t="shared" si="4"/>
        <v>11893.950015548398</v>
      </c>
      <c r="O18" s="649">
        <f t="shared" si="4"/>
        <v>12600.962971965711</v>
      </c>
      <c r="P18" s="649">
        <f t="shared" si="4"/>
        <v>13412.314856933217</v>
      </c>
      <c r="Q18" s="649">
        <f t="shared" si="4"/>
        <v>14278.03184724052</v>
      </c>
      <c r="R18" s="649">
        <f t="shared" si="4"/>
        <v>15201.87253650912</v>
      </c>
      <c r="S18" s="649">
        <f t="shared" si="4"/>
        <v>16187.862358022023</v>
      </c>
      <c r="U18" s="93">
        <f t="shared" si="0"/>
        <v>1</v>
      </c>
      <c r="V18" s="24">
        <v>1</v>
      </c>
    </row>
    <row r="19" spans="1:99" ht="13.5" customHeight="1">
      <c r="C19" s="121" t="s">
        <v>244</v>
      </c>
      <c r="D19" s="1"/>
      <c r="E19" s="1"/>
      <c r="F19" s="1089"/>
      <c r="G19" s="372">
        <f t="shared" ref="G19:L19" si="5">G18/G11</f>
        <v>0.62182326882723249</v>
      </c>
      <c r="H19" s="372">
        <f t="shared" si="5"/>
        <v>0.60398230088495575</v>
      </c>
      <c r="I19" s="372">
        <f t="shared" si="5"/>
        <v>0.60433519202073349</v>
      </c>
      <c r="J19" s="372">
        <f t="shared" si="5"/>
        <v>0.61344809733367844</v>
      </c>
      <c r="K19" s="372">
        <f t="shared" si="5"/>
        <v>0.59685619119967281</v>
      </c>
      <c r="L19" s="372">
        <f t="shared" si="5"/>
        <v>0.6</v>
      </c>
      <c r="M19" s="372">
        <f t="shared" ref="M19:S19" si="6">M18/M11</f>
        <v>0.60000000000000009</v>
      </c>
      <c r="N19" s="372">
        <f t="shared" si="6"/>
        <v>0.6</v>
      </c>
      <c r="O19" s="372">
        <f t="shared" si="6"/>
        <v>0.6</v>
      </c>
      <c r="P19" s="372">
        <f t="shared" si="6"/>
        <v>0.6</v>
      </c>
      <c r="Q19" s="372">
        <f t="shared" si="6"/>
        <v>0.6</v>
      </c>
      <c r="R19" s="372">
        <f t="shared" si="6"/>
        <v>0.6</v>
      </c>
      <c r="S19" s="372">
        <f t="shared" si="6"/>
        <v>0.6</v>
      </c>
      <c r="T19"/>
      <c r="U19" s="93">
        <f t="shared" si="0"/>
        <v>1</v>
      </c>
      <c r="V19" s="24">
        <v>1</v>
      </c>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row>
    <row r="20" spans="1:99" ht="13.5" customHeight="1">
      <c r="A20" s="20"/>
      <c r="B20" s="20"/>
      <c r="C20" s="23"/>
      <c r="G20" s="6"/>
      <c r="H20" s="6"/>
      <c r="I20" s="112"/>
      <c r="J20" s="112"/>
      <c r="K20" s="112"/>
      <c r="L20" s="6"/>
      <c r="M20" s="6"/>
      <c r="N20" s="6"/>
      <c r="O20" s="6"/>
      <c r="P20" s="6"/>
      <c r="Q20" s="6"/>
      <c r="R20" s="6"/>
      <c r="S20" s="6"/>
      <c r="U20" s="93">
        <f t="shared" si="0"/>
        <v>0</v>
      </c>
      <c r="V20" s="24">
        <v>0</v>
      </c>
    </row>
    <row r="21" spans="1:99" ht="13.5" customHeight="1">
      <c r="A21" s="20"/>
      <c r="B21" s="20"/>
      <c r="C21" s="81" t="s">
        <v>245</v>
      </c>
      <c r="G21" s="82">
        <v>-2042</v>
      </c>
      <c r="H21" s="82">
        <v>-1841</v>
      </c>
      <c r="I21" s="82">
        <v>-2163</v>
      </c>
      <c r="J21" s="82">
        <v>-2721</v>
      </c>
      <c r="K21" s="82">
        <v>-3051</v>
      </c>
      <c r="L21" s="644">
        <f>'DCF - Assumptions'!L106</f>
        <v>-3252.9064349999999</v>
      </c>
      <c r="M21" s="644">
        <f>'DCF - Assumptions'!M106</f>
        <v>-3372.0842248199997</v>
      </c>
      <c r="N21" s="644">
        <f>'DCF - Assumptions'!N106</f>
        <v>-3568.18500466452</v>
      </c>
      <c r="O21" s="644">
        <f>'DCF - Assumptions'!O106</f>
        <v>-3780.2888915897133</v>
      </c>
      <c r="P21" s="644">
        <f>'DCF - Assumptions'!P106</f>
        <v>-4023.6944570799651</v>
      </c>
      <c r="Q21" s="644">
        <f>'DCF - Assumptions'!Q106</f>
        <v>-4235.8161146813545</v>
      </c>
      <c r="R21" s="644">
        <f>'DCF - Assumptions'!R106</f>
        <v>-4459.2159440426749</v>
      </c>
      <c r="S21" s="644">
        <f>'DCF - Assumptions'!S106</f>
        <v>-4721.4598544230903</v>
      </c>
      <c r="U21" s="93">
        <f t="shared" si="0"/>
        <v>1</v>
      </c>
      <c r="V21" s="24">
        <v>1</v>
      </c>
    </row>
    <row r="22" spans="1:99" ht="13.5" customHeight="1">
      <c r="A22" s="20"/>
      <c r="B22" s="20"/>
      <c r="C22" s="81" t="s">
        <v>246</v>
      </c>
      <c r="G22" s="82">
        <v>-1917</v>
      </c>
      <c r="H22" s="82">
        <v>-3120</v>
      </c>
      <c r="I22" s="82">
        <v>-1801</v>
      </c>
      <c r="J22" s="82">
        <v>-2349</v>
      </c>
      <c r="K22" s="82">
        <v>-2531</v>
      </c>
      <c r="L22" s="644">
        <f>'DCF - Assumptions'!L111</f>
        <v>-3039.601095</v>
      </c>
      <c r="M22" s="644">
        <f>'DCF - Assumptions'!M111</f>
        <v>-3203.4800135790001</v>
      </c>
      <c r="N22" s="644">
        <f>'DCF - Assumptions'!N111</f>
        <v>-3389.775754431294</v>
      </c>
      <c r="O22" s="644">
        <f>'DCF - Assumptions'!O111</f>
        <v>-3591.274447010228</v>
      </c>
      <c r="P22" s="644">
        <f>'DCF - Assumptions'!P111</f>
        <v>-3822.5097342259673</v>
      </c>
      <c r="Q22" s="644">
        <f>'DCF - Assumptions'!Q111</f>
        <v>-4069.2390764635488</v>
      </c>
      <c r="R22" s="644">
        <f>'DCF - Assumptions'!R111</f>
        <v>-4332.5336729050996</v>
      </c>
      <c r="S22" s="644">
        <f>'DCF - Assumptions'!S111</f>
        <v>-4613.5407720362773</v>
      </c>
      <c r="U22" s="93">
        <f t="shared" si="0"/>
        <v>1</v>
      </c>
      <c r="V22" s="24">
        <v>1</v>
      </c>
    </row>
    <row r="23" spans="1:99" ht="13.5" customHeight="1">
      <c r="A23" s="20"/>
      <c r="B23" s="20"/>
      <c r="C23" s="78" t="s">
        <v>247</v>
      </c>
      <c r="D23" s="78"/>
      <c r="E23" s="78"/>
      <c r="F23" s="1090"/>
      <c r="G23" s="218">
        <f>SUM(G21:G22)</f>
        <v>-3959</v>
      </c>
      <c r="H23" s="218">
        <f t="shared" ref="H23:S23" si="7">SUM(H21:H22)</f>
        <v>-4961</v>
      </c>
      <c r="I23" s="218">
        <f t="shared" si="7"/>
        <v>-3964</v>
      </c>
      <c r="J23" s="218">
        <f t="shared" si="7"/>
        <v>-5070</v>
      </c>
      <c r="K23" s="218">
        <f t="shared" si="7"/>
        <v>-5582</v>
      </c>
      <c r="L23" s="649">
        <f t="shared" si="7"/>
        <v>-6292.5075299999999</v>
      </c>
      <c r="M23" s="649">
        <f t="shared" si="7"/>
        <v>-6575.5642383989998</v>
      </c>
      <c r="N23" s="649">
        <f t="shared" si="7"/>
        <v>-6957.960759095814</v>
      </c>
      <c r="O23" s="649">
        <f t="shared" si="7"/>
        <v>-7371.5633385999408</v>
      </c>
      <c r="P23" s="649">
        <f t="shared" si="7"/>
        <v>-7846.2041913059329</v>
      </c>
      <c r="Q23" s="649">
        <f t="shared" si="7"/>
        <v>-8305.0551911449038</v>
      </c>
      <c r="R23" s="649">
        <f t="shared" si="7"/>
        <v>-8791.7496169477745</v>
      </c>
      <c r="S23" s="649">
        <f t="shared" si="7"/>
        <v>-9335.0006264593685</v>
      </c>
      <c r="U23" s="93">
        <f t="shared" si="0"/>
        <v>1</v>
      </c>
      <c r="V23" s="24">
        <v>1</v>
      </c>
    </row>
    <row r="24" spans="1:99" ht="13.5" customHeight="1">
      <c r="C24" s="121" t="s">
        <v>248</v>
      </c>
      <c r="D24" s="1"/>
      <c r="E24" s="1"/>
      <c r="F24" s="1089"/>
      <c r="G24" s="372">
        <f>G23/G$11</f>
        <v>-0.30768632936970547</v>
      </c>
      <c r="H24" s="372">
        <f>H23/H$11</f>
        <v>-0.42214091218515998</v>
      </c>
      <c r="I24" s="372">
        <f t="shared" ref="I24" si="8">I23/I$11</f>
        <v>-0.3113170501845598</v>
      </c>
      <c r="J24" s="372">
        <f t="shared" ref="J24" si="9">J23/J$11</f>
        <v>-0.32811286564845976</v>
      </c>
      <c r="K24" s="372">
        <f>K23/K$11</f>
        <v>-0.326184771810904</v>
      </c>
      <c r="L24" s="372">
        <f>L23/L11</f>
        <v>-0.35399999999999998</v>
      </c>
      <c r="M24" s="372">
        <f t="shared" ref="M24:S24" si="10">M23/M11</f>
        <v>-0.35099999999999998</v>
      </c>
      <c r="N24" s="372">
        <f t="shared" si="10"/>
        <v>-0.35099999999999998</v>
      </c>
      <c r="O24" s="372">
        <f t="shared" si="10"/>
        <v>-0.35099999999999998</v>
      </c>
      <c r="P24" s="372">
        <f t="shared" si="10"/>
        <v>-0.35100000000000003</v>
      </c>
      <c r="Q24" s="372">
        <f t="shared" si="10"/>
        <v>-0.34900000000000003</v>
      </c>
      <c r="R24" s="372">
        <f t="shared" si="10"/>
        <v>-0.34699999999999998</v>
      </c>
      <c r="S24" s="372">
        <f t="shared" si="10"/>
        <v>-0.34600000000000009</v>
      </c>
      <c r="T24"/>
      <c r="U24" s="93">
        <f t="shared" si="0"/>
        <v>1</v>
      </c>
      <c r="V24" s="24">
        <v>1</v>
      </c>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row>
    <row r="25" spans="1:99" ht="13.5" customHeight="1">
      <c r="C25" s="121"/>
      <c r="D25" s="1"/>
      <c r="E25" s="1"/>
      <c r="F25" s="1089"/>
      <c r="G25" s="372"/>
      <c r="H25" s="372"/>
      <c r="I25" s="372"/>
      <c r="J25" s="372"/>
      <c r="K25" s="372"/>
      <c r="L25"/>
      <c r="M25"/>
      <c r="N25"/>
      <c r="O25"/>
      <c r="P25"/>
      <c r="Q25"/>
      <c r="R25"/>
      <c r="S25"/>
      <c r="T25"/>
      <c r="U25" s="93">
        <f t="shared" si="0"/>
        <v>0</v>
      </c>
      <c r="V25" s="24">
        <v>0</v>
      </c>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row>
    <row r="26" spans="1:99" ht="13.5" customHeight="1">
      <c r="A26"/>
      <c r="B26" s="20"/>
      <c r="C26" s="680" t="s">
        <v>249</v>
      </c>
      <c r="D26" s="32"/>
      <c r="E26" s="679"/>
      <c r="F26" s="1091"/>
      <c r="G26" s="218">
        <f>G18+G23</f>
        <v>4042</v>
      </c>
      <c r="H26" s="218">
        <f t="shared" ref="H26:S26" si="11">H18+H23</f>
        <v>2137</v>
      </c>
      <c r="I26" s="218">
        <f t="shared" si="11"/>
        <v>3731</v>
      </c>
      <c r="J26" s="218">
        <f t="shared" si="11"/>
        <v>4409</v>
      </c>
      <c r="K26" s="218">
        <f t="shared" si="11"/>
        <v>4632</v>
      </c>
      <c r="L26" s="649">
        <f t="shared" si="11"/>
        <v>4372.75947</v>
      </c>
      <c r="M26" s="649">
        <f t="shared" si="11"/>
        <v>4664.716511001001</v>
      </c>
      <c r="N26" s="649">
        <f t="shared" si="11"/>
        <v>4935.9892564525844</v>
      </c>
      <c r="O26" s="649">
        <f t="shared" si="11"/>
        <v>5229.3996333657706</v>
      </c>
      <c r="P26" s="649">
        <f t="shared" si="11"/>
        <v>5566.1106656272841</v>
      </c>
      <c r="Q26" s="649">
        <f t="shared" si="11"/>
        <v>5972.9766560956159</v>
      </c>
      <c r="R26" s="649">
        <f t="shared" si="11"/>
        <v>6410.122919561345</v>
      </c>
      <c r="S26" s="649">
        <f t="shared" si="11"/>
        <v>6852.8617315626543</v>
      </c>
      <c r="U26" s="93">
        <f t="shared" si="0"/>
        <v>1</v>
      </c>
      <c r="V26" s="24">
        <v>1</v>
      </c>
    </row>
    <row r="27" spans="1:99" ht="13.5" customHeight="1">
      <c r="A27"/>
      <c r="B27" s="20"/>
      <c r="C27" s="681"/>
      <c r="E27" s="682"/>
      <c r="F27" s="1092"/>
      <c r="G27" s="22"/>
      <c r="H27" s="22"/>
      <c r="I27" s="22"/>
      <c r="J27" s="22"/>
      <c r="K27" s="1299"/>
      <c r="L27" s="1049"/>
      <c r="M27" s="1049"/>
      <c r="N27"/>
      <c r="O27"/>
      <c r="P27"/>
      <c r="Q27"/>
      <c r="R27"/>
      <c r="S27"/>
      <c r="U27" s="93">
        <f t="shared" si="0"/>
        <v>0</v>
      </c>
      <c r="V27" s="24">
        <v>0</v>
      </c>
    </row>
    <row r="28" spans="1:99" ht="13.5" customHeight="1">
      <c r="A28" s="20"/>
      <c r="B28" s="20"/>
      <c r="C28" s="3" t="s">
        <v>250</v>
      </c>
      <c r="D28" s="361"/>
      <c r="G28" s="45">
        <v>144</v>
      </c>
      <c r="H28" s="45">
        <v>-23</v>
      </c>
      <c r="I28" s="45">
        <v>14</v>
      </c>
      <c r="J28" s="45">
        <v>-17</v>
      </c>
      <c r="K28" s="45">
        <v>328</v>
      </c>
      <c r="L28" s="644">
        <v>0</v>
      </c>
      <c r="M28" s="644">
        <v>0</v>
      </c>
      <c r="N28" s="644">
        <v>0</v>
      </c>
      <c r="O28" s="644">
        <v>0</v>
      </c>
      <c r="P28" s="644">
        <v>0</v>
      </c>
      <c r="Q28" s="644">
        <v>0</v>
      </c>
      <c r="R28" s="644">
        <v>0</v>
      </c>
      <c r="S28" s="644">
        <v>0</v>
      </c>
      <c r="U28" s="93">
        <f t="shared" si="0"/>
        <v>1</v>
      </c>
      <c r="V28" s="24">
        <v>1</v>
      </c>
    </row>
    <row r="29" spans="1:99" ht="13.5" customHeight="1">
      <c r="A29" s="20"/>
      <c r="B29" s="20"/>
      <c r="C29" s="19" t="s">
        <v>251</v>
      </c>
      <c r="D29" s="1020"/>
      <c r="E29" s="1"/>
      <c r="F29" s="1089"/>
      <c r="G29" s="82">
        <v>442</v>
      </c>
      <c r="H29" s="82">
        <v>366</v>
      </c>
      <c r="I29" s="82">
        <v>278</v>
      </c>
      <c r="J29" s="82">
        <v>497</v>
      </c>
      <c r="K29" s="82">
        <v>340</v>
      </c>
      <c r="L29" s="644">
        <f>'DCF - Assumptions'!L176</f>
        <v>251.95</v>
      </c>
      <c r="M29" s="644">
        <f>'DCF - Assumptions'!M176</f>
        <v>279.39999999999998</v>
      </c>
      <c r="N29" s="644">
        <f>'DCF - Assumptions'!N176</f>
        <v>281.55420000000004</v>
      </c>
      <c r="O29" s="644">
        <f>'DCF - Assumptions'!O176</f>
        <v>294.23699999999997</v>
      </c>
      <c r="P29" s="644">
        <f>'DCF - Assumptions'!P176</f>
        <v>424.30332499999997</v>
      </c>
      <c r="Q29" s="644">
        <f>'DCF - Assumptions'!Q176</f>
        <v>446.53637499999996</v>
      </c>
      <c r="R29" s="644">
        <f>'DCF - Assumptions'!R176</f>
        <v>468.64516625000005</v>
      </c>
      <c r="S29" s="644">
        <f>'DCF - Assumptions'!S176</f>
        <v>490.75681874999998</v>
      </c>
      <c r="U29" s="93">
        <f t="shared" si="0"/>
        <v>1</v>
      </c>
      <c r="V29" s="24">
        <v>1</v>
      </c>
    </row>
    <row r="30" spans="1:99" ht="13.5" customHeight="1">
      <c r="A30" s="20"/>
      <c r="B30" s="20"/>
      <c r="C30" s="81" t="s">
        <v>252</v>
      </c>
      <c r="D30" s="1020"/>
      <c r="G30" s="82">
        <v>-705</v>
      </c>
      <c r="H30" s="82">
        <v>-719</v>
      </c>
      <c r="I30" s="82">
        <v>-651</v>
      </c>
      <c r="J30" s="82">
        <v>-919</v>
      </c>
      <c r="K30" s="82">
        <v>-934</v>
      </c>
      <c r="L30" s="644">
        <f>'DCF - Assumptions'!L186+'DCF - Capital Structure'!L65</f>
        <v>-818.40591653540389</v>
      </c>
      <c r="M30" s="644">
        <f>'DCF - Assumptions'!M186+'DCF - Capital Structure'!M65</f>
        <v>-816.25127679247271</v>
      </c>
      <c r="N30" s="644">
        <f>'DCF - Assumptions'!N186+'DCF - Capital Structure'!N65</f>
        <v>-706.87207229151079</v>
      </c>
      <c r="O30" s="644">
        <f>'DCF - Assumptions'!O186+'DCF - Capital Structure'!O65</f>
        <v>-779.99693141230114</v>
      </c>
      <c r="P30" s="644">
        <f>'DCF - Assumptions'!P186+'DCF - Capital Structure'!P65</f>
        <v>-805.12960939823972</v>
      </c>
      <c r="Q30" s="644">
        <f>'DCF - Assumptions'!Q186+'DCF - Capital Structure'!Q65</f>
        <v>-864.79685199942639</v>
      </c>
      <c r="R30" s="644">
        <f>'DCF - Assumptions'!R186+'DCF - Capital Structure'!R65</f>
        <v>-906.2612089373539</v>
      </c>
      <c r="S30" s="644">
        <f>'DCF - Assumptions'!S186+'DCF - Capital Structure'!S65</f>
        <v>-968.43078224972362</v>
      </c>
      <c r="U30" s="93">
        <f t="shared" si="0"/>
        <v>1</v>
      </c>
      <c r="V30" s="24">
        <v>1</v>
      </c>
    </row>
    <row r="31" spans="1:99" ht="13.5" customHeight="1">
      <c r="A31" s="20"/>
      <c r="B31" s="20"/>
      <c r="C31" s="3" t="s">
        <v>253</v>
      </c>
      <c r="G31" s="45">
        <v>312</v>
      </c>
      <c r="H31" s="45">
        <v>282</v>
      </c>
      <c r="I31" s="45">
        <v>334</v>
      </c>
      <c r="J31" s="45">
        <v>417</v>
      </c>
      <c r="K31" s="45">
        <v>370</v>
      </c>
      <c r="L31" s="716">
        <f>K31</f>
        <v>370</v>
      </c>
      <c r="M31" s="716">
        <f t="shared" ref="M31:S31" si="12">L31</f>
        <v>370</v>
      </c>
      <c r="N31" s="716">
        <f t="shared" si="12"/>
        <v>370</v>
      </c>
      <c r="O31" s="716">
        <f t="shared" si="12"/>
        <v>370</v>
      </c>
      <c r="P31" s="716">
        <f t="shared" si="12"/>
        <v>370</v>
      </c>
      <c r="Q31" s="716">
        <f t="shared" si="12"/>
        <v>370</v>
      </c>
      <c r="R31" s="716">
        <f t="shared" si="12"/>
        <v>370</v>
      </c>
      <c r="S31" s="716">
        <f t="shared" si="12"/>
        <v>370</v>
      </c>
      <c r="U31" s="93">
        <f t="shared" si="0"/>
        <v>1</v>
      </c>
      <c r="V31" s="24">
        <v>1</v>
      </c>
    </row>
    <row r="32" spans="1:99" ht="13.5" customHeight="1">
      <c r="A32" s="20"/>
      <c r="B32" s="20"/>
      <c r="C32" s="78" t="s">
        <v>254</v>
      </c>
      <c r="D32" s="32"/>
      <c r="E32" s="32"/>
      <c r="F32" s="1085"/>
      <c r="G32" s="218">
        <f t="shared" ref="G32:S32" si="13">G26+SUM(G28:G31)</f>
        <v>4235</v>
      </c>
      <c r="H32" s="218">
        <f t="shared" si="13"/>
        <v>2043</v>
      </c>
      <c r="I32" s="218">
        <f t="shared" si="13"/>
        <v>3706</v>
      </c>
      <c r="J32" s="218">
        <f t="shared" si="13"/>
        <v>4387</v>
      </c>
      <c r="K32" s="218">
        <f t="shared" si="13"/>
        <v>4736</v>
      </c>
      <c r="L32" s="649">
        <f t="shared" si="13"/>
        <v>4176.303553464596</v>
      </c>
      <c r="M32" s="649">
        <f t="shared" si="13"/>
        <v>4497.8652342085279</v>
      </c>
      <c r="N32" s="649">
        <f t="shared" si="13"/>
        <v>4880.6713841610735</v>
      </c>
      <c r="O32" s="649">
        <f t="shared" si="13"/>
        <v>5113.6397019534697</v>
      </c>
      <c r="P32" s="649">
        <f t="shared" si="13"/>
        <v>5555.2843812290448</v>
      </c>
      <c r="Q32" s="649">
        <f t="shared" si="13"/>
        <v>5924.7161790961891</v>
      </c>
      <c r="R32" s="649">
        <f t="shared" si="13"/>
        <v>6342.5068768739911</v>
      </c>
      <c r="S32" s="649">
        <f t="shared" si="13"/>
        <v>6745.1877680629304</v>
      </c>
      <c r="U32" s="93">
        <f t="shared" si="0"/>
        <v>1</v>
      </c>
      <c r="V32" s="24">
        <v>1</v>
      </c>
    </row>
    <row r="33" spans="1:22" ht="13.5" customHeight="1">
      <c r="A33" s="20"/>
      <c r="B33" s="20"/>
      <c r="G33" s="61"/>
      <c r="H33" s="61"/>
      <c r="I33" s="61"/>
      <c r="J33" s="61"/>
      <c r="K33" s="1019"/>
      <c r="L33" s="61"/>
      <c r="M33" s="61"/>
      <c r="N33" s="61"/>
      <c r="O33" s="61"/>
      <c r="P33" s="61"/>
      <c r="Q33" s="61"/>
      <c r="R33" s="61"/>
      <c r="S33" s="61"/>
      <c r="U33" s="93">
        <f t="shared" si="0"/>
        <v>0</v>
      </c>
      <c r="V33" s="24">
        <v>0</v>
      </c>
    </row>
    <row r="34" spans="1:22" ht="13.5" customHeight="1">
      <c r="A34" s="20"/>
      <c r="B34" s="20"/>
      <c r="C34" s="96" t="s">
        <v>255</v>
      </c>
      <c r="D34" s="96"/>
      <c r="E34" s="96"/>
      <c r="F34" s="1125"/>
      <c r="G34" s="976">
        <v>-898</v>
      </c>
      <c r="H34" s="976">
        <v>-589</v>
      </c>
      <c r="I34" s="976">
        <v>-907</v>
      </c>
      <c r="J34" s="976">
        <v>-1049</v>
      </c>
      <c r="K34" s="976">
        <v>-970</v>
      </c>
      <c r="L34" s="713">
        <f>-L32*'DCF - Assumptions'!L179</f>
        <v>-855.30696774954936</v>
      </c>
      <c r="M34" s="713">
        <f>-M32*'DCF - Assumptions'!M179</f>
        <v>-921.16279996590652</v>
      </c>
      <c r="N34" s="713">
        <f>-N32*'DCF - Assumptions'!N179</f>
        <v>-999.56149947618792</v>
      </c>
      <c r="O34" s="713">
        <f>-O32*'DCF - Assumptions'!O179</f>
        <v>-1047.2734109600706</v>
      </c>
      <c r="P34" s="713">
        <f>-P32*'DCF - Assumptions'!P179</f>
        <v>-1137.7222412757085</v>
      </c>
      <c r="Q34" s="713">
        <f>-Q32*'DCF - Assumptions'!Q179</f>
        <v>-1213.3818734788995</v>
      </c>
      <c r="R34" s="713">
        <f>-R32*'DCF - Assumptions'!R179</f>
        <v>-1298.9454083837934</v>
      </c>
      <c r="S34" s="713">
        <f>-S32*'DCF - Assumptions'!S179</f>
        <v>-1381.4144548992883</v>
      </c>
      <c r="U34" s="93">
        <f t="shared" si="0"/>
        <v>1</v>
      </c>
      <c r="V34" s="24">
        <v>1</v>
      </c>
    </row>
    <row r="35" spans="1:22" ht="13.5" customHeight="1">
      <c r="A35" s="20"/>
      <c r="B35" s="20"/>
      <c r="C35" s="23" t="s">
        <v>256</v>
      </c>
      <c r="G35" s="22">
        <f t="shared" ref="G35:S35" si="14">SUM(G32:G34)</f>
        <v>3337</v>
      </c>
      <c r="H35" s="22">
        <f t="shared" si="14"/>
        <v>1454</v>
      </c>
      <c r="I35" s="22">
        <f t="shared" si="14"/>
        <v>2799</v>
      </c>
      <c r="J35" s="22">
        <f t="shared" si="14"/>
        <v>3338</v>
      </c>
      <c r="K35" s="22">
        <f t="shared" si="14"/>
        <v>3766</v>
      </c>
      <c r="L35" s="670">
        <f t="shared" si="14"/>
        <v>3320.9965857150464</v>
      </c>
      <c r="M35" s="670">
        <f t="shared" si="14"/>
        <v>3576.7024342426212</v>
      </c>
      <c r="N35" s="670">
        <f t="shared" si="14"/>
        <v>3881.1098846848854</v>
      </c>
      <c r="O35" s="670">
        <f t="shared" si="14"/>
        <v>4066.3662909933992</v>
      </c>
      <c r="P35" s="670">
        <f t="shared" si="14"/>
        <v>4417.5621399533366</v>
      </c>
      <c r="Q35" s="670">
        <f t="shared" si="14"/>
        <v>4711.3343056172898</v>
      </c>
      <c r="R35" s="670">
        <f t="shared" si="14"/>
        <v>5043.5614684901975</v>
      </c>
      <c r="S35" s="670">
        <f t="shared" si="14"/>
        <v>5363.7733131636423</v>
      </c>
      <c r="U35" s="93">
        <f t="shared" si="0"/>
        <v>1</v>
      </c>
      <c r="V35" s="24">
        <v>1</v>
      </c>
    </row>
    <row r="36" spans="1:22" ht="13.5" customHeight="1">
      <c r="A36" s="20"/>
      <c r="B36" s="20"/>
      <c r="C36" s="361"/>
      <c r="G36" s="22"/>
      <c r="H36" s="22"/>
      <c r="I36" s="22"/>
      <c r="J36" s="22"/>
      <c r="K36" s="22"/>
      <c r="L36" s="22"/>
      <c r="M36" s="22"/>
      <c r="N36" s="22"/>
      <c r="O36" s="22"/>
      <c r="P36" s="22"/>
      <c r="Q36" s="22"/>
      <c r="R36" s="22"/>
      <c r="S36" s="22"/>
      <c r="U36" s="93">
        <f t="shared" si="0"/>
        <v>0</v>
      </c>
      <c r="V36" s="24">
        <v>0</v>
      </c>
    </row>
    <row r="37" spans="1:22" ht="13.5" customHeight="1">
      <c r="A37" s="20"/>
      <c r="B37" s="20"/>
      <c r="C37" s="3" t="s">
        <v>257</v>
      </c>
      <c r="F37" s="1058">
        <f>K37/($K$37+$K$38)</f>
        <v>0.9915029208709506</v>
      </c>
      <c r="G37" s="82">
        <v>3160</v>
      </c>
      <c r="H37" s="82">
        <v>1409</v>
      </c>
      <c r="I37" s="82">
        <v>2660</v>
      </c>
      <c r="J37" s="82">
        <v>3249</v>
      </c>
      <c r="K37" s="82">
        <v>3734</v>
      </c>
      <c r="L37" s="644">
        <f t="shared" ref="L37:S37" si="15">L35*$F37</f>
        <v>3292.7778149389228</v>
      </c>
      <c r="M37" s="644">
        <f t="shared" si="15"/>
        <v>3546.3109106377979</v>
      </c>
      <c r="N37" s="644">
        <f t="shared" si="15"/>
        <v>3848.131786886182</v>
      </c>
      <c r="O37" s="644">
        <f t="shared" si="15"/>
        <v>4031.8140548511292</v>
      </c>
      <c r="P37" s="644">
        <f t="shared" si="15"/>
        <v>4380.0257648926599</v>
      </c>
      <c r="Q37" s="644">
        <f t="shared" si="15"/>
        <v>4671.3017252190548</v>
      </c>
      <c r="R37" s="644">
        <f t="shared" si="15"/>
        <v>5000.7059276002119</v>
      </c>
      <c r="S37" s="644">
        <f t="shared" si="15"/>
        <v>5318.1969068914077</v>
      </c>
      <c r="U37" s="93">
        <f t="shared" si="0"/>
        <v>1</v>
      </c>
      <c r="V37" s="24">
        <v>1</v>
      </c>
    </row>
    <row r="38" spans="1:22" ht="13.5" customHeight="1">
      <c r="A38" s="20"/>
      <c r="B38" s="20"/>
      <c r="C38" s="3" t="s">
        <v>258</v>
      </c>
      <c r="F38" s="1058">
        <f>K38/($K$37+$K$38)</f>
        <v>8.4970791290493886E-3</v>
      </c>
      <c r="G38" s="82">
        <v>177</v>
      </c>
      <c r="H38" s="82">
        <v>45</v>
      </c>
      <c r="I38" s="82">
        <v>139</v>
      </c>
      <c r="J38" s="82">
        <v>89</v>
      </c>
      <c r="K38" s="82">
        <v>32</v>
      </c>
      <c r="L38" s="644">
        <f t="shared" ref="L38:S38" si="16">L35*$F38</f>
        <v>28.218770776123598</v>
      </c>
      <c r="M38" s="644">
        <f t="shared" si="16"/>
        <v>30.391523604823121</v>
      </c>
      <c r="N38" s="644">
        <f t="shared" si="16"/>
        <v>32.978097798703217</v>
      </c>
      <c r="O38" s="644">
        <f t="shared" si="16"/>
        <v>34.552236142269983</v>
      </c>
      <c r="P38" s="644">
        <f t="shared" si="16"/>
        <v>37.536375060676249</v>
      </c>
      <c r="Q38" s="644">
        <f t="shared" si="16"/>
        <v>40.032580398235069</v>
      </c>
      <c r="R38" s="644">
        <f t="shared" si="16"/>
        <v>42.85554088998574</v>
      </c>
      <c r="S38" s="644">
        <f t="shared" si="16"/>
        <v>45.576406272234877</v>
      </c>
      <c r="U38" s="93">
        <f t="shared" si="0"/>
        <v>1</v>
      </c>
      <c r="V38" s="24">
        <v>1</v>
      </c>
    </row>
    <row r="39" spans="1:22" ht="13.5" customHeight="1">
      <c r="A39" s="20"/>
      <c r="B39" s="20"/>
      <c r="G39" s="75"/>
      <c r="H39" s="75"/>
      <c r="I39" s="75"/>
      <c r="J39" s="75"/>
      <c r="K39" s="75"/>
      <c r="U39" s="93">
        <f t="shared" si="0"/>
        <v>0</v>
      </c>
      <c r="V39" s="24">
        <v>0</v>
      </c>
    </row>
    <row r="40" spans="1:22" ht="13.5" customHeight="1">
      <c r="A40" s="20"/>
      <c r="B40" s="20"/>
      <c r="C40" s="669" t="s">
        <v>259</v>
      </c>
      <c r="D40" s="173"/>
      <c r="E40" s="173"/>
      <c r="F40" s="1093"/>
      <c r="G40" s="1011">
        <v>2428</v>
      </c>
      <c r="H40" s="1011">
        <v>2354</v>
      </c>
      <c r="I40" s="1011">
        <v>2345</v>
      </c>
      <c r="J40" s="1011">
        <v>2325</v>
      </c>
      <c r="K40" s="1011">
        <v>2271</v>
      </c>
      <c r="L40" s="1012">
        <f>'DCF - Assumptions'!L197</f>
        <v>2093.4227889798276</v>
      </c>
      <c r="M40" s="1012">
        <f>'DCF - Assumptions'!M197</f>
        <v>2035.1094390481069</v>
      </c>
      <c r="N40" s="1012">
        <f>'DCF - Assumptions'!N197</f>
        <v>1894.3639317432353</v>
      </c>
      <c r="O40" s="1012">
        <f>'DCF - Assumptions'!O197</f>
        <v>1791.1160844653439</v>
      </c>
      <c r="P40" s="1012">
        <f>'DCF - Assumptions'!P197</f>
        <v>1645.4179301507859</v>
      </c>
      <c r="Q40" s="1012">
        <f>'DCF - Assumptions'!Q197</f>
        <v>1512.6061606418086</v>
      </c>
      <c r="R40" s="1012">
        <f>'DCF - Assumptions'!R197</f>
        <v>1351.0519859218534</v>
      </c>
      <c r="S40" s="1012">
        <f>'DCF - Assumptions'!S197</f>
        <v>1182.0546507148249</v>
      </c>
      <c r="U40" s="93">
        <f t="shared" si="0"/>
        <v>1</v>
      </c>
      <c r="V40" s="24">
        <v>1</v>
      </c>
    </row>
    <row r="41" spans="1:22" ht="13.5" customHeight="1">
      <c r="A41" s="20"/>
      <c r="B41" s="20"/>
      <c r="C41" s="669" t="s">
        <v>260</v>
      </c>
      <c r="D41" s="173"/>
      <c r="E41" s="173"/>
      <c r="F41" s="1093"/>
      <c r="G41" s="1150">
        <f t="shared" ref="G41:H41" si="17">G37/G40</f>
        <v>1.3014827018121911</v>
      </c>
      <c r="H41" s="1150">
        <f t="shared" si="17"/>
        <v>0.59855564995751909</v>
      </c>
      <c r="I41" s="1150">
        <f>I37/I40</f>
        <v>1.1343283582089552</v>
      </c>
      <c r="J41" s="1150">
        <f t="shared" ref="J41:S41" si="18">J37/J40</f>
        <v>1.3974193548387097</v>
      </c>
      <c r="K41" s="1150">
        <f t="shared" si="18"/>
        <v>1.6442095992954646</v>
      </c>
      <c r="L41" s="1151">
        <f t="shared" si="18"/>
        <v>1.5729158162759698</v>
      </c>
      <c r="M41" s="1151">
        <f t="shared" si="18"/>
        <v>1.7425652117738364</v>
      </c>
      <c r="N41" s="1151">
        <f t="shared" si="18"/>
        <v>2.0313582424181011</v>
      </c>
      <c r="O41" s="1151">
        <f t="shared" si="18"/>
        <v>2.2510065594406425</v>
      </c>
      <c r="P41" s="1151">
        <f t="shared" si="18"/>
        <v>2.6619533460968636</v>
      </c>
      <c r="Q41" s="1151">
        <f t="shared" si="18"/>
        <v>3.0882471900266433</v>
      </c>
      <c r="R41" s="1151">
        <f t="shared" si="18"/>
        <v>3.7013423463406681</v>
      </c>
      <c r="S41" s="1152">
        <f t="shared" si="18"/>
        <v>4.4991125441411102</v>
      </c>
      <c r="U41" s="93">
        <f t="shared" si="0"/>
        <v>1</v>
      </c>
      <c r="V41" s="24">
        <v>1</v>
      </c>
    </row>
    <row r="42" spans="1:22" ht="13.5" customHeight="1">
      <c r="C42" s="361"/>
      <c r="K42" s="6"/>
      <c r="L42" s="6"/>
      <c r="U42" s="93">
        <f t="shared" si="0"/>
        <v>0</v>
      </c>
      <c r="V42" s="24">
        <v>0</v>
      </c>
    </row>
    <row r="43" spans="1:22" ht="13.5" customHeight="1">
      <c r="A43" s="20"/>
      <c r="B43" s="20"/>
      <c r="C43" s="96" t="s">
        <v>261</v>
      </c>
      <c r="D43" s="96"/>
      <c r="E43" s="96"/>
      <c r="F43" s="1125"/>
      <c r="G43" s="976">
        <v>287</v>
      </c>
      <c r="H43" s="976">
        <v>-164</v>
      </c>
      <c r="I43" s="976">
        <v>-865</v>
      </c>
      <c r="J43" s="976">
        <v>1482</v>
      </c>
      <c r="K43" s="976">
        <v>-802</v>
      </c>
      <c r="L43" s="713">
        <v>0</v>
      </c>
      <c r="M43" s="713">
        <v>0</v>
      </c>
      <c r="N43" s="713">
        <v>0</v>
      </c>
      <c r="O43" s="713">
        <v>0</v>
      </c>
      <c r="P43" s="713">
        <v>0</v>
      </c>
      <c r="Q43" s="713">
        <v>0</v>
      </c>
      <c r="R43" s="713">
        <v>0</v>
      </c>
      <c r="S43" s="713">
        <v>0</v>
      </c>
      <c r="U43" s="93">
        <f t="shared" si="0"/>
        <v>1</v>
      </c>
      <c r="V43" s="24">
        <v>1</v>
      </c>
    </row>
    <row r="44" spans="1:22" ht="13.5" customHeight="1">
      <c r="A44" s="1059"/>
      <c r="B44" s="1059"/>
      <c r="C44" s="3" t="s">
        <v>262</v>
      </c>
      <c r="G44" s="6">
        <f>G43+G35</f>
        <v>3624</v>
      </c>
      <c r="H44" s="6">
        <f t="shared" ref="H44:S44" si="19">H43+H35</f>
        <v>1290</v>
      </c>
      <c r="I44" s="6">
        <f t="shared" si="19"/>
        <v>1934</v>
      </c>
      <c r="J44" s="6">
        <f t="shared" si="19"/>
        <v>4820</v>
      </c>
      <c r="K44" s="6">
        <f t="shared" si="19"/>
        <v>2964</v>
      </c>
      <c r="L44" s="644">
        <f t="shared" si="19"/>
        <v>3320.9965857150464</v>
      </c>
      <c r="M44" s="644">
        <f t="shared" si="19"/>
        <v>3576.7024342426212</v>
      </c>
      <c r="N44" s="644">
        <f t="shared" si="19"/>
        <v>3881.1098846848854</v>
      </c>
      <c r="O44" s="644">
        <f t="shared" si="19"/>
        <v>4066.3662909933992</v>
      </c>
      <c r="P44" s="644">
        <f t="shared" si="19"/>
        <v>4417.5621399533366</v>
      </c>
      <c r="Q44" s="644">
        <f t="shared" si="19"/>
        <v>4711.3343056172898</v>
      </c>
      <c r="R44" s="644">
        <f t="shared" si="19"/>
        <v>5043.5614684901975</v>
      </c>
      <c r="S44" s="644">
        <f t="shared" si="19"/>
        <v>5363.7733131636423</v>
      </c>
      <c r="U44" s="93">
        <f t="shared" si="0"/>
        <v>1</v>
      </c>
      <c r="V44" s="24">
        <v>1</v>
      </c>
    </row>
    <row r="45" spans="1:22" ht="13.5" customHeight="1">
      <c r="C45" s="361"/>
      <c r="K45" s="6"/>
      <c r="L45" s="6"/>
      <c r="U45" s="93">
        <f t="shared" si="0"/>
        <v>0</v>
      </c>
      <c r="V45" s="24">
        <v>0</v>
      </c>
    </row>
    <row r="46" spans="1:22" ht="13.5" customHeight="1">
      <c r="A46" s="20"/>
      <c r="B46" s="20"/>
      <c r="C46" s="19" t="s">
        <v>263</v>
      </c>
      <c r="G46" s="6">
        <f>G61</f>
        <v>374</v>
      </c>
      <c r="H46" s="6">
        <f>H61</f>
        <v>1839</v>
      </c>
      <c r="I46" s="6">
        <f>I61</f>
        <v>447</v>
      </c>
      <c r="J46" s="6">
        <f>J61</f>
        <v>828</v>
      </c>
      <c r="K46" s="6">
        <f>K61</f>
        <v>1066</v>
      </c>
      <c r="L46" s="644">
        <f>'DCF - Assumptions'!L167</f>
        <v>2085.9819753014162</v>
      </c>
      <c r="M46" s="644">
        <f>'DCF - Assumptions'!M167</f>
        <v>1419.0252144661404</v>
      </c>
      <c r="N46" s="644">
        <f>'DCF - Assumptions'!N167</f>
        <v>1633.5147297818771</v>
      </c>
      <c r="O46" s="644">
        <f>'DCF - Assumptions'!O167</f>
        <v>1765.1177089482894</v>
      </c>
      <c r="P46" s="644">
        <f>'DCF - Assumptions'!P167</f>
        <v>2010.087567089512</v>
      </c>
      <c r="Q46" s="644">
        <f>'DCF - Assumptions'!Q167</f>
        <v>1976.3580793540591</v>
      </c>
      <c r="R46" s="644">
        <f>'DCF - Assumptions'!R167</f>
        <v>2150.2549371344057</v>
      </c>
      <c r="S46" s="644">
        <f>'DCF - Assumptions'!S167</f>
        <v>2306.0917044556209</v>
      </c>
      <c r="U46" s="93">
        <f t="shared" si="0"/>
        <v>1</v>
      </c>
      <c r="V46" s="24">
        <v>1</v>
      </c>
    </row>
    <row r="47" spans="1:22" ht="13.5" customHeight="1">
      <c r="A47" s="20"/>
      <c r="B47" s="20"/>
      <c r="C47" s="3" t="s">
        <v>250</v>
      </c>
      <c r="G47" s="6">
        <f>G28</f>
        <v>144</v>
      </c>
      <c r="H47" s="6">
        <f t="shared" ref="H47:K47" si="20">H28</f>
        <v>-23</v>
      </c>
      <c r="I47" s="6">
        <f t="shared" si="20"/>
        <v>14</v>
      </c>
      <c r="J47" s="6">
        <f t="shared" si="20"/>
        <v>-17</v>
      </c>
      <c r="K47" s="6">
        <f t="shared" si="20"/>
        <v>328</v>
      </c>
      <c r="L47" s="644">
        <f>L28</f>
        <v>0</v>
      </c>
      <c r="M47" s="644">
        <f t="shared" ref="M47:S47" si="21">M28</f>
        <v>0</v>
      </c>
      <c r="N47" s="644">
        <f t="shared" si="21"/>
        <v>0</v>
      </c>
      <c r="O47" s="644">
        <f t="shared" si="21"/>
        <v>0</v>
      </c>
      <c r="P47" s="644">
        <f t="shared" si="21"/>
        <v>0</v>
      </c>
      <c r="Q47" s="644">
        <f t="shared" si="21"/>
        <v>0</v>
      </c>
      <c r="R47" s="644">
        <f t="shared" si="21"/>
        <v>0</v>
      </c>
      <c r="S47" s="644">
        <f t="shared" si="21"/>
        <v>0</v>
      </c>
      <c r="U47" s="93">
        <f t="shared" si="0"/>
        <v>1</v>
      </c>
      <c r="V47" s="24">
        <v>1</v>
      </c>
    </row>
    <row r="48" spans="1:22" ht="13.5" customHeight="1">
      <c r="A48" s="20"/>
      <c r="B48" s="20"/>
      <c r="C48" s="3" t="s">
        <v>253</v>
      </c>
      <c r="G48" s="6">
        <f>G31</f>
        <v>312</v>
      </c>
      <c r="H48" s="6">
        <f t="shared" ref="H48:K48" si="22">H31</f>
        <v>282</v>
      </c>
      <c r="I48" s="6">
        <f t="shared" si="22"/>
        <v>334</v>
      </c>
      <c r="J48" s="6">
        <f t="shared" si="22"/>
        <v>417</v>
      </c>
      <c r="K48" s="6">
        <f t="shared" si="22"/>
        <v>370</v>
      </c>
      <c r="L48" s="644">
        <f>K48</f>
        <v>370</v>
      </c>
      <c r="M48" s="644">
        <f t="shared" ref="M48:S48" si="23">L48</f>
        <v>370</v>
      </c>
      <c r="N48" s="644">
        <f t="shared" si="23"/>
        <v>370</v>
      </c>
      <c r="O48" s="644">
        <f t="shared" si="23"/>
        <v>370</v>
      </c>
      <c r="P48" s="644">
        <f t="shared" si="23"/>
        <v>370</v>
      </c>
      <c r="Q48" s="644">
        <f t="shared" si="23"/>
        <v>370</v>
      </c>
      <c r="R48" s="644">
        <f t="shared" si="23"/>
        <v>370</v>
      </c>
      <c r="S48" s="644">
        <f t="shared" si="23"/>
        <v>370</v>
      </c>
      <c r="U48" s="93">
        <f t="shared" si="0"/>
        <v>1</v>
      </c>
      <c r="V48" s="24">
        <v>1</v>
      </c>
    </row>
    <row r="49" spans="1:99" ht="13.5" customHeight="1">
      <c r="A49" s="20"/>
      <c r="B49" s="20"/>
      <c r="C49" s="680" t="s">
        <v>264</v>
      </c>
      <c r="D49" s="32"/>
      <c r="E49" s="679"/>
      <c r="F49" s="1091"/>
      <c r="G49" s="218">
        <f>G26+SUM(G46:G48)</f>
        <v>4872</v>
      </c>
      <c r="H49" s="218">
        <f>H26+SUM(H46:H48)</f>
        <v>4235</v>
      </c>
      <c r="I49" s="218">
        <f>I26+SUM(I46:I48)</f>
        <v>4526</v>
      </c>
      <c r="J49" s="218">
        <f>J26+SUM(J46:J48)</f>
        <v>5637</v>
      </c>
      <c r="K49" s="218">
        <f>K26+SUM(K46:K48)</f>
        <v>6396</v>
      </c>
      <c r="L49" s="649">
        <f t="shared" ref="L49:S49" si="24">L26+SUM(L46:L48)</f>
        <v>6828.7414453014162</v>
      </c>
      <c r="M49" s="649">
        <f t="shared" si="24"/>
        <v>6453.7417254671418</v>
      </c>
      <c r="N49" s="649">
        <f t="shared" si="24"/>
        <v>6939.503986234462</v>
      </c>
      <c r="O49" s="649">
        <f t="shared" si="24"/>
        <v>7364.5173423140604</v>
      </c>
      <c r="P49" s="649">
        <f t="shared" si="24"/>
        <v>7946.1982327167962</v>
      </c>
      <c r="Q49" s="649">
        <f t="shared" si="24"/>
        <v>8319.3347354496746</v>
      </c>
      <c r="R49" s="649">
        <f t="shared" si="24"/>
        <v>8930.3778566957517</v>
      </c>
      <c r="S49" s="649">
        <f t="shared" si="24"/>
        <v>9528.9534360182752</v>
      </c>
      <c r="U49" s="93">
        <f t="shared" si="0"/>
        <v>1</v>
      </c>
      <c r="V49" s="24">
        <v>1</v>
      </c>
    </row>
    <row r="50" spans="1:99" ht="13.5" customHeight="1">
      <c r="A50" s="20"/>
      <c r="B50" s="20"/>
      <c r="C50" s="361"/>
      <c r="D50" s="1042"/>
      <c r="E50" s="682"/>
      <c r="F50" s="1092"/>
      <c r="G50" s="22"/>
      <c r="H50" s="22"/>
      <c r="I50" s="22"/>
      <c r="J50" s="22"/>
      <c r="K50" s="1147"/>
      <c r="L50" s="22"/>
      <c r="M50" s="22"/>
      <c r="N50" s="22"/>
      <c r="O50" s="22"/>
      <c r="P50" s="22"/>
      <c r="Q50" s="22"/>
      <c r="R50" s="22"/>
      <c r="S50" s="22"/>
      <c r="U50" s="93">
        <f t="shared" si="0"/>
        <v>0</v>
      </c>
      <c r="V50" s="24">
        <v>0</v>
      </c>
    </row>
    <row r="51" spans="1:99" ht="13.5" customHeight="1">
      <c r="A51" s="20"/>
      <c r="B51" s="20"/>
      <c r="C51" s="3" t="s">
        <v>265</v>
      </c>
      <c r="D51" s="1042"/>
      <c r="E51" s="682"/>
      <c r="F51" s="1092"/>
      <c r="G51" s="6">
        <f>'DCF - Capital Structure'!G56</f>
        <v>-7</v>
      </c>
      <c r="H51" s="6">
        <f>'DCF - Capital Structure'!H56</f>
        <v>-15</v>
      </c>
      <c r="I51" s="6">
        <f>'DCF - Capital Structure'!I56</f>
        <v>-16</v>
      </c>
      <c r="J51" s="6">
        <f>'DCF - Capital Structure'!J56</f>
        <v>-12</v>
      </c>
      <c r="K51" s="6">
        <f>'DCF - Capital Structure'!K56</f>
        <v>-15</v>
      </c>
      <c r="L51" s="1048">
        <f>'DCF - Capital Structure'!L56</f>
        <v>-14.736116535403923</v>
      </c>
      <c r="M51" s="1048">
        <f>'DCF - Capital Structure'!M56</f>
        <v>-15.014981420173044</v>
      </c>
      <c r="N51" s="1048">
        <f>'DCF - Capital Structure'!N56</f>
        <v>-15.779876690785676</v>
      </c>
      <c r="O51" s="1048">
        <f>'DCF - Capital Structure'!O56</f>
        <v>-16.56796058343819</v>
      </c>
      <c r="P51" s="1048">
        <f>'DCF - Capital Structure'!P56</f>
        <v>-17.409644444793489</v>
      </c>
      <c r="Q51" s="1048">
        <f>'DCF - Capital Structure'!Q56</f>
        <v>-18.316375677836007</v>
      </c>
      <c r="R51" s="1048">
        <f>'DCF - Capital Structure'!R56</f>
        <v>-19.274316256239711</v>
      </c>
      <c r="S51" s="1048">
        <f>'DCF - Capital Structure'!S56</f>
        <v>-20.291182804965413</v>
      </c>
      <c r="U51" s="93">
        <f t="shared" si="0"/>
        <v>1</v>
      </c>
      <c r="V51" s="24">
        <v>1</v>
      </c>
    </row>
    <row r="52" spans="1:99" ht="13.5" customHeight="1">
      <c r="A52" s="20"/>
      <c r="B52" s="20"/>
      <c r="C52" s="19" t="s">
        <v>250</v>
      </c>
      <c r="G52" s="6">
        <f>-G28</f>
        <v>-144</v>
      </c>
      <c r="H52" s="6">
        <f>-H28</f>
        <v>23</v>
      </c>
      <c r="I52" s="6">
        <f>-I28</f>
        <v>-14</v>
      </c>
      <c r="J52" s="6">
        <f>-J28</f>
        <v>17</v>
      </c>
      <c r="K52" s="6">
        <f>-K28</f>
        <v>-328</v>
      </c>
      <c r="L52" s="644">
        <f>L28</f>
        <v>0</v>
      </c>
      <c r="M52" s="644">
        <f t="shared" ref="M52:S52" si="25">M28</f>
        <v>0</v>
      </c>
      <c r="N52" s="644">
        <f t="shared" si="25"/>
        <v>0</v>
      </c>
      <c r="O52" s="644">
        <f t="shared" si="25"/>
        <v>0</v>
      </c>
      <c r="P52" s="644">
        <f t="shared" si="25"/>
        <v>0</v>
      </c>
      <c r="Q52" s="644">
        <f t="shared" si="25"/>
        <v>0</v>
      </c>
      <c r="R52" s="644">
        <f t="shared" si="25"/>
        <v>0</v>
      </c>
      <c r="S52" s="644">
        <f t="shared" si="25"/>
        <v>0</v>
      </c>
      <c r="U52" s="93">
        <f t="shared" si="0"/>
        <v>1</v>
      </c>
      <c r="V52" s="24">
        <v>1</v>
      </c>
    </row>
    <row r="53" spans="1:99" ht="13.5" customHeight="1">
      <c r="A53" s="20"/>
      <c r="B53" s="20"/>
      <c r="C53" s="680" t="s">
        <v>266</v>
      </c>
      <c r="D53" s="32"/>
      <c r="E53" s="679"/>
      <c r="F53" s="1091"/>
      <c r="G53" s="218">
        <f t="shared" ref="G53:J53" si="26">G49+G51+G52</f>
        <v>4721</v>
      </c>
      <c r="H53" s="218">
        <f t="shared" si="26"/>
        <v>4243</v>
      </c>
      <c r="I53" s="218">
        <f t="shared" si="26"/>
        <v>4496</v>
      </c>
      <c r="J53" s="218">
        <f t="shared" si="26"/>
        <v>5642</v>
      </c>
      <c r="K53" s="218">
        <f>K49+K51+K52</f>
        <v>6053</v>
      </c>
      <c r="L53" s="218">
        <f t="shared" ref="L53:S53" si="27">L49+L51+L52</f>
        <v>6814.0053287660121</v>
      </c>
      <c r="M53" s="218">
        <f t="shared" si="27"/>
        <v>6438.7267440469686</v>
      </c>
      <c r="N53" s="218">
        <f t="shared" si="27"/>
        <v>6923.7241095436766</v>
      </c>
      <c r="O53" s="218">
        <f t="shared" si="27"/>
        <v>7347.949381730622</v>
      </c>
      <c r="P53" s="218">
        <f t="shared" si="27"/>
        <v>7928.7885882720029</v>
      </c>
      <c r="Q53" s="218">
        <f t="shared" si="27"/>
        <v>8301.0183597718387</v>
      </c>
      <c r="R53" s="218">
        <f t="shared" si="27"/>
        <v>8911.1035404395116</v>
      </c>
      <c r="S53" s="218">
        <f t="shared" si="27"/>
        <v>9508.6622532133097</v>
      </c>
      <c r="U53" s="93">
        <f t="shared" si="0"/>
        <v>1</v>
      </c>
      <c r="V53" s="24">
        <v>1</v>
      </c>
    </row>
    <row r="54" spans="1:99" ht="13.5" customHeight="1">
      <c r="C54" s="121" t="s">
        <v>267</v>
      </c>
      <c r="D54" s="1"/>
      <c r="E54" s="1"/>
      <c r="F54" s="1089"/>
      <c r="G54" s="372">
        <f>G53/G$11</f>
        <v>0.36690759306753712</v>
      </c>
      <c r="H54" s="372">
        <f>H53/H$11</f>
        <v>0.36104492852280462</v>
      </c>
      <c r="I54" s="372">
        <f>I53/I$11</f>
        <v>0.35309824864525247</v>
      </c>
      <c r="J54" s="372">
        <f t="shared" ref="J54" si="28">J53/J$11</f>
        <v>0.36513072741392699</v>
      </c>
      <c r="K54" s="372">
        <f>K53/K$11</f>
        <v>0.35370770759072051</v>
      </c>
      <c r="L54" s="372">
        <f>L53/L11</f>
        <v>0.38333810088951431</v>
      </c>
      <c r="M54" s="372">
        <f t="shared" ref="M54:S54" si="29">M53/M11</f>
        <v>0.34369568986383181</v>
      </c>
      <c r="N54" s="372">
        <f t="shared" si="29"/>
        <v>0.34927290431652824</v>
      </c>
      <c r="O54" s="372">
        <f t="shared" si="29"/>
        <v>0.34987561179624821</v>
      </c>
      <c r="P54" s="372">
        <f t="shared" si="29"/>
        <v>0.3546944135824569</v>
      </c>
      <c r="Q54" s="372">
        <f t="shared" si="29"/>
        <v>0.34883036185590899</v>
      </c>
      <c r="R54" s="372">
        <f t="shared" si="29"/>
        <v>0.35171075875179564</v>
      </c>
      <c r="S54" s="372">
        <f t="shared" si="29"/>
        <v>0.3524367347428507</v>
      </c>
      <c r="T54"/>
      <c r="U54" s="93">
        <f t="shared" ref="U54" si="30">IF(NOT(ISBLANK(C54)), 1, 0)</f>
        <v>1</v>
      </c>
      <c r="V54" s="24">
        <v>1</v>
      </c>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row>
    <row r="55" spans="1:99" ht="13.5" customHeight="1">
      <c r="A55" s="20"/>
      <c r="B55" s="20"/>
      <c r="C55" s="681"/>
      <c r="D55" s="682"/>
      <c r="E55" s="682"/>
      <c r="F55" s="1092"/>
      <c r="G55" s="22"/>
      <c r="H55" s="22"/>
      <c r="I55" s="22"/>
      <c r="J55" s="22"/>
      <c r="K55" s="22"/>
      <c r="L55" s="22"/>
      <c r="M55" s="22"/>
      <c r="N55" s="22"/>
      <c r="O55" s="22"/>
      <c r="P55" s="22"/>
      <c r="Q55" s="22"/>
      <c r="R55" s="22"/>
      <c r="S55" s="22"/>
      <c r="U55" s="93">
        <f t="shared" si="0"/>
        <v>0</v>
      </c>
      <c r="V55" s="24">
        <v>0</v>
      </c>
    </row>
    <row r="56" spans="1:99" ht="13.5" customHeight="1">
      <c r="A56" s="19"/>
      <c r="B56" s="19"/>
      <c r="C56" s="926" t="s">
        <v>268</v>
      </c>
      <c r="D56" s="927"/>
      <c r="E56" s="927"/>
      <c r="F56" s="1087"/>
      <c r="G56" s="927"/>
      <c r="H56" s="927"/>
      <c r="I56" s="927"/>
      <c r="J56" s="927"/>
      <c r="K56" s="927"/>
      <c r="L56" s="927"/>
      <c r="M56" s="927"/>
      <c r="N56" s="927"/>
      <c r="O56" s="927"/>
      <c r="P56" s="927"/>
      <c r="Q56" s="927"/>
      <c r="R56" s="927"/>
      <c r="S56" s="927"/>
      <c r="U56" s="93">
        <f t="shared" si="0"/>
        <v>1</v>
      </c>
      <c r="V56" s="24">
        <v>1</v>
      </c>
      <c r="W56" s="19"/>
      <c r="X56" s="19"/>
      <c r="Y56" s="19"/>
      <c r="Z56" s="19"/>
      <c r="AA56" s="19"/>
      <c r="AB56" s="19"/>
      <c r="AC56" s="19"/>
      <c r="AD56" s="19"/>
      <c r="AE56" s="19"/>
      <c r="AF56" s="19"/>
      <c r="AG56" s="19"/>
      <c r="AH56" s="19"/>
      <c r="AI56" s="19"/>
      <c r="AJ56" s="19"/>
      <c r="AK56" s="19"/>
      <c r="AL56" s="19"/>
    </row>
    <row r="57" spans="1:99" ht="13.5" customHeight="1">
      <c r="G57" s="40"/>
      <c r="H57" s="40"/>
      <c r="I57" s="40"/>
      <c r="J57" s="39"/>
      <c r="K57" s="39"/>
      <c r="L57" s="214" t="str">
        <f>'DCF - Assumptions'!$L$6</f>
        <v>Projected Fiscal Years Ending June 31</v>
      </c>
      <c r="M57" s="214"/>
      <c r="N57" s="214"/>
      <c r="O57" s="214"/>
      <c r="P57" s="214"/>
      <c r="Q57" s="214"/>
      <c r="R57" s="214"/>
      <c r="S57" s="214"/>
      <c r="U57" s="93">
        <f t="shared" si="0"/>
        <v>0</v>
      </c>
      <c r="V57" s="24">
        <v>0</v>
      </c>
    </row>
    <row r="58" spans="1:99" ht="13.5" customHeight="1" thickBot="1">
      <c r="C58" s="57"/>
      <c r="D58" s="57"/>
      <c r="E58" s="57"/>
      <c r="F58" s="1094"/>
      <c r="G58" s="56">
        <f t="shared" ref="G58:S58" si="31">G$8</f>
        <v>2019</v>
      </c>
      <c r="H58" s="56">
        <f t="shared" si="31"/>
        <v>2020</v>
      </c>
      <c r="I58" s="56">
        <f t="shared" si="31"/>
        <v>2021</v>
      </c>
      <c r="J58" s="56">
        <f t="shared" si="31"/>
        <v>2022</v>
      </c>
      <c r="K58" s="56">
        <f t="shared" si="31"/>
        <v>2023</v>
      </c>
      <c r="L58" s="56">
        <f t="shared" si="31"/>
        <v>2024</v>
      </c>
      <c r="M58" s="56">
        <f t="shared" si="31"/>
        <v>2025</v>
      </c>
      <c r="N58" s="56">
        <f t="shared" si="31"/>
        <v>2026</v>
      </c>
      <c r="O58" s="56">
        <f t="shared" si="31"/>
        <v>2027</v>
      </c>
      <c r="P58" s="56">
        <f t="shared" si="31"/>
        <v>2028</v>
      </c>
      <c r="Q58" s="56">
        <f t="shared" si="31"/>
        <v>2029</v>
      </c>
      <c r="R58" s="56">
        <f t="shared" si="31"/>
        <v>2030</v>
      </c>
      <c r="S58" s="56">
        <f t="shared" si="31"/>
        <v>2031</v>
      </c>
      <c r="U58" s="93">
        <f t="shared" si="0"/>
        <v>0</v>
      </c>
      <c r="V58" s="24">
        <v>0</v>
      </c>
    </row>
    <row r="59" spans="1:99" ht="13.5" customHeight="1">
      <c r="A59" s="19"/>
      <c r="B59" s="19"/>
      <c r="C59" s="66" t="s">
        <v>269</v>
      </c>
      <c r="D59" s="19"/>
      <c r="E59" s="19"/>
      <c r="F59" s="1095"/>
      <c r="G59" s="71"/>
      <c r="H59" s="45"/>
      <c r="I59" s="45"/>
      <c r="J59" s="45"/>
      <c r="K59" s="45"/>
      <c r="L59" s="14"/>
      <c r="M59" s="14"/>
      <c r="N59" s="14"/>
      <c r="O59" s="14"/>
      <c r="P59" s="14"/>
      <c r="Q59" s="14"/>
      <c r="R59" s="14"/>
      <c r="S59" s="14"/>
      <c r="U59" s="93">
        <f t="shared" si="0"/>
        <v>1</v>
      </c>
      <c r="V59" s="24">
        <v>1</v>
      </c>
      <c r="W59" s="19"/>
      <c r="X59" s="19"/>
      <c r="Y59" s="19"/>
      <c r="Z59" s="19"/>
      <c r="AA59" s="19"/>
      <c r="AB59" s="19"/>
      <c r="AC59" s="19"/>
      <c r="AD59" s="19"/>
      <c r="AE59" s="19"/>
      <c r="AF59" s="19"/>
      <c r="AG59" s="19"/>
      <c r="AH59" s="19"/>
      <c r="AI59" s="19"/>
      <c r="AJ59" s="19"/>
      <c r="AK59" s="19"/>
      <c r="AL59" s="19"/>
    </row>
    <row r="60" spans="1:99" ht="13.5" customHeight="1">
      <c r="A60" s="19"/>
      <c r="B60" s="19"/>
      <c r="C60" s="19" t="s">
        <v>249</v>
      </c>
      <c r="D60" s="19"/>
      <c r="E60" s="19"/>
      <c r="F60" s="1095"/>
      <c r="G60" s="1171">
        <f t="shared" ref="G60:S60" si="32">G26</f>
        <v>4042</v>
      </c>
      <c r="H60" s="1172">
        <f t="shared" si="32"/>
        <v>2137</v>
      </c>
      <c r="I60" s="1172">
        <f t="shared" si="32"/>
        <v>3731</v>
      </c>
      <c r="J60" s="1172">
        <f t="shared" si="32"/>
        <v>4409</v>
      </c>
      <c r="K60" s="1172">
        <f t="shared" si="32"/>
        <v>4632</v>
      </c>
      <c r="L60" s="1173">
        <f t="shared" si="32"/>
        <v>4372.75947</v>
      </c>
      <c r="M60" s="1173">
        <f t="shared" si="32"/>
        <v>4664.716511001001</v>
      </c>
      <c r="N60" s="1173">
        <f t="shared" si="32"/>
        <v>4935.9892564525844</v>
      </c>
      <c r="O60" s="1173">
        <f t="shared" si="32"/>
        <v>5229.3996333657706</v>
      </c>
      <c r="P60" s="1173">
        <f t="shared" si="32"/>
        <v>5566.1106656272841</v>
      </c>
      <c r="Q60" s="1173">
        <f t="shared" si="32"/>
        <v>5972.9766560956159</v>
      </c>
      <c r="R60" s="1173">
        <f t="shared" si="32"/>
        <v>6410.122919561345</v>
      </c>
      <c r="S60" s="1173">
        <f t="shared" si="32"/>
        <v>6852.8617315626543</v>
      </c>
      <c r="U60" s="93">
        <f t="shared" si="0"/>
        <v>1</v>
      </c>
      <c r="V60" s="24">
        <v>1</v>
      </c>
      <c r="W60" s="19"/>
      <c r="X60" s="19"/>
      <c r="Y60" s="19"/>
      <c r="Z60" s="19"/>
      <c r="AA60" s="19"/>
      <c r="AB60" s="19"/>
      <c r="AC60" s="19"/>
      <c r="AD60" s="19"/>
      <c r="AE60" s="19"/>
      <c r="AF60" s="19"/>
      <c r="AG60" s="19"/>
      <c r="AH60" s="19"/>
      <c r="AI60" s="19"/>
      <c r="AJ60" s="19"/>
      <c r="AK60" s="19"/>
      <c r="AL60" s="19"/>
    </row>
    <row r="61" spans="1:99" ht="13.5" customHeight="1">
      <c r="A61" s="19"/>
      <c r="B61" s="19"/>
      <c r="C61" s="19" t="s">
        <v>263</v>
      </c>
      <c r="D61" s="19"/>
      <c r="E61" s="19"/>
      <c r="F61" s="1095"/>
      <c r="G61" s="49">
        <v>374</v>
      </c>
      <c r="H61" s="49">
        <v>1839</v>
      </c>
      <c r="I61" s="49">
        <v>447</v>
      </c>
      <c r="J61" s="49">
        <v>828</v>
      </c>
      <c r="K61" s="49">
        <v>1066</v>
      </c>
      <c r="L61" s="1109">
        <f>'DCF - Assumptions'!L167</f>
        <v>2085.9819753014162</v>
      </c>
      <c r="M61" s="717">
        <f>'DCF - Assumptions'!M167</f>
        <v>1419.0252144661404</v>
      </c>
      <c r="N61" s="717">
        <f>'DCF - Assumptions'!N167</f>
        <v>1633.5147297818771</v>
      </c>
      <c r="O61" s="717">
        <f>'DCF - Assumptions'!O167</f>
        <v>1765.1177089482894</v>
      </c>
      <c r="P61" s="717">
        <f>'DCF - Assumptions'!P167</f>
        <v>2010.087567089512</v>
      </c>
      <c r="Q61" s="717">
        <f>'DCF - Assumptions'!Q167</f>
        <v>1976.3580793540591</v>
      </c>
      <c r="R61" s="717">
        <f>'DCF - Assumptions'!R167</f>
        <v>2150.2549371344057</v>
      </c>
      <c r="S61" s="717">
        <f>'DCF - Assumptions'!S167</f>
        <v>2306.0917044556209</v>
      </c>
      <c r="U61" s="93">
        <f t="shared" si="0"/>
        <v>1</v>
      </c>
      <c r="V61" s="24">
        <v>1</v>
      </c>
      <c r="W61" s="19"/>
      <c r="X61" s="19"/>
      <c r="Y61" s="19"/>
      <c r="Z61" s="19"/>
      <c r="AA61" s="19"/>
      <c r="AB61" s="19"/>
      <c r="AC61" s="19"/>
      <c r="AD61" s="19"/>
      <c r="AE61" s="19"/>
      <c r="AF61" s="19"/>
      <c r="AG61" s="19"/>
      <c r="AH61" s="19"/>
      <c r="AI61" s="19"/>
      <c r="AJ61" s="19"/>
      <c r="AK61" s="19"/>
      <c r="AL61" s="19"/>
    </row>
    <row r="62" spans="1:99" ht="13.5" customHeight="1">
      <c r="A62" s="19"/>
      <c r="B62" s="19"/>
      <c r="C62" s="19" t="s">
        <v>270</v>
      </c>
      <c r="D62" s="1013"/>
      <c r="E62" s="19"/>
      <c r="F62" s="1095"/>
      <c r="G62" s="49">
        <v>168</v>
      </c>
      <c r="H62" s="49">
        <v>4</v>
      </c>
      <c r="I62" s="49">
        <v>290</v>
      </c>
      <c r="J62" s="49">
        <v>190</v>
      </c>
      <c r="K62" s="49">
        <v>219</v>
      </c>
      <c r="L62" s="717">
        <f>K62</f>
        <v>219</v>
      </c>
      <c r="M62" s="717">
        <f t="shared" ref="M62:S62" si="33">L62</f>
        <v>219</v>
      </c>
      <c r="N62" s="717">
        <f t="shared" si="33"/>
        <v>219</v>
      </c>
      <c r="O62" s="717">
        <f t="shared" si="33"/>
        <v>219</v>
      </c>
      <c r="P62" s="717">
        <f t="shared" si="33"/>
        <v>219</v>
      </c>
      <c r="Q62" s="717">
        <f t="shared" si="33"/>
        <v>219</v>
      </c>
      <c r="R62" s="717">
        <f t="shared" si="33"/>
        <v>219</v>
      </c>
      <c r="S62" s="717">
        <f t="shared" si="33"/>
        <v>219</v>
      </c>
      <c r="U62" s="93">
        <f t="shared" si="0"/>
        <v>1</v>
      </c>
      <c r="V62" s="24">
        <v>1</v>
      </c>
      <c r="W62" s="19"/>
      <c r="X62" s="19"/>
      <c r="Y62" s="19"/>
      <c r="Z62" s="19"/>
      <c r="AA62" s="19"/>
      <c r="AB62" s="19"/>
      <c r="AC62" s="19"/>
      <c r="AD62" s="19"/>
      <c r="AE62" s="19"/>
      <c r="AF62" s="19"/>
      <c r="AG62" s="19"/>
      <c r="AH62" s="19"/>
      <c r="AI62" s="19"/>
      <c r="AJ62" s="19"/>
      <c r="AK62" s="19"/>
      <c r="AL62" s="19"/>
    </row>
    <row r="63" spans="1:99" ht="13.5" customHeight="1">
      <c r="A63" s="19"/>
      <c r="B63" s="19"/>
      <c r="C63" s="19" t="s">
        <v>271</v>
      </c>
      <c r="D63" s="19"/>
      <c r="E63" s="19"/>
      <c r="F63" s="1095"/>
      <c r="G63" s="49">
        <v>-121</v>
      </c>
      <c r="H63" s="49">
        <v>-109</v>
      </c>
      <c r="I63" s="49">
        <v>-30</v>
      </c>
      <c r="J63" s="49">
        <v>-89</v>
      </c>
      <c r="K63" s="49">
        <v>-25</v>
      </c>
      <c r="L63" s="717">
        <v>0</v>
      </c>
      <c r="M63" s="717">
        <v>0</v>
      </c>
      <c r="N63" s="717">
        <v>0</v>
      </c>
      <c r="O63" s="717">
        <v>0</v>
      </c>
      <c r="P63" s="717">
        <v>0</v>
      </c>
      <c r="Q63" s="717">
        <v>0</v>
      </c>
      <c r="R63" s="717">
        <v>0</v>
      </c>
      <c r="S63" s="717">
        <v>0</v>
      </c>
      <c r="U63" s="93">
        <f t="shared" si="0"/>
        <v>1</v>
      </c>
      <c r="V63" s="24">
        <v>1</v>
      </c>
      <c r="W63" s="19"/>
      <c r="X63" s="19"/>
      <c r="Y63" s="19"/>
      <c r="Z63" s="19"/>
      <c r="AA63" s="19"/>
      <c r="AB63" s="19"/>
      <c r="AC63" s="19"/>
      <c r="AD63" s="19"/>
      <c r="AE63" s="19"/>
      <c r="AF63" s="19"/>
      <c r="AG63" s="19"/>
      <c r="AH63" s="19"/>
      <c r="AI63" s="19"/>
      <c r="AJ63" s="19"/>
      <c r="AK63" s="19"/>
      <c r="AL63" s="19"/>
    </row>
    <row r="64" spans="1:99" ht="13.5" customHeight="1">
      <c r="A64" s="19"/>
      <c r="B64" s="19"/>
      <c r="C64" s="19" t="s">
        <v>272</v>
      </c>
      <c r="D64" s="19"/>
      <c r="E64" s="19"/>
      <c r="F64" s="1095"/>
      <c r="G64" s="49">
        <v>64</v>
      </c>
      <c r="H64" s="49">
        <v>-14</v>
      </c>
      <c r="I64" s="49">
        <v>88</v>
      </c>
      <c r="J64" s="49">
        <v>53</v>
      </c>
      <c r="K64" s="49">
        <v>62</v>
      </c>
      <c r="L64" s="717">
        <v>0</v>
      </c>
      <c r="M64" s="717">
        <v>0</v>
      </c>
      <c r="N64" s="717">
        <v>0</v>
      </c>
      <c r="O64" s="717">
        <v>0</v>
      </c>
      <c r="P64" s="717">
        <v>0</v>
      </c>
      <c r="Q64" s="717">
        <v>0</v>
      </c>
      <c r="R64" s="717">
        <v>0</v>
      </c>
      <c r="S64" s="717">
        <v>0</v>
      </c>
      <c r="U64" s="93">
        <f t="shared" si="0"/>
        <v>1</v>
      </c>
      <c r="V64" s="24">
        <v>1</v>
      </c>
      <c r="W64" s="19"/>
      <c r="X64" s="19"/>
      <c r="Y64" s="19"/>
      <c r="Z64" s="19"/>
      <c r="AA64" s="19"/>
      <c r="AB64" s="19"/>
      <c r="AC64" s="19"/>
      <c r="AD64" s="19"/>
      <c r="AE64" s="19"/>
      <c r="AF64" s="19"/>
      <c r="AG64" s="19"/>
      <c r="AH64" s="19"/>
      <c r="AI64" s="19"/>
      <c r="AJ64" s="19"/>
      <c r="AK64" s="19"/>
      <c r="AL64" s="19"/>
    </row>
    <row r="65" spans="1:38" ht="13.5" customHeight="1">
      <c r="A65" s="19"/>
      <c r="B65" s="19"/>
      <c r="C65" s="19" t="s">
        <v>219</v>
      </c>
      <c r="D65" s="19"/>
      <c r="E65" s="19"/>
      <c r="F65" s="1095"/>
      <c r="G65" s="49">
        <v>0</v>
      </c>
      <c r="H65" s="49">
        <v>0</v>
      </c>
      <c r="I65" s="49">
        <v>0</v>
      </c>
      <c r="J65" s="49">
        <v>0</v>
      </c>
      <c r="K65" s="49">
        <v>0</v>
      </c>
      <c r="L65" s="1109">
        <f>'DCF - Assumptions'!L175</f>
        <v>180</v>
      </c>
      <c r="M65" s="717">
        <f>'DCF - Assumptions'!M175</f>
        <v>180</v>
      </c>
      <c r="N65" s="717">
        <f>'DCF - Assumptions'!N175</f>
        <v>180</v>
      </c>
      <c r="O65" s="717">
        <f>'DCF - Assumptions'!O175</f>
        <v>180</v>
      </c>
      <c r="P65" s="717">
        <f>'DCF - Assumptions'!P175</f>
        <v>180</v>
      </c>
      <c r="Q65" s="717">
        <f>'DCF - Assumptions'!Q175</f>
        <v>180</v>
      </c>
      <c r="R65" s="717">
        <f>'DCF - Assumptions'!R175</f>
        <v>180</v>
      </c>
      <c r="S65" s="717">
        <f>'DCF - Assumptions'!S175</f>
        <v>180</v>
      </c>
      <c r="U65" s="93">
        <f t="shared" si="0"/>
        <v>1</v>
      </c>
      <c r="V65" s="24">
        <v>1</v>
      </c>
      <c r="W65" s="19"/>
      <c r="X65" s="19"/>
      <c r="Y65" s="19"/>
      <c r="Z65" s="19"/>
      <c r="AA65" s="19"/>
      <c r="AB65" s="19"/>
      <c r="AC65" s="19"/>
      <c r="AD65" s="19"/>
      <c r="AE65" s="19"/>
      <c r="AF65" s="19"/>
      <c r="AG65" s="19"/>
      <c r="AH65" s="19"/>
      <c r="AI65" s="19"/>
      <c r="AJ65" s="19"/>
      <c r="AK65" s="19"/>
      <c r="AL65" s="19"/>
    </row>
    <row r="66" spans="1:38" ht="13.5" customHeight="1">
      <c r="A66" s="19"/>
      <c r="B66" s="19"/>
      <c r="C66" s="19" t="s">
        <v>226</v>
      </c>
      <c r="D66" s="19"/>
      <c r="E66" s="19"/>
      <c r="F66" s="1095"/>
      <c r="G66" s="49">
        <v>0</v>
      </c>
      <c r="H66" s="49">
        <v>0</v>
      </c>
      <c r="I66" s="49">
        <v>0</v>
      </c>
      <c r="J66" s="49">
        <v>0</v>
      </c>
      <c r="K66" s="49">
        <v>0</v>
      </c>
      <c r="L66" s="1109">
        <f>'DCF - Assumptions'!L186</f>
        <v>-76</v>
      </c>
      <c r="M66" s="717">
        <f>'DCF - Assumptions'!M186</f>
        <v>-76</v>
      </c>
      <c r="N66" s="717">
        <f>'DCF - Assumptions'!N186</f>
        <v>-76</v>
      </c>
      <c r="O66" s="717">
        <f>'DCF - Assumptions'!O186</f>
        <v>-76</v>
      </c>
      <c r="P66" s="717">
        <f>'DCF - Assumptions'!P186</f>
        <v>-76</v>
      </c>
      <c r="Q66" s="717">
        <f>'DCF - Assumptions'!Q186</f>
        <v>-76</v>
      </c>
      <c r="R66" s="717">
        <f>'DCF - Assumptions'!R186</f>
        <v>-76</v>
      </c>
      <c r="S66" s="717">
        <f>'DCF - Assumptions'!S186</f>
        <v>-76</v>
      </c>
      <c r="U66" s="93">
        <f t="shared" si="0"/>
        <v>1</v>
      </c>
      <c r="V66" s="24">
        <v>1</v>
      </c>
      <c r="W66" s="19"/>
      <c r="X66" s="19"/>
      <c r="Y66" s="19"/>
      <c r="Z66" s="19"/>
      <c r="AA66" s="19"/>
      <c r="AB66" s="19"/>
      <c r="AC66" s="19"/>
      <c r="AD66" s="19"/>
      <c r="AE66" s="19"/>
      <c r="AF66" s="19"/>
      <c r="AG66" s="19"/>
      <c r="AH66" s="19"/>
      <c r="AI66" s="19"/>
      <c r="AJ66" s="19"/>
      <c r="AK66" s="19"/>
      <c r="AL66" s="19"/>
    </row>
    <row r="67" spans="1:38" ht="13.5" customHeight="1">
      <c r="A67" s="19"/>
      <c r="B67" s="19"/>
      <c r="C67" s="19" t="s">
        <v>273</v>
      </c>
      <c r="D67" s="19"/>
      <c r="E67" s="19"/>
      <c r="F67" s="1095"/>
      <c r="G67" s="49">
        <v>216</v>
      </c>
      <c r="H67" s="49">
        <v>185</v>
      </c>
      <c r="I67" s="49">
        <v>89</v>
      </c>
      <c r="J67" s="49">
        <v>110</v>
      </c>
      <c r="K67" s="49">
        <v>131</v>
      </c>
      <c r="L67" s="1109">
        <f>'DCF - Assumptions'!L174</f>
        <v>71.95</v>
      </c>
      <c r="M67" s="717">
        <f>'DCF - Assumptions'!M174</f>
        <v>99.4</v>
      </c>
      <c r="N67" s="717">
        <f>'DCF - Assumptions'!N174</f>
        <v>101.55420000000001</v>
      </c>
      <c r="O67" s="717">
        <f>'DCF - Assumptions'!O174</f>
        <v>114.23699999999999</v>
      </c>
      <c r="P67" s="717">
        <f>'DCF - Assumptions'!P174</f>
        <v>244.303325</v>
      </c>
      <c r="Q67" s="717">
        <f>'DCF - Assumptions'!Q174</f>
        <v>266.53637499999996</v>
      </c>
      <c r="R67" s="717">
        <f>'DCF - Assumptions'!R174</f>
        <v>288.64516625000005</v>
      </c>
      <c r="S67" s="717">
        <f>'DCF - Assumptions'!S174</f>
        <v>310.75681874999998</v>
      </c>
      <c r="U67" s="93">
        <f t="shared" si="0"/>
        <v>1</v>
      </c>
      <c r="V67" s="24">
        <v>1</v>
      </c>
      <c r="W67" s="19"/>
      <c r="X67" s="19"/>
      <c r="Y67" s="19"/>
      <c r="Z67" s="19"/>
      <c r="AA67" s="19"/>
      <c r="AB67" s="19"/>
      <c r="AC67" s="19"/>
      <c r="AD67" s="19"/>
      <c r="AE67" s="19"/>
      <c r="AF67" s="19"/>
      <c r="AG67" s="19"/>
      <c r="AH67" s="19"/>
      <c r="AI67" s="19"/>
      <c r="AJ67" s="19"/>
      <c r="AK67" s="19"/>
      <c r="AL67" s="19"/>
    </row>
    <row r="68" spans="1:38" ht="13.5" customHeight="1">
      <c r="A68" s="19"/>
      <c r="B68" s="19"/>
      <c r="C68" s="19" t="s">
        <v>274</v>
      </c>
      <c r="D68" s="19"/>
      <c r="E68" s="19"/>
      <c r="F68" s="1095"/>
      <c r="G68" s="49">
        <v>-468</v>
      </c>
      <c r="H68" s="49">
        <v>-493</v>
      </c>
      <c r="I68" s="49">
        <v>-440</v>
      </c>
      <c r="J68" s="49">
        <v>-438</v>
      </c>
      <c r="K68" s="49">
        <v>-685</v>
      </c>
      <c r="L68" s="1109">
        <f>'DCF - Capital Structure'!L65</f>
        <v>-742.40591653540389</v>
      </c>
      <c r="M68" s="717">
        <f>'DCF - Capital Structure'!M65</f>
        <v>-740.25127679247271</v>
      </c>
      <c r="N68" s="717">
        <f>'DCF - Capital Structure'!N65</f>
        <v>-630.87207229151079</v>
      </c>
      <c r="O68" s="717">
        <f>'DCF - Capital Structure'!O65</f>
        <v>-703.99693141230114</v>
      </c>
      <c r="P68" s="717">
        <f>'DCF - Capital Structure'!P65</f>
        <v>-729.12960939823972</v>
      </c>
      <c r="Q68" s="717">
        <f>'DCF - Capital Structure'!Q65</f>
        <v>-788.79685199942639</v>
      </c>
      <c r="R68" s="717">
        <f>'DCF - Capital Structure'!R65</f>
        <v>-830.2612089373539</v>
      </c>
      <c r="S68" s="717">
        <f>'DCF - Capital Structure'!S65</f>
        <v>-892.43078224972362</v>
      </c>
      <c r="U68" s="93">
        <f t="shared" si="0"/>
        <v>1</v>
      </c>
      <c r="V68" s="24">
        <v>1</v>
      </c>
      <c r="W68" s="19"/>
      <c r="X68" s="19"/>
      <c r="Y68" s="19"/>
      <c r="Z68" s="19"/>
      <c r="AA68" s="19"/>
      <c r="AB68" s="19"/>
      <c r="AC68" s="19"/>
      <c r="AD68" s="19"/>
      <c r="AE68" s="19"/>
      <c r="AF68" s="19"/>
      <c r="AG68" s="19"/>
      <c r="AH68" s="19"/>
      <c r="AI68" s="19"/>
      <c r="AJ68" s="19"/>
      <c r="AK68" s="19"/>
      <c r="AL68" s="19"/>
    </row>
    <row r="69" spans="1:38" ht="13.5" customHeight="1">
      <c r="A69" s="19"/>
      <c r="B69" s="19"/>
      <c r="C69" s="19" t="s">
        <v>275</v>
      </c>
      <c r="D69" s="1013"/>
      <c r="E69" s="19"/>
      <c r="F69" s="1095"/>
      <c r="G69" s="49">
        <v>-805</v>
      </c>
      <c r="H69" s="49">
        <v>-901</v>
      </c>
      <c r="I69" s="49">
        <v>-852</v>
      </c>
      <c r="J69" s="49">
        <v>-949</v>
      </c>
      <c r="K69" s="49">
        <v>-1201</v>
      </c>
      <c r="L69" s="1109">
        <f t="shared" ref="L69:S69" si="34">L34</f>
        <v>-855.30696774954936</v>
      </c>
      <c r="M69" s="717">
        <f t="shared" si="34"/>
        <v>-921.16279996590652</v>
      </c>
      <c r="N69" s="717">
        <f t="shared" si="34"/>
        <v>-999.56149947618792</v>
      </c>
      <c r="O69" s="717">
        <f t="shared" si="34"/>
        <v>-1047.2734109600706</v>
      </c>
      <c r="P69" s="717">
        <f t="shared" si="34"/>
        <v>-1137.7222412757085</v>
      </c>
      <c r="Q69" s="717">
        <f t="shared" si="34"/>
        <v>-1213.3818734788995</v>
      </c>
      <c r="R69" s="717">
        <f t="shared" si="34"/>
        <v>-1298.9454083837934</v>
      </c>
      <c r="S69" s="717">
        <f t="shared" si="34"/>
        <v>-1381.4144548992883</v>
      </c>
      <c r="U69" s="93">
        <f t="shared" si="0"/>
        <v>1</v>
      </c>
      <c r="V69" s="24">
        <v>1</v>
      </c>
      <c r="W69" s="19"/>
      <c r="X69" s="19"/>
      <c r="Y69" s="19"/>
      <c r="Z69" s="19"/>
      <c r="AA69" s="19"/>
      <c r="AB69" s="19"/>
      <c r="AC69" s="19"/>
      <c r="AD69" s="19"/>
      <c r="AE69" s="19"/>
      <c r="AF69" s="19"/>
      <c r="AG69" s="19"/>
      <c r="AH69" s="19"/>
      <c r="AI69" s="19"/>
      <c r="AJ69" s="19"/>
      <c r="AK69" s="19"/>
      <c r="AL69" s="19"/>
    </row>
    <row r="70" spans="1:38" ht="13.5" customHeight="1">
      <c r="A70" s="19"/>
      <c r="B70" s="19"/>
      <c r="C70" s="671" t="s">
        <v>276</v>
      </c>
      <c r="D70" s="659"/>
      <c r="E70" s="659"/>
      <c r="F70" s="1096"/>
      <c r="G70" s="666">
        <f>SUM(G60:G69)</f>
        <v>3470</v>
      </c>
      <c r="H70" s="666">
        <f>SUM(H60:H69)</f>
        <v>2648</v>
      </c>
      <c r="I70" s="666">
        <f>SUM(I60:I69)</f>
        <v>3323</v>
      </c>
      <c r="J70" s="666">
        <f>SUM(J60:J69)</f>
        <v>4114</v>
      </c>
      <c r="K70" s="666">
        <f>SUM(K60:K69)</f>
        <v>4199</v>
      </c>
      <c r="L70" s="666">
        <f t="shared" ref="L70:S70" si="35">SUM(L60:L69)</f>
        <v>5255.9785610164627</v>
      </c>
      <c r="M70" s="666">
        <f t="shared" si="35"/>
        <v>4844.727648708762</v>
      </c>
      <c r="N70" s="666">
        <f t="shared" si="35"/>
        <v>5363.624614466763</v>
      </c>
      <c r="O70" s="666">
        <f t="shared" si="35"/>
        <v>5680.483999941689</v>
      </c>
      <c r="P70" s="666">
        <f t="shared" si="35"/>
        <v>6276.6497070428477</v>
      </c>
      <c r="Q70" s="666">
        <f t="shared" si="35"/>
        <v>6536.6923849713485</v>
      </c>
      <c r="R70" s="666">
        <f t="shared" si="35"/>
        <v>7042.8164056246042</v>
      </c>
      <c r="S70" s="666">
        <f t="shared" si="35"/>
        <v>7518.8650176192641</v>
      </c>
      <c r="U70" s="93">
        <f t="shared" si="0"/>
        <v>1</v>
      </c>
      <c r="V70" s="24">
        <v>1</v>
      </c>
      <c r="W70" s="19"/>
      <c r="X70" s="19"/>
      <c r="Y70" s="19"/>
      <c r="Z70" s="19"/>
      <c r="AA70" s="19"/>
      <c r="AB70" s="19"/>
      <c r="AC70" s="19"/>
      <c r="AD70" s="19"/>
      <c r="AE70" s="19"/>
      <c r="AF70" s="19"/>
      <c r="AG70" s="19"/>
      <c r="AH70" s="19"/>
      <c r="AI70" s="19"/>
      <c r="AJ70" s="19"/>
      <c r="AK70" s="19"/>
      <c r="AL70" s="19"/>
    </row>
    <row r="71" spans="1:38" ht="13.5" customHeight="1">
      <c r="A71" s="19"/>
      <c r="B71" s="19"/>
      <c r="C71" s="69"/>
      <c r="D71" s="19"/>
      <c r="E71" s="19"/>
      <c r="F71" s="1095"/>
      <c r="G71" s="19"/>
      <c r="H71" s="1023"/>
      <c r="I71" s="19"/>
      <c r="J71" s="14"/>
      <c r="K71" s="14"/>
      <c r="L71" s="14"/>
      <c r="M71" s="14"/>
      <c r="N71" s="14"/>
      <c r="O71" s="14"/>
      <c r="P71" s="14"/>
      <c r="Q71" s="14"/>
      <c r="R71" s="14"/>
      <c r="S71" s="14"/>
      <c r="U71" s="93">
        <f t="shared" si="0"/>
        <v>0</v>
      </c>
      <c r="V71" s="24">
        <v>0</v>
      </c>
      <c r="W71" s="19"/>
      <c r="X71" s="19"/>
      <c r="Y71" s="19"/>
      <c r="Z71" s="19"/>
      <c r="AA71" s="19"/>
      <c r="AB71" s="19"/>
      <c r="AC71" s="19"/>
      <c r="AD71" s="19"/>
      <c r="AE71" s="19"/>
      <c r="AF71" s="19"/>
      <c r="AG71" s="19"/>
      <c r="AH71" s="19"/>
      <c r="AI71" s="19"/>
      <c r="AJ71" s="19"/>
      <c r="AK71" s="19"/>
      <c r="AL71" s="19"/>
    </row>
    <row r="72" spans="1:38" ht="13.5" customHeight="1">
      <c r="A72" s="19"/>
      <c r="B72" s="19"/>
      <c r="C72" s="70" t="s">
        <v>192</v>
      </c>
      <c r="D72" s="19"/>
      <c r="E72" s="19"/>
      <c r="F72" s="1095"/>
      <c r="G72" s="45">
        <v>-434</v>
      </c>
      <c r="H72" s="45">
        <v>-366</v>
      </c>
      <c r="I72" s="45">
        <v>-443</v>
      </c>
      <c r="J72" s="45">
        <v>-740</v>
      </c>
      <c r="K72" s="45">
        <v>-675</v>
      </c>
      <c r="L72" s="1153">
        <f>-(L125-K125)</f>
        <v>-296.5576547069486</v>
      </c>
      <c r="M72" s="719">
        <f>-(M125-L125)</f>
        <v>-391.56104377027623</v>
      </c>
      <c r="N72" s="719">
        <f t="shared" ref="N72:S72" si="36">-(N125-M125)</f>
        <v>-445.88961904473581</v>
      </c>
      <c r="O72" s="719">
        <f t="shared" si="36"/>
        <v>-480.79912440267981</v>
      </c>
      <c r="P72" s="719">
        <f t="shared" si="36"/>
        <v>-552.54376922008305</v>
      </c>
      <c r="Q72" s="719">
        <f t="shared" si="36"/>
        <v>-586.79150605773066</v>
      </c>
      <c r="R72" s="719">
        <f t="shared" si="36"/>
        <v>-623.22477783923205</v>
      </c>
      <c r="S72" s="719">
        <f t="shared" si="36"/>
        <v>-661.98633784823141</v>
      </c>
      <c r="U72" s="93">
        <f t="shared" si="0"/>
        <v>1</v>
      </c>
      <c r="V72" s="24">
        <v>1</v>
      </c>
      <c r="W72" s="19"/>
      <c r="X72" s="19"/>
      <c r="Y72" s="19"/>
      <c r="Z72" s="19"/>
      <c r="AA72" s="19"/>
      <c r="AB72" s="19"/>
      <c r="AC72" s="19"/>
      <c r="AD72" s="19"/>
      <c r="AE72" s="19"/>
      <c r="AF72" s="19"/>
      <c r="AG72" s="19"/>
      <c r="AH72" s="19"/>
      <c r="AI72" s="19"/>
      <c r="AJ72" s="19"/>
      <c r="AK72" s="19"/>
      <c r="AL72" s="19"/>
    </row>
    <row r="73" spans="1:38" ht="13.5" customHeight="1">
      <c r="A73" s="19"/>
      <c r="B73" s="19"/>
      <c r="C73" s="70" t="s">
        <v>193</v>
      </c>
      <c r="D73" s="19"/>
      <c r="E73" s="19"/>
      <c r="F73" s="1095"/>
      <c r="G73" s="45">
        <v>11</v>
      </c>
      <c r="H73" s="45">
        <v>523</v>
      </c>
      <c r="I73" s="45">
        <v>-446</v>
      </c>
      <c r="J73" s="45">
        <v>-378</v>
      </c>
      <c r="K73" s="45">
        <v>121</v>
      </c>
      <c r="L73" s="1153">
        <f>-(L126-K126)</f>
        <v>-568.69726290984454</v>
      </c>
      <c r="M73" s="719">
        <f>-(M126-L126)</f>
        <v>-177.30884222469285</v>
      </c>
      <c r="N73" s="719">
        <f t="shared" ref="N73:S73" si="37">-(N126-M126)</f>
        <v>-201.56272941226189</v>
      </c>
      <c r="O73" s="719">
        <f t="shared" si="37"/>
        <v>-218.01156732516938</v>
      </c>
      <c r="P73" s="719">
        <f t="shared" si="37"/>
        <v>-250.18508428803261</v>
      </c>
      <c r="Q73" s="719">
        <f t="shared" si="37"/>
        <v>-266.94888149337203</v>
      </c>
      <c r="R73" s="719">
        <f t="shared" si="37"/>
        <v>-284.87166295624684</v>
      </c>
      <c r="S73" s="719">
        <f t="shared" si="37"/>
        <v>-304.03571024208213</v>
      </c>
      <c r="U73" s="93">
        <f t="shared" ref="U73:U136" si="38">IF(NOT(ISBLANK(C73)), 1, 0)</f>
        <v>1</v>
      </c>
      <c r="V73" s="24">
        <v>1</v>
      </c>
      <c r="W73" s="19"/>
      <c r="X73" s="19"/>
      <c r="Y73" s="19"/>
      <c r="Z73" s="19"/>
      <c r="AA73" s="19"/>
      <c r="AB73" s="19"/>
      <c r="AC73" s="19"/>
      <c r="AD73" s="19"/>
      <c r="AE73" s="19"/>
      <c r="AF73" s="19"/>
      <c r="AG73" s="19"/>
      <c r="AH73" s="19"/>
      <c r="AI73" s="19"/>
      <c r="AJ73" s="19"/>
      <c r="AK73" s="19"/>
      <c r="AL73" s="19"/>
    </row>
    <row r="74" spans="1:38" ht="13.5" customHeight="1">
      <c r="A74" s="19"/>
      <c r="B74" s="19"/>
      <c r="C74" s="70" t="s">
        <v>277</v>
      </c>
      <c r="D74" s="19"/>
      <c r="E74" s="19"/>
      <c r="F74" s="1095"/>
      <c r="G74" s="45">
        <v>201</v>
      </c>
      <c r="H74" s="45">
        <v>-485</v>
      </c>
      <c r="I74" s="45">
        <v>1220</v>
      </c>
      <c r="J74" s="45">
        <v>939</v>
      </c>
      <c r="K74" s="45">
        <v>-621</v>
      </c>
      <c r="L74" s="1153">
        <f>(L148-K148)+(L151-K151)</f>
        <v>926.47758540548341</v>
      </c>
      <c r="M74" s="719">
        <f>(M148-L148)+(M151-L151)</f>
        <v>342.11397221632654</v>
      </c>
      <c r="N74" s="719">
        <f t="shared" ref="N74:S74" si="39">(N148-M148)+(N151-M151)</f>
        <v>388.91137714725119</v>
      </c>
      <c r="O74" s="719">
        <f t="shared" si="39"/>
        <v>420.64909087951713</v>
      </c>
      <c r="P74" s="719">
        <f t="shared" si="39"/>
        <v>482.72726786284841</v>
      </c>
      <c r="Q74" s="719">
        <f t="shared" si="39"/>
        <v>515.07268944131397</v>
      </c>
      <c r="R74" s="719">
        <f t="shared" si="39"/>
        <v>549.65434866651447</v>
      </c>
      <c r="S74" s="719">
        <f t="shared" si="39"/>
        <v>586.63100622310503</v>
      </c>
      <c r="U74" s="93">
        <f t="shared" si="38"/>
        <v>1</v>
      </c>
      <c r="V74" s="24">
        <v>1</v>
      </c>
      <c r="W74" s="19"/>
      <c r="X74" s="19"/>
      <c r="Y74" s="19"/>
      <c r="Z74" s="19"/>
      <c r="AA74" s="19"/>
      <c r="AB74" s="19"/>
      <c r="AC74" s="19"/>
      <c r="AD74" s="19"/>
      <c r="AE74" s="19"/>
      <c r="AF74" s="19"/>
      <c r="AG74" s="19"/>
      <c r="AH74" s="19"/>
      <c r="AI74" s="19"/>
      <c r="AJ74" s="19"/>
      <c r="AK74" s="19"/>
      <c r="AL74" s="19"/>
    </row>
    <row r="75" spans="1:38" ht="13.5" customHeight="1">
      <c r="A75" s="19"/>
      <c r="B75" s="19"/>
      <c r="C75" s="672" t="s">
        <v>278</v>
      </c>
      <c r="D75" s="659"/>
      <c r="E75" s="659"/>
      <c r="F75" s="1096"/>
      <c r="G75" s="666">
        <f t="shared" ref="G75:S75" si="40">SUM(G72:G74)</f>
        <v>-222</v>
      </c>
      <c r="H75" s="666">
        <f t="shared" si="40"/>
        <v>-328</v>
      </c>
      <c r="I75" s="666">
        <f t="shared" si="40"/>
        <v>331</v>
      </c>
      <c r="J75" s="666">
        <f t="shared" si="40"/>
        <v>-179</v>
      </c>
      <c r="K75" s="666">
        <f t="shared" si="40"/>
        <v>-1175</v>
      </c>
      <c r="L75" s="718">
        <f>SUM(L72:L74)</f>
        <v>61.222667788690273</v>
      </c>
      <c r="M75" s="718">
        <f t="shared" si="40"/>
        <v>-226.75591377864254</v>
      </c>
      <c r="N75" s="718">
        <f t="shared" si="40"/>
        <v>-258.54097130974651</v>
      </c>
      <c r="O75" s="718">
        <f t="shared" si="40"/>
        <v>-278.16160084833206</v>
      </c>
      <c r="P75" s="718">
        <f t="shared" si="40"/>
        <v>-320.00158564526726</v>
      </c>
      <c r="Q75" s="718">
        <f t="shared" si="40"/>
        <v>-338.66769810978872</v>
      </c>
      <c r="R75" s="718">
        <f t="shared" si="40"/>
        <v>-358.44209212896442</v>
      </c>
      <c r="S75" s="718">
        <f t="shared" si="40"/>
        <v>-379.39104186720851</v>
      </c>
      <c r="U75" s="93">
        <f t="shared" si="38"/>
        <v>1</v>
      </c>
      <c r="V75" s="24">
        <v>1</v>
      </c>
      <c r="W75" s="19"/>
      <c r="X75" s="19"/>
      <c r="Y75" s="19"/>
      <c r="Z75" s="19"/>
      <c r="AA75" s="19"/>
      <c r="AB75" s="19"/>
      <c r="AC75" s="19"/>
      <c r="AD75" s="19"/>
      <c r="AE75" s="19"/>
      <c r="AF75" s="19"/>
      <c r="AG75" s="19"/>
      <c r="AH75" s="19"/>
      <c r="AI75" s="19"/>
      <c r="AJ75" s="19"/>
      <c r="AK75" s="19"/>
      <c r="AL75" s="19"/>
    </row>
    <row r="76" spans="1:38" ht="13.5" customHeight="1">
      <c r="A76" s="19"/>
      <c r="B76" s="19"/>
      <c r="C76" s="69"/>
      <c r="D76" s="19"/>
      <c r="E76" s="19"/>
      <c r="F76" s="1095"/>
      <c r="G76" s="19"/>
      <c r="H76" s="19"/>
      <c r="I76" s="19"/>
      <c r="J76" s="19"/>
      <c r="K76" s="19"/>
      <c r="L76" s="2"/>
      <c r="M76" s="2"/>
      <c r="N76" s="2"/>
      <c r="O76" s="2"/>
      <c r="P76" s="2"/>
      <c r="Q76" s="2"/>
      <c r="R76" s="2"/>
      <c r="S76" s="2"/>
      <c r="U76" s="93">
        <f t="shared" si="38"/>
        <v>0</v>
      </c>
      <c r="V76" s="24">
        <v>0</v>
      </c>
      <c r="W76" s="19"/>
      <c r="X76" s="19"/>
      <c r="Y76" s="19"/>
      <c r="Z76" s="19"/>
      <c r="AA76" s="19"/>
      <c r="AB76" s="19"/>
      <c r="AC76" s="19"/>
      <c r="AD76" s="19"/>
      <c r="AE76" s="19"/>
      <c r="AF76" s="19"/>
      <c r="AG76" s="19"/>
      <c r="AH76" s="19"/>
      <c r="AI76" s="19"/>
      <c r="AJ76" s="19"/>
      <c r="AK76" s="19"/>
      <c r="AL76" s="19"/>
    </row>
    <row r="77" spans="1:38" ht="13.5" customHeight="1">
      <c r="A77" s="19"/>
      <c r="B77" s="19"/>
      <c r="C77" s="63" t="s">
        <v>279</v>
      </c>
      <c r="D77" s="48"/>
      <c r="E77" s="48"/>
      <c r="F77" s="1097"/>
      <c r="G77" s="666">
        <f t="shared" ref="G77:S77" si="41">G75+G70</f>
        <v>3248</v>
      </c>
      <c r="H77" s="666">
        <f t="shared" si="41"/>
        <v>2320</v>
      </c>
      <c r="I77" s="666">
        <f t="shared" si="41"/>
        <v>3654</v>
      </c>
      <c r="J77" s="666">
        <f t="shared" si="41"/>
        <v>3935</v>
      </c>
      <c r="K77" s="666">
        <f t="shared" si="41"/>
        <v>3024</v>
      </c>
      <c r="L77" s="718">
        <f>L75+L70</f>
        <v>5317.2012288051528</v>
      </c>
      <c r="M77" s="718">
        <f t="shared" si="41"/>
        <v>4617.9717349301191</v>
      </c>
      <c r="N77" s="718">
        <f t="shared" si="41"/>
        <v>5105.0836431570169</v>
      </c>
      <c r="O77" s="718">
        <f t="shared" si="41"/>
        <v>5402.3223990933566</v>
      </c>
      <c r="P77" s="718">
        <f t="shared" si="41"/>
        <v>5956.6481213975803</v>
      </c>
      <c r="Q77" s="718">
        <f t="shared" si="41"/>
        <v>6198.0246868615595</v>
      </c>
      <c r="R77" s="718">
        <f t="shared" si="41"/>
        <v>6684.3743134956394</v>
      </c>
      <c r="S77" s="718">
        <f t="shared" si="41"/>
        <v>7139.4739757520556</v>
      </c>
      <c r="U77" s="93">
        <f t="shared" si="38"/>
        <v>1</v>
      </c>
      <c r="V77" s="24">
        <v>1</v>
      </c>
      <c r="W77" s="19"/>
      <c r="X77" s="19"/>
      <c r="Y77" s="19"/>
      <c r="Z77" s="19"/>
      <c r="AA77" s="19"/>
      <c r="AB77" s="19"/>
      <c r="AC77" s="19"/>
      <c r="AD77" s="19"/>
      <c r="AE77" s="19"/>
      <c r="AF77" s="19"/>
      <c r="AG77" s="19"/>
      <c r="AH77" s="19"/>
      <c r="AI77" s="19"/>
      <c r="AJ77" s="19"/>
      <c r="AK77" s="19"/>
      <c r="AL77" s="19"/>
    </row>
    <row r="78" spans="1:38" ht="13.5" customHeight="1">
      <c r="A78" s="19"/>
      <c r="B78" s="19"/>
      <c r="C78" s="19"/>
      <c r="D78" s="19"/>
      <c r="E78" s="19"/>
      <c r="F78" s="1095"/>
      <c r="H78" s="19"/>
      <c r="I78" s="19"/>
      <c r="J78" s="19"/>
      <c r="K78" s="19"/>
      <c r="L78" s="19"/>
      <c r="M78" s="19"/>
      <c r="N78" s="19"/>
      <c r="O78" s="19"/>
      <c r="P78" s="19"/>
      <c r="Q78" s="19"/>
      <c r="R78" s="19"/>
      <c r="S78" s="19"/>
      <c r="U78" s="93">
        <f t="shared" si="38"/>
        <v>0</v>
      </c>
      <c r="V78" s="24">
        <v>0</v>
      </c>
      <c r="W78" s="19"/>
      <c r="X78" s="19"/>
      <c r="Y78" s="19"/>
      <c r="Z78" s="19"/>
      <c r="AA78" s="19"/>
      <c r="AB78" s="19"/>
      <c r="AC78" s="19"/>
      <c r="AD78" s="19"/>
      <c r="AE78" s="19"/>
      <c r="AF78" s="19"/>
      <c r="AG78" s="19"/>
      <c r="AH78" s="19"/>
      <c r="AI78" s="19"/>
      <c r="AJ78" s="19"/>
      <c r="AK78" s="19"/>
      <c r="AL78" s="19"/>
    </row>
    <row r="79" spans="1:38" ht="13.5" customHeight="1">
      <c r="A79" s="19"/>
      <c r="B79" s="19"/>
      <c r="C79" s="66" t="s">
        <v>280</v>
      </c>
      <c r="D79" s="1013"/>
      <c r="E79" s="19"/>
      <c r="F79" s="1095"/>
      <c r="G79" s="68"/>
      <c r="H79" s="68"/>
      <c r="I79" s="68"/>
      <c r="J79" s="68"/>
      <c r="K79" s="68"/>
      <c r="L79" s="68"/>
      <c r="M79" s="68"/>
      <c r="N79" s="68"/>
      <c r="O79" s="68"/>
      <c r="P79" s="68"/>
      <c r="Q79" s="68"/>
      <c r="R79" s="68"/>
      <c r="S79" s="68"/>
      <c r="U79" s="93">
        <f t="shared" si="38"/>
        <v>1</v>
      </c>
      <c r="V79" s="24">
        <v>1</v>
      </c>
      <c r="W79" s="19"/>
      <c r="X79" s="19"/>
      <c r="Y79" s="19"/>
      <c r="Z79" s="19"/>
      <c r="AA79" s="19"/>
      <c r="AB79" s="19"/>
      <c r="AC79" s="19"/>
      <c r="AD79" s="19"/>
      <c r="AE79" s="19"/>
      <c r="AF79" s="19"/>
      <c r="AG79" s="19"/>
      <c r="AH79" s="19"/>
      <c r="AI79" s="19"/>
      <c r="AJ79" s="19"/>
      <c r="AK79" s="19"/>
      <c r="AL79" s="19"/>
    </row>
    <row r="80" spans="1:38" ht="13.5" customHeight="1">
      <c r="A80" s="19"/>
      <c r="B80" s="19"/>
      <c r="C80" s="19" t="s">
        <v>281</v>
      </c>
      <c r="D80" s="19"/>
      <c r="E80" s="19"/>
      <c r="F80" s="1095"/>
      <c r="G80" s="64">
        <v>32</v>
      </c>
      <c r="H80" s="64">
        <v>14</v>
      </c>
      <c r="I80" s="64">
        <v>13</v>
      </c>
      <c r="J80" s="64">
        <v>17</v>
      </c>
      <c r="K80" s="64">
        <v>13</v>
      </c>
      <c r="L80" s="720">
        <v>0</v>
      </c>
      <c r="M80" s="720">
        <v>0</v>
      </c>
      <c r="N80" s="720">
        <v>0</v>
      </c>
      <c r="O80" s="720">
        <v>0</v>
      </c>
      <c r="P80" s="720">
        <v>0</v>
      </c>
      <c r="Q80" s="720">
        <v>0</v>
      </c>
      <c r="R80" s="720">
        <v>0</v>
      </c>
      <c r="S80" s="720">
        <v>0</v>
      </c>
      <c r="U80" s="93">
        <f t="shared" si="38"/>
        <v>1</v>
      </c>
      <c r="V80" s="24">
        <v>1</v>
      </c>
      <c r="W80" s="19"/>
      <c r="X80" s="19"/>
      <c r="Y80" s="19"/>
      <c r="Z80" s="19"/>
      <c r="AA80" s="19"/>
      <c r="AB80" s="19"/>
      <c r="AC80" s="19"/>
      <c r="AD80" s="19"/>
      <c r="AE80" s="19"/>
      <c r="AF80" s="19"/>
      <c r="AG80" s="19"/>
      <c r="AH80" s="19"/>
      <c r="AI80" s="19"/>
      <c r="AJ80" s="19"/>
      <c r="AK80" s="19"/>
      <c r="AL80" s="19"/>
    </row>
    <row r="81" spans="1:38" ht="13.5" customHeight="1">
      <c r="A81" s="19"/>
      <c r="B81" s="19"/>
      <c r="C81" s="19" t="s">
        <v>282</v>
      </c>
      <c r="D81" s="19"/>
      <c r="E81" s="19"/>
      <c r="F81" s="1095"/>
      <c r="G81" s="64">
        <v>-671</v>
      </c>
      <c r="H81" s="64">
        <v>-700</v>
      </c>
      <c r="I81" s="64">
        <v>-626</v>
      </c>
      <c r="J81" s="64">
        <v>-1097</v>
      </c>
      <c r="K81" s="64">
        <v>-1180</v>
      </c>
      <c r="L81" s="720">
        <f>-'DCF - Assumptions'!L141-'DCF - Assumptions'!L159-'DCF - Assumptions'!L150</f>
        <v>-1606.0000536129971</v>
      </c>
      <c r="M81" s="720">
        <f>-'DCF - Assumptions'!M141-'DCF - Assumptions'!M159-'DCF - Assumptions'!M150</f>
        <v>-1639.630873293281</v>
      </c>
      <c r="N81" s="720">
        <f>-'DCF - Assumptions'!N141-'DCF - Assumptions'!N159-'DCF - Assumptions'!N150</f>
        <v>-1692.3587027283584</v>
      </c>
      <c r="O81" s="720">
        <f>-'DCF - Assumptions'!O141-'DCF - Assumptions'!O159-'DCF - Assumptions'!O150</f>
        <v>-1797.750259206839</v>
      </c>
      <c r="P81" s="720">
        <f>-'DCF - Assumptions'!P141-'DCF - Assumptions'!P159-'DCF - Assumptions'!P150</f>
        <v>-1949.5077890605892</v>
      </c>
      <c r="Q81" s="720">
        <f>-'DCF - Assumptions'!Q141-'DCF - Assumptions'!Q159-'DCF - Assumptions'!Q150</f>
        <v>-2056.6723458540055</v>
      </c>
      <c r="R81" s="720">
        <f>-'DCF - Assumptions'!R141-'DCF - Assumptions'!R159-'DCF - Assumptions'!R150</f>
        <v>-2182.8051297068132</v>
      </c>
      <c r="S81" s="720">
        <f>-'DCF - Assumptions'!S141-'DCF - Assumptions'!S159-'DCF - Assumptions'!S150</f>
        <v>-2329.6446518329308</v>
      </c>
      <c r="U81" s="93">
        <f t="shared" si="38"/>
        <v>1</v>
      </c>
      <c r="V81" s="24">
        <v>1</v>
      </c>
      <c r="W81" s="19"/>
      <c r="X81" s="19"/>
      <c r="Y81" s="19"/>
      <c r="Z81" s="19"/>
      <c r="AA81" s="19"/>
      <c r="AB81" s="19"/>
      <c r="AC81" s="19"/>
      <c r="AD81" s="19"/>
      <c r="AE81" s="19"/>
      <c r="AF81" s="19"/>
      <c r="AG81" s="19"/>
      <c r="AH81" s="19"/>
      <c r="AI81" s="19"/>
      <c r="AJ81" s="19"/>
      <c r="AK81" s="19"/>
      <c r="AL81" s="19"/>
    </row>
    <row r="82" spans="1:38" ht="13.5" customHeight="1">
      <c r="A82" s="19"/>
      <c r="B82" s="19"/>
      <c r="C82" s="19" t="s">
        <v>283</v>
      </c>
      <c r="D82" s="19"/>
      <c r="E82" s="19"/>
      <c r="F82" s="1095"/>
      <c r="G82" s="64">
        <v>-1</v>
      </c>
      <c r="H82" s="64">
        <v>0</v>
      </c>
      <c r="I82" s="64">
        <v>-4</v>
      </c>
      <c r="J82" s="64">
        <v>-72</v>
      </c>
      <c r="K82" s="64">
        <v>-57</v>
      </c>
      <c r="L82" s="720">
        <v>0</v>
      </c>
      <c r="M82" s="720">
        <v>0</v>
      </c>
      <c r="N82" s="720">
        <v>0</v>
      </c>
      <c r="O82" s="720">
        <v>0</v>
      </c>
      <c r="P82" s="720">
        <v>0</v>
      </c>
      <c r="Q82" s="720">
        <v>0</v>
      </c>
      <c r="R82" s="720">
        <v>0</v>
      </c>
      <c r="S82" s="720">
        <v>0</v>
      </c>
      <c r="U82" s="93">
        <f t="shared" si="38"/>
        <v>1</v>
      </c>
      <c r="V82" s="24">
        <v>1</v>
      </c>
      <c r="W82" s="19"/>
      <c r="X82" s="19"/>
      <c r="Y82" s="19"/>
      <c r="Z82" s="19"/>
      <c r="AA82" s="19"/>
      <c r="AB82" s="19"/>
      <c r="AC82" s="19"/>
      <c r="AD82" s="19"/>
      <c r="AE82" s="19"/>
      <c r="AF82" s="19"/>
      <c r="AG82" s="19"/>
      <c r="AH82" s="19"/>
      <c r="AI82" s="19"/>
      <c r="AJ82" s="19"/>
      <c r="AK82" s="19"/>
      <c r="AL82" s="19"/>
    </row>
    <row r="83" spans="1:38" ht="13.5" customHeight="1">
      <c r="A83" s="19"/>
      <c r="B83" s="19"/>
      <c r="C83" s="19" t="s">
        <v>284</v>
      </c>
      <c r="D83" s="19"/>
      <c r="E83" s="19"/>
      <c r="F83" s="1095"/>
      <c r="G83" s="64">
        <v>426</v>
      </c>
      <c r="H83" s="64">
        <v>11</v>
      </c>
      <c r="I83" s="64">
        <v>14</v>
      </c>
      <c r="J83" s="64">
        <v>82</v>
      </c>
      <c r="K83" s="64">
        <v>462</v>
      </c>
      <c r="L83" s="720">
        <v>0</v>
      </c>
      <c r="M83" s="720">
        <v>0</v>
      </c>
      <c r="N83" s="720">
        <v>0</v>
      </c>
      <c r="O83" s="720">
        <v>0</v>
      </c>
      <c r="P83" s="720">
        <v>0</v>
      </c>
      <c r="Q83" s="720">
        <v>0</v>
      </c>
      <c r="R83" s="720">
        <v>0</v>
      </c>
      <c r="S83" s="720">
        <v>0</v>
      </c>
      <c r="U83" s="93">
        <f t="shared" si="38"/>
        <v>1</v>
      </c>
      <c r="V83" s="24">
        <v>1</v>
      </c>
      <c r="W83" s="19"/>
      <c r="X83" s="19"/>
      <c r="Y83" s="19"/>
      <c r="Z83" s="19"/>
      <c r="AA83" s="19"/>
      <c r="AB83" s="19"/>
      <c r="AC83" s="19"/>
      <c r="AD83" s="19"/>
      <c r="AE83" s="19"/>
      <c r="AF83" s="19"/>
      <c r="AG83" s="19"/>
      <c r="AH83" s="19"/>
      <c r="AI83" s="19"/>
      <c r="AJ83" s="19"/>
      <c r="AK83" s="19"/>
      <c r="AL83" s="19"/>
    </row>
    <row r="84" spans="1:38" ht="13.5" customHeight="1">
      <c r="A84" s="19"/>
      <c r="B84" s="19"/>
      <c r="C84" s="3" t="s">
        <v>285</v>
      </c>
      <c r="G84" s="201">
        <v>-56</v>
      </c>
      <c r="H84" s="201">
        <v>-130</v>
      </c>
      <c r="I84" s="201">
        <v>-488</v>
      </c>
      <c r="J84" s="201">
        <f>-206-65</f>
        <v>-271</v>
      </c>
      <c r="K84" s="201">
        <f>-342-93</f>
        <v>-435</v>
      </c>
      <c r="L84" s="720">
        <v>0</v>
      </c>
      <c r="M84" s="720">
        <v>0</v>
      </c>
      <c r="N84" s="720">
        <v>0</v>
      </c>
      <c r="O84" s="720">
        <v>0</v>
      </c>
      <c r="P84" s="720">
        <v>0</v>
      </c>
      <c r="Q84" s="720">
        <v>0</v>
      </c>
      <c r="R84" s="720">
        <v>0</v>
      </c>
      <c r="S84" s="720">
        <v>0</v>
      </c>
      <c r="U84" s="93">
        <f t="shared" si="38"/>
        <v>1</v>
      </c>
      <c r="V84" s="24">
        <v>1</v>
      </c>
    </row>
    <row r="85" spans="1:38" ht="13.5" customHeight="1">
      <c r="A85" s="19"/>
      <c r="B85" s="19"/>
      <c r="C85" s="63" t="s">
        <v>286</v>
      </c>
      <c r="D85" s="48"/>
      <c r="E85" s="48"/>
      <c r="F85" s="1097"/>
      <c r="G85" s="666">
        <f t="shared" ref="G85:S85" si="42">SUM(G80:G84)</f>
        <v>-270</v>
      </c>
      <c r="H85" s="666">
        <f t="shared" si="42"/>
        <v>-805</v>
      </c>
      <c r="I85" s="666">
        <f t="shared" si="42"/>
        <v>-1091</v>
      </c>
      <c r="J85" s="666">
        <f t="shared" si="42"/>
        <v>-1341</v>
      </c>
      <c r="K85" s="666">
        <f t="shared" si="42"/>
        <v>-1197</v>
      </c>
      <c r="L85" s="718">
        <f t="shared" si="42"/>
        <v>-1606.0000536129971</v>
      </c>
      <c r="M85" s="718">
        <f t="shared" si="42"/>
        <v>-1639.630873293281</v>
      </c>
      <c r="N85" s="718">
        <f t="shared" si="42"/>
        <v>-1692.3587027283584</v>
      </c>
      <c r="O85" s="718">
        <f t="shared" si="42"/>
        <v>-1797.750259206839</v>
      </c>
      <c r="P85" s="718">
        <f t="shared" si="42"/>
        <v>-1949.5077890605892</v>
      </c>
      <c r="Q85" s="718">
        <f t="shared" si="42"/>
        <v>-2056.6723458540055</v>
      </c>
      <c r="R85" s="718">
        <f t="shared" si="42"/>
        <v>-2182.8051297068132</v>
      </c>
      <c r="S85" s="718">
        <f t="shared" si="42"/>
        <v>-2329.6446518329308</v>
      </c>
      <c r="U85" s="93">
        <f t="shared" si="38"/>
        <v>1</v>
      </c>
      <c r="V85" s="24">
        <v>1</v>
      </c>
      <c r="W85" s="19"/>
      <c r="X85" s="19"/>
      <c r="Y85" s="19"/>
      <c r="Z85" s="19"/>
      <c r="AA85" s="19"/>
      <c r="AB85" s="19"/>
      <c r="AC85" s="19"/>
      <c r="AD85" s="19"/>
      <c r="AE85" s="19"/>
      <c r="AF85" s="19"/>
      <c r="AG85" s="19"/>
      <c r="AH85" s="19"/>
      <c r="AI85" s="19"/>
      <c r="AJ85" s="19"/>
      <c r="AK85" s="19"/>
      <c r="AL85" s="19"/>
    </row>
    <row r="86" spans="1:38" ht="13.5" customHeight="1">
      <c r="A86" s="19"/>
      <c r="B86" s="19"/>
      <c r="C86" s="67"/>
      <c r="D86" s="19"/>
      <c r="E86" s="19"/>
      <c r="F86" s="1095"/>
      <c r="G86" s="19"/>
      <c r="H86" s="19"/>
      <c r="I86" s="19"/>
      <c r="J86" s="19"/>
      <c r="K86" s="19"/>
      <c r="L86" s="19"/>
      <c r="M86" s="19"/>
      <c r="N86" s="19"/>
      <c r="O86" s="19"/>
      <c r="P86" s="19"/>
      <c r="Q86" s="19"/>
      <c r="R86" s="19"/>
      <c r="S86" s="19"/>
      <c r="U86" s="93">
        <f t="shared" si="38"/>
        <v>0</v>
      </c>
      <c r="V86" s="24">
        <v>0</v>
      </c>
      <c r="W86" s="19"/>
      <c r="X86" s="19"/>
      <c r="Y86" s="19"/>
      <c r="Z86" s="19"/>
      <c r="AA86" s="19"/>
      <c r="AB86" s="19"/>
      <c r="AC86" s="19"/>
      <c r="AD86" s="19"/>
      <c r="AE86" s="19"/>
      <c r="AF86" s="19"/>
      <c r="AG86" s="19"/>
      <c r="AH86" s="19"/>
      <c r="AI86" s="19"/>
      <c r="AJ86" s="19"/>
      <c r="AK86" s="19"/>
      <c r="AL86" s="19"/>
    </row>
    <row r="87" spans="1:38" s="23" customFormat="1" ht="13.5" customHeight="1">
      <c r="A87" s="66"/>
      <c r="B87" s="66"/>
      <c r="C87" s="665" t="s">
        <v>287</v>
      </c>
      <c r="D87" s="66"/>
      <c r="E87" s="66"/>
      <c r="F87" s="1098"/>
      <c r="G87" s="664">
        <f t="shared" ref="G87:S87" si="43">G77+G85</f>
        <v>2978</v>
      </c>
      <c r="H87" s="664">
        <f t="shared" si="43"/>
        <v>1515</v>
      </c>
      <c r="I87" s="664">
        <f t="shared" si="43"/>
        <v>2563</v>
      </c>
      <c r="J87" s="664">
        <f t="shared" si="43"/>
        <v>2594</v>
      </c>
      <c r="K87" s="664">
        <f t="shared" si="43"/>
        <v>1827</v>
      </c>
      <c r="L87" s="722">
        <f>L77+L85</f>
        <v>3711.2011751921555</v>
      </c>
      <c r="M87" s="722">
        <f t="shared" si="43"/>
        <v>2978.3408616368379</v>
      </c>
      <c r="N87" s="722">
        <f t="shared" si="43"/>
        <v>3412.7249404286586</v>
      </c>
      <c r="O87" s="722">
        <f t="shared" si="43"/>
        <v>3604.5721398865176</v>
      </c>
      <c r="P87" s="722">
        <f t="shared" si="43"/>
        <v>4007.1403323369914</v>
      </c>
      <c r="Q87" s="722">
        <f t="shared" si="43"/>
        <v>4141.3523410075541</v>
      </c>
      <c r="R87" s="722">
        <f t="shared" si="43"/>
        <v>4501.5691837888262</v>
      </c>
      <c r="S87" s="722">
        <f t="shared" si="43"/>
        <v>4809.8293239191244</v>
      </c>
      <c r="U87" s="93">
        <f t="shared" si="38"/>
        <v>1</v>
      </c>
      <c r="V87" s="655">
        <v>1</v>
      </c>
      <c r="W87" s="66"/>
      <c r="X87" s="66"/>
      <c r="Y87" s="66"/>
      <c r="Z87" s="66"/>
      <c r="AA87" s="66"/>
      <c r="AB87" s="66"/>
      <c r="AC87" s="66"/>
      <c r="AD87" s="66"/>
      <c r="AE87" s="66"/>
      <c r="AF87" s="66"/>
      <c r="AG87" s="66"/>
      <c r="AH87" s="66"/>
      <c r="AI87" s="66"/>
      <c r="AJ87" s="66"/>
      <c r="AK87" s="66"/>
      <c r="AL87" s="66"/>
    </row>
    <row r="88" spans="1:38" ht="13.5" customHeight="1">
      <c r="A88" s="19"/>
      <c r="B88" s="19"/>
      <c r="C88" s="67"/>
      <c r="D88" s="19"/>
      <c r="E88" s="19"/>
      <c r="F88" s="1095"/>
      <c r="G88" s="19"/>
      <c r="H88" s="19"/>
      <c r="I88" s="19"/>
      <c r="J88" s="19"/>
      <c r="K88" s="19"/>
      <c r="L88" s="19"/>
      <c r="M88" s="19"/>
      <c r="N88" s="19"/>
      <c r="O88" s="19"/>
      <c r="P88" s="19"/>
      <c r="Q88" s="19"/>
      <c r="R88" s="19"/>
      <c r="S88" s="19"/>
      <c r="U88" s="93">
        <f t="shared" si="38"/>
        <v>0</v>
      </c>
      <c r="V88" s="24">
        <v>0</v>
      </c>
      <c r="W88" s="19"/>
      <c r="X88" s="19"/>
      <c r="Y88" s="19"/>
      <c r="Z88" s="19"/>
      <c r="AA88" s="19"/>
      <c r="AB88" s="19"/>
      <c r="AC88" s="19"/>
      <c r="AD88" s="19"/>
      <c r="AE88" s="19"/>
      <c r="AF88" s="19"/>
      <c r="AG88" s="19"/>
      <c r="AH88" s="19"/>
      <c r="AI88" s="19"/>
      <c r="AJ88" s="19"/>
      <c r="AK88" s="19"/>
      <c r="AL88" s="19"/>
    </row>
    <row r="89" spans="1:38" ht="13.5" customHeight="1">
      <c r="A89" s="19"/>
      <c r="B89" s="19"/>
      <c r="C89" s="66" t="s">
        <v>288</v>
      </c>
      <c r="D89" s="19"/>
      <c r="E89" s="19"/>
      <c r="F89" s="1095"/>
      <c r="G89" s="1052"/>
      <c r="H89" s="14"/>
      <c r="I89" s="14"/>
      <c r="J89" s="14"/>
      <c r="K89" s="14"/>
      <c r="L89" s="14"/>
      <c r="M89" s="14"/>
      <c r="N89" s="14"/>
      <c r="O89" s="14"/>
      <c r="P89" s="14"/>
      <c r="Q89" s="14"/>
      <c r="R89" s="14"/>
      <c r="S89" s="14"/>
      <c r="U89" s="93">
        <f t="shared" si="38"/>
        <v>1</v>
      </c>
      <c r="V89" s="24">
        <v>1</v>
      </c>
      <c r="W89" s="19"/>
      <c r="X89" s="19"/>
      <c r="Y89" s="19"/>
      <c r="Z89" s="19"/>
      <c r="AA89" s="19"/>
      <c r="AB89" s="19"/>
      <c r="AC89" s="19"/>
      <c r="AD89" s="19"/>
      <c r="AE89" s="19"/>
      <c r="AF89" s="19"/>
      <c r="AG89" s="19"/>
      <c r="AH89" s="19"/>
      <c r="AI89" s="19"/>
      <c r="AJ89" s="19"/>
      <c r="AK89" s="19"/>
      <c r="AL89" s="19"/>
    </row>
    <row r="90" spans="1:38" ht="13.5" customHeight="1">
      <c r="A90" s="19"/>
      <c r="B90" s="19"/>
      <c r="C90" s="65" t="s">
        <v>289</v>
      </c>
      <c r="D90" s="19"/>
      <c r="E90" s="19"/>
      <c r="F90" s="1095"/>
      <c r="G90" s="64">
        <v>-2775</v>
      </c>
      <c r="H90" s="64">
        <v>-1282</v>
      </c>
      <c r="I90" s="64">
        <v>-109</v>
      </c>
      <c r="J90" s="64">
        <v>-2284</v>
      </c>
      <c r="K90" s="64">
        <v>-1381</v>
      </c>
      <c r="L90" s="720">
        <f>'DCF - Capital Structure'!L117</f>
        <v>-6743.4160957369886</v>
      </c>
      <c r="M90" s="720">
        <f>'DCF - Capital Structure'!M117</f>
        <v>-2386.1834988282117</v>
      </c>
      <c r="N90" s="720">
        <f>'DCF - Capital Structure'!N117</f>
        <v>-5397.7922113234808</v>
      </c>
      <c r="O90" s="720">
        <f>'DCF - Capital Structure'!O117</f>
        <v>-4027.8380182742912</v>
      </c>
      <c r="P90" s="720">
        <f>'DCF - Capital Structure'!P117</f>
        <v>-5578.7341563069986</v>
      </c>
      <c r="Q90" s="720">
        <f>'DCF - Capital Structure'!Q117</f>
        <v>-5107.9379283570779</v>
      </c>
      <c r="R90" s="720">
        <f>'DCF - Capital Structure'!R117</f>
        <v>-6158.0242139750808</v>
      </c>
      <c r="S90" s="720">
        <f>'DCF - Capital Structure'!S117</f>
        <v>-6429.9555534631363</v>
      </c>
      <c r="U90" s="93">
        <f t="shared" si="38"/>
        <v>1</v>
      </c>
      <c r="V90" s="24">
        <v>1</v>
      </c>
      <c r="W90" s="19"/>
      <c r="X90" s="19"/>
      <c r="Y90" s="19"/>
      <c r="Z90" s="19"/>
      <c r="AA90" s="19"/>
      <c r="AB90" s="19"/>
      <c r="AC90" s="19"/>
      <c r="AD90" s="19"/>
      <c r="AE90" s="19"/>
      <c r="AF90" s="19"/>
      <c r="AG90" s="19"/>
      <c r="AH90" s="19"/>
      <c r="AI90" s="19"/>
      <c r="AJ90" s="19"/>
      <c r="AK90" s="19"/>
      <c r="AL90" s="19"/>
    </row>
    <row r="91" spans="1:38" ht="13.5" customHeight="1">
      <c r="A91" s="19"/>
      <c r="B91" s="19"/>
      <c r="C91" s="65" t="s">
        <v>290</v>
      </c>
      <c r="D91" s="19"/>
      <c r="E91" s="19"/>
      <c r="F91" s="1095"/>
      <c r="G91" s="64">
        <v>1</v>
      </c>
      <c r="H91" s="64">
        <v>1</v>
      </c>
      <c r="I91" s="64">
        <v>0</v>
      </c>
      <c r="J91" s="64">
        <v>0</v>
      </c>
      <c r="K91" s="64">
        <v>0</v>
      </c>
      <c r="L91" s="720">
        <f>'DCF - Assumptions'!L193</f>
        <v>0</v>
      </c>
      <c r="M91" s="720">
        <f>'DCF - Assumptions'!M193</f>
        <v>0</v>
      </c>
      <c r="N91" s="720">
        <f>'DCF - Assumptions'!N193</f>
        <v>0</v>
      </c>
      <c r="O91" s="720">
        <f>'DCF - Assumptions'!O193</f>
        <v>0</v>
      </c>
      <c r="P91" s="720">
        <f>'DCF - Assumptions'!P193</f>
        <v>0</v>
      </c>
      <c r="Q91" s="720">
        <f>'DCF - Assumptions'!Q193</f>
        <v>0</v>
      </c>
      <c r="R91" s="720">
        <f>'DCF - Assumptions'!R193</f>
        <v>0</v>
      </c>
      <c r="S91" s="720">
        <f>'DCF - Assumptions'!S193</f>
        <v>0</v>
      </c>
      <c r="U91" s="93">
        <f t="shared" si="38"/>
        <v>1</v>
      </c>
      <c r="V91" s="24">
        <v>1</v>
      </c>
      <c r="W91" s="19"/>
      <c r="X91" s="19"/>
      <c r="Y91" s="19"/>
      <c r="Z91" s="19"/>
      <c r="AA91" s="19"/>
      <c r="AB91" s="19"/>
      <c r="AC91" s="19"/>
      <c r="AD91" s="19"/>
      <c r="AE91" s="19"/>
      <c r="AF91" s="19"/>
      <c r="AG91" s="19"/>
      <c r="AH91" s="19"/>
      <c r="AI91" s="19"/>
      <c r="AJ91" s="19"/>
      <c r="AK91" s="19"/>
      <c r="AL91" s="19"/>
    </row>
    <row r="92" spans="1:38" ht="13.5" customHeight="1">
      <c r="A92" s="19"/>
      <c r="B92" s="19"/>
      <c r="C92" s="65" t="s">
        <v>291</v>
      </c>
      <c r="D92" s="19"/>
      <c r="E92" s="19"/>
      <c r="F92" s="1095"/>
      <c r="G92" s="64">
        <v>50</v>
      </c>
      <c r="H92" s="64">
        <v>54</v>
      </c>
      <c r="I92" s="64">
        <v>49</v>
      </c>
      <c r="J92" s="64">
        <v>18</v>
      </c>
      <c r="K92" s="64">
        <v>29</v>
      </c>
      <c r="L92" s="720">
        <v>0</v>
      </c>
      <c r="M92" s="720">
        <v>0</v>
      </c>
      <c r="N92" s="720">
        <v>0</v>
      </c>
      <c r="O92" s="720">
        <v>0</v>
      </c>
      <c r="P92" s="720">
        <v>0</v>
      </c>
      <c r="Q92" s="720">
        <v>0</v>
      </c>
      <c r="R92" s="720">
        <v>0</v>
      </c>
      <c r="S92" s="720">
        <v>0</v>
      </c>
      <c r="U92" s="93">
        <f t="shared" si="38"/>
        <v>1</v>
      </c>
      <c r="V92" s="24">
        <v>1</v>
      </c>
      <c r="W92" s="19"/>
      <c r="X92" s="19"/>
      <c r="Y92" s="19"/>
      <c r="Z92" s="19"/>
      <c r="AA92" s="19"/>
      <c r="AB92" s="19"/>
      <c r="AC92" s="19"/>
      <c r="AD92" s="19"/>
      <c r="AE92" s="19"/>
      <c r="AF92" s="19"/>
      <c r="AG92" s="19"/>
      <c r="AH92" s="19"/>
      <c r="AI92" s="19"/>
      <c r="AJ92" s="19"/>
      <c r="AK92" s="19"/>
      <c r="AL92" s="19"/>
    </row>
    <row r="93" spans="1:38" ht="13.5" customHeight="1">
      <c r="A93" s="19"/>
      <c r="B93" s="19"/>
      <c r="C93" s="65" t="s">
        <v>292</v>
      </c>
      <c r="D93" s="19"/>
      <c r="E93" s="19"/>
      <c r="F93" s="1095"/>
      <c r="G93" s="64">
        <v>0</v>
      </c>
      <c r="H93" s="64">
        <v>0</v>
      </c>
      <c r="I93" s="64">
        <v>0</v>
      </c>
      <c r="J93" s="64">
        <v>-15</v>
      </c>
      <c r="K93" s="64">
        <v>0</v>
      </c>
      <c r="L93" s="720">
        <v>0</v>
      </c>
      <c r="M93" s="720">
        <v>0</v>
      </c>
      <c r="N93" s="720">
        <v>0</v>
      </c>
      <c r="O93" s="720">
        <v>0</v>
      </c>
      <c r="P93" s="720">
        <v>0</v>
      </c>
      <c r="Q93" s="720">
        <v>0</v>
      </c>
      <c r="R93" s="720">
        <v>0</v>
      </c>
      <c r="S93" s="720">
        <v>0</v>
      </c>
      <c r="U93" s="93">
        <f t="shared" si="38"/>
        <v>1</v>
      </c>
      <c r="V93" s="24">
        <v>1</v>
      </c>
      <c r="W93" s="19"/>
      <c r="X93" s="19"/>
      <c r="Y93" s="19"/>
      <c r="Z93" s="19"/>
      <c r="AA93" s="19"/>
      <c r="AB93" s="19"/>
      <c r="AC93" s="19"/>
      <c r="AD93" s="19"/>
      <c r="AE93" s="19"/>
      <c r="AF93" s="19"/>
      <c r="AG93" s="19"/>
      <c r="AH93" s="19"/>
      <c r="AI93" s="19"/>
      <c r="AJ93" s="19"/>
      <c r="AK93" s="19"/>
      <c r="AL93" s="19"/>
    </row>
    <row r="94" spans="1:38" ht="13.5" customHeight="1">
      <c r="A94" s="19"/>
      <c r="B94" s="19"/>
      <c r="C94" s="65" t="s">
        <v>293</v>
      </c>
      <c r="D94" s="19"/>
      <c r="E94" s="19"/>
      <c r="F94" s="1095"/>
      <c r="G94" s="64">
        <v>-112</v>
      </c>
      <c r="H94" s="64">
        <v>-111</v>
      </c>
      <c r="I94" s="64">
        <v>-77</v>
      </c>
      <c r="J94" s="64">
        <v>-81</v>
      </c>
      <c r="K94" s="64">
        <v>-97</v>
      </c>
      <c r="L94" s="1154">
        <f>K94</f>
        <v>-97</v>
      </c>
      <c r="M94" s="720">
        <f t="shared" ref="M94:S94" si="44">L94</f>
        <v>-97</v>
      </c>
      <c r="N94" s="720">
        <f t="shared" si="44"/>
        <v>-97</v>
      </c>
      <c r="O94" s="720">
        <f t="shared" si="44"/>
        <v>-97</v>
      </c>
      <c r="P94" s="720">
        <f t="shared" si="44"/>
        <v>-97</v>
      </c>
      <c r="Q94" s="720">
        <f t="shared" si="44"/>
        <v>-97</v>
      </c>
      <c r="R94" s="720">
        <f t="shared" si="44"/>
        <v>-97</v>
      </c>
      <c r="S94" s="720">
        <f t="shared" si="44"/>
        <v>-97</v>
      </c>
      <c r="U94" s="93">
        <f t="shared" si="38"/>
        <v>1</v>
      </c>
      <c r="V94" s="24">
        <v>1</v>
      </c>
      <c r="W94" s="19"/>
      <c r="X94" s="19"/>
      <c r="Y94" s="19"/>
      <c r="Z94" s="19"/>
      <c r="AA94" s="19"/>
      <c r="AB94" s="19"/>
      <c r="AC94" s="19"/>
      <c r="AD94" s="19"/>
      <c r="AE94" s="19"/>
      <c r="AF94" s="19"/>
      <c r="AG94" s="19"/>
      <c r="AH94" s="19"/>
      <c r="AI94" s="19"/>
      <c r="AJ94" s="19"/>
      <c r="AK94" s="19"/>
      <c r="AL94" s="19"/>
    </row>
    <row r="95" spans="1:38" ht="13.5" customHeight="1">
      <c r="A95" s="19"/>
      <c r="B95" s="19"/>
      <c r="C95" s="65" t="s">
        <v>294</v>
      </c>
      <c r="D95" s="19"/>
      <c r="E95" s="19"/>
      <c r="F95" s="1095"/>
      <c r="G95" s="64">
        <v>2766</v>
      </c>
      <c r="H95" s="64">
        <v>5188</v>
      </c>
      <c r="I95" s="64">
        <v>1031</v>
      </c>
      <c r="J95" s="64">
        <v>2263</v>
      </c>
      <c r="K95" s="64">
        <v>2229</v>
      </c>
      <c r="L95" s="1154">
        <f>'DCF - Capital Structure'!L29</f>
        <v>2677.75</v>
      </c>
      <c r="M95" s="720">
        <f>'DCF - Capital Structure'!M29</f>
        <v>2050.1875</v>
      </c>
      <c r="N95" s="720">
        <f>'DCF - Capital Structure'!N29</f>
        <v>2304.984375</v>
      </c>
      <c r="O95" s="720">
        <f>'DCF - Capital Structure'!O29</f>
        <v>2315.48046875</v>
      </c>
      <c r="P95" s="720">
        <f>'DCF - Capital Structure'!P29</f>
        <v>2337.1005859375</v>
      </c>
      <c r="Q95" s="720">
        <f>'DCF - Capital Structure'!Q29</f>
        <v>2251.938232421875</v>
      </c>
      <c r="R95" s="720">
        <f>'DCF - Capital Structure'!R29</f>
        <v>2302.3759155273438</v>
      </c>
      <c r="S95" s="720">
        <f>'DCF - Capital Structure'!S29</f>
        <v>2301.7238006591797</v>
      </c>
      <c r="U95" s="93">
        <f t="shared" si="38"/>
        <v>1</v>
      </c>
      <c r="V95" s="24">
        <v>1</v>
      </c>
      <c r="W95" s="19"/>
      <c r="X95" s="19"/>
      <c r="Y95" s="19"/>
      <c r="Z95" s="19"/>
      <c r="AA95" s="19"/>
      <c r="AB95" s="19"/>
      <c r="AC95" s="19"/>
      <c r="AD95" s="19"/>
      <c r="AE95" s="19"/>
      <c r="AF95" s="19"/>
      <c r="AG95" s="19"/>
      <c r="AH95" s="19"/>
      <c r="AI95" s="19"/>
      <c r="AJ95" s="19"/>
      <c r="AK95" s="19"/>
      <c r="AL95" s="19"/>
    </row>
    <row r="96" spans="1:38" ht="13.5" customHeight="1">
      <c r="A96" s="19"/>
      <c r="B96" s="19"/>
      <c r="C96" s="1146" t="s">
        <v>295</v>
      </c>
      <c r="D96" s="19"/>
      <c r="E96" s="19"/>
      <c r="F96" s="1095"/>
      <c r="G96" s="64">
        <v>0</v>
      </c>
      <c r="H96" s="64">
        <v>0</v>
      </c>
      <c r="I96" s="64">
        <v>0</v>
      </c>
      <c r="J96" s="64">
        <v>0</v>
      </c>
      <c r="K96" s="64">
        <v>0</v>
      </c>
      <c r="L96" s="720">
        <f>'DCF - Capital Structure'!L17-'DCF - Capital Structure'!K17</f>
        <v>0</v>
      </c>
      <c r="M96" s="720">
        <f>'DCF - Capital Structure'!M17-'DCF - Capital Structure'!L17</f>
        <v>0</v>
      </c>
      <c r="N96" s="720">
        <f>'DCF - Capital Structure'!N17-'DCF - Capital Structure'!M17</f>
        <v>0</v>
      </c>
      <c r="O96" s="720">
        <f>'DCF - Capital Structure'!O17-'DCF - Capital Structure'!N17</f>
        <v>0</v>
      </c>
      <c r="P96" s="720">
        <f>'DCF - Capital Structure'!P17-'DCF - Capital Structure'!O17</f>
        <v>0</v>
      </c>
      <c r="Q96" s="720">
        <f>'DCF - Capital Structure'!Q17-'DCF - Capital Structure'!P17</f>
        <v>0</v>
      </c>
      <c r="R96" s="720">
        <f>'DCF - Capital Structure'!R17-'DCF - Capital Structure'!Q17</f>
        <v>0</v>
      </c>
      <c r="S96" s="720">
        <f>'DCF - Capital Structure'!S17-'DCF - Capital Structure'!R17</f>
        <v>0</v>
      </c>
      <c r="U96" s="93">
        <f t="shared" si="38"/>
        <v>1</v>
      </c>
      <c r="V96" s="24">
        <v>1</v>
      </c>
      <c r="W96" s="19"/>
      <c r="X96" s="19"/>
      <c r="Y96" s="19"/>
      <c r="Z96" s="19"/>
      <c r="AA96" s="19"/>
      <c r="AB96" s="19"/>
      <c r="AC96" s="19"/>
      <c r="AD96" s="19"/>
      <c r="AE96" s="19"/>
      <c r="AF96" s="19"/>
      <c r="AG96" s="19"/>
      <c r="AH96" s="19"/>
      <c r="AI96" s="19"/>
      <c r="AJ96" s="19"/>
      <c r="AK96" s="19"/>
      <c r="AL96" s="19"/>
    </row>
    <row r="97" spans="1:38" ht="13.5" customHeight="1">
      <c r="A97" s="19"/>
      <c r="B97" s="19"/>
      <c r="C97" s="65" t="s">
        <v>296</v>
      </c>
      <c r="D97" s="19"/>
      <c r="E97" s="19"/>
      <c r="F97" s="1095"/>
      <c r="G97" s="64">
        <v>-1168</v>
      </c>
      <c r="H97" s="64">
        <v>-820</v>
      </c>
      <c r="I97" s="64">
        <v>-1247</v>
      </c>
      <c r="J97" s="64">
        <v>-1521</v>
      </c>
      <c r="K97" s="64">
        <v>-1340</v>
      </c>
      <c r="L97" s="1154">
        <f>'DCF - Capital Structure'!L30</f>
        <v>-1232</v>
      </c>
      <c r="M97" s="720">
        <f>'DCF - Capital Structure'!M30</f>
        <v>-1335</v>
      </c>
      <c r="N97" s="720">
        <f>'DCF - Capital Structure'!N30</f>
        <v>-1357</v>
      </c>
      <c r="O97" s="720">
        <f>'DCF - Capital Structure'!O30</f>
        <v>-1316</v>
      </c>
      <c r="P97" s="720">
        <f>'DCF - Capital Structure'!P30</f>
        <v>-1310</v>
      </c>
      <c r="Q97" s="720">
        <f>'DCF - Capital Structure'!Q30</f>
        <v>-1329.5</v>
      </c>
      <c r="R97" s="720">
        <f>'DCF - Capital Structure'!R30</f>
        <v>-1328.125</v>
      </c>
      <c r="S97" s="720">
        <f>'DCF - Capital Structure'!S30</f>
        <v>-1320.90625</v>
      </c>
      <c r="U97" s="93">
        <f t="shared" si="38"/>
        <v>1</v>
      </c>
      <c r="V97" s="24">
        <v>1</v>
      </c>
      <c r="W97" s="19"/>
      <c r="X97" s="19"/>
      <c r="Y97" s="19"/>
      <c r="Z97" s="19"/>
      <c r="AA97" s="19"/>
      <c r="AB97" s="19"/>
      <c r="AC97" s="19"/>
      <c r="AD97" s="19"/>
      <c r="AE97" s="19"/>
      <c r="AF97" s="19"/>
      <c r="AG97" s="19"/>
      <c r="AH97" s="19"/>
      <c r="AI97" s="19"/>
      <c r="AJ97" s="19"/>
      <c r="AK97" s="19"/>
      <c r="AL97" s="19"/>
    </row>
    <row r="98" spans="1:38" ht="13.5" customHeight="1">
      <c r="A98" s="19"/>
      <c r="B98" s="19"/>
      <c r="C98" s="65" t="s">
        <v>297</v>
      </c>
      <c r="D98" s="62"/>
      <c r="E98" s="19"/>
      <c r="F98" s="1095"/>
      <c r="G98" s="64">
        <v>-784</v>
      </c>
      <c r="H98" s="64">
        <v>-62</v>
      </c>
      <c r="I98" s="64">
        <v>-42</v>
      </c>
      <c r="J98" s="64">
        <v>0</v>
      </c>
      <c r="K98" s="64">
        <v>-146</v>
      </c>
      <c r="L98" s="1154">
        <f>'DCF - Capital Structure'!L173</f>
        <v>0</v>
      </c>
      <c r="M98" s="720">
        <f>'DCF - Capital Structure'!M173</f>
        <v>0</v>
      </c>
      <c r="N98" s="720">
        <f>'DCF - Capital Structure'!N173</f>
        <v>0</v>
      </c>
      <c r="O98" s="720">
        <f>'DCF - Capital Structure'!O173</f>
        <v>0</v>
      </c>
      <c r="P98" s="720">
        <f>'DCF - Capital Structure'!P173</f>
        <v>0</v>
      </c>
      <c r="Q98" s="720">
        <f>'DCF - Capital Structure'!Q173</f>
        <v>0</v>
      </c>
      <c r="R98" s="720">
        <f>'DCF - Capital Structure'!R173</f>
        <v>0</v>
      </c>
      <c r="S98" s="720">
        <f>'DCF - Capital Structure'!S173</f>
        <v>0</v>
      </c>
      <c r="U98" s="93">
        <f t="shared" si="38"/>
        <v>1</v>
      </c>
      <c r="V98" s="24">
        <v>1</v>
      </c>
      <c r="W98" s="19"/>
      <c r="X98" s="19"/>
      <c r="Y98" s="19"/>
      <c r="Z98" s="19"/>
      <c r="AA98" s="19"/>
      <c r="AB98" s="19"/>
      <c r="AC98" s="19"/>
      <c r="AD98" s="19"/>
      <c r="AE98" s="19"/>
      <c r="AF98" s="19"/>
      <c r="AG98" s="19"/>
      <c r="AH98" s="19"/>
      <c r="AI98" s="19"/>
      <c r="AJ98" s="19"/>
      <c r="AK98" s="19"/>
      <c r="AL98" s="19"/>
    </row>
    <row r="99" spans="1:38" ht="13.5" customHeight="1">
      <c r="A99" s="19"/>
      <c r="B99" s="19"/>
      <c r="C99" s="65" t="s">
        <v>298</v>
      </c>
      <c r="D99" s="62"/>
      <c r="E99" s="19"/>
      <c r="F99" s="1095"/>
      <c r="G99" s="64">
        <v>0</v>
      </c>
      <c r="H99" s="64">
        <v>0</v>
      </c>
      <c r="I99" s="64">
        <v>0</v>
      </c>
      <c r="J99" s="64">
        <v>0</v>
      </c>
      <c r="K99" s="64">
        <v>0</v>
      </c>
      <c r="L99" s="1154">
        <f>SUM('DCF - Capital Structure'!L41:L42)</f>
        <v>2685.0370106371302</v>
      </c>
      <c r="M99" s="720">
        <f>SUM('DCF - Capital Structure'!M41:M42)</f>
        <v>-949.94882394629622</v>
      </c>
      <c r="N99" s="720">
        <f>SUM('DCF - Capital Structure'!N41:N42)</f>
        <v>1445.6264659379308</v>
      </c>
      <c r="O99" s="720">
        <f>SUM('DCF - Capital Structure'!O41:O42)</f>
        <v>-205.62053959722289</v>
      </c>
      <c r="P99" s="720">
        <f>SUM('DCF - Capital Structure'!P41:P42)</f>
        <v>915.70237633396891</v>
      </c>
      <c r="Q99" s="720">
        <f>SUM('DCF - Capital Structure'!Q41:Q42)</f>
        <v>411.9836524789248</v>
      </c>
      <c r="R99" s="720">
        <f>SUM('DCF - Capital Structure'!R41:R42)</f>
        <v>1048.3786057607877</v>
      </c>
      <c r="S99" s="720">
        <f>SUM('DCF - Capital Structure'!S41:S42)</f>
        <v>1003.2920384300414</v>
      </c>
      <c r="U99" s="93">
        <f t="shared" si="38"/>
        <v>1</v>
      </c>
      <c r="V99" s="24">
        <v>1</v>
      </c>
      <c r="W99" s="19"/>
      <c r="X99" s="19"/>
      <c r="Y99" s="19"/>
      <c r="Z99" s="19"/>
      <c r="AA99" s="19"/>
      <c r="AB99" s="19"/>
      <c r="AC99" s="19"/>
      <c r="AD99" s="19"/>
      <c r="AE99" s="19"/>
      <c r="AF99" s="19"/>
      <c r="AG99" s="19"/>
      <c r="AH99" s="19"/>
      <c r="AI99" s="19"/>
      <c r="AJ99" s="19"/>
      <c r="AK99" s="19"/>
      <c r="AL99" s="19"/>
    </row>
    <row r="100" spans="1:38" ht="13.5" customHeight="1">
      <c r="A100" s="1013"/>
      <c r="B100" s="19"/>
      <c r="C100" s="65" t="s">
        <v>299</v>
      </c>
      <c r="D100" s="1029"/>
      <c r="E100" s="19"/>
      <c r="F100" s="1095"/>
      <c r="G100" s="64">
        <v>721</v>
      </c>
      <c r="H100" s="64">
        <v>-285</v>
      </c>
      <c r="I100" s="64">
        <v>-753</v>
      </c>
      <c r="J100" s="64">
        <f>503-424</f>
        <v>79</v>
      </c>
      <c r="K100" s="64">
        <f>433-374</f>
        <v>59</v>
      </c>
      <c r="L100" s="1154">
        <f>SUM('DCF - Capital Structure'!L38:L40)</f>
        <v>0</v>
      </c>
      <c r="M100" s="1154">
        <f>SUM('DCF - Capital Structure'!M38:M40)</f>
        <v>0</v>
      </c>
      <c r="N100" s="1154">
        <f>SUM('DCF - Capital Structure'!N38:N40)</f>
        <v>0</v>
      </c>
      <c r="O100" s="1154">
        <f>SUM('DCF - Capital Structure'!O38:O40)</f>
        <v>0</v>
      </c>
      <c r="P100" s="1154">
        <f>SUM('DCF - Capital Structure'!P38:P40)</f>
        <v>0</v>
      </c>
      <c r="Q100" s="1154">
        <f>SUM('DCF - Capital Structure'!Q38:Q40)</f>
        <v>0</v>
      </c>
      <c r="R100" s="1154">
        <f>SUM('DCF - Capital Structure'!R38:R40)</f>
        <v>0</v>
      </c>
      <c r="S100" s="1154">
        <f>SUM('DCF - Capital Structure'!S38:S40)</f>
        <v>0</v>
      </c>
      <c r="U100" s="93">
        <f t="shared" si="38"/>
        <v>1</v>
      </c>
      <c r="V100" s="24">
        <v>1</v>
      </c>
      <c r="W100" s="19"/>
      <c r="X100" s="19"/>
      <c r="Y100" s="19"/>
      <c r="Z100" s="19"/>
      <c r="AA100" s="19"/>
      <c r="AB100" s="19"/>
      <c r="AC100" s="19"/>
      <c r="AD100" s="19"/>
      <c r="AE100" s="19"/>
      <c r="AF100" s="19"/>
      <c r="AG100" s="19"/>
      <c r="AH100" s="19"/>
      <c r="AI100" s="19"/>
      <c r="AJ100" s="19"/>
      <c r="AK100" s="19"/>
      <c r="AL100" s="19"/>
    </row>
    <row r="101" spans="1:38" ht="13.5" customHeight="1">
      <c r="A101" s="19"/>
      <c r="B101" s="19"/>
      <c r="C101" s="1110" t="s">
        <v>300</v>
      </c>
      <c r="D101" s="19"/>
      <c r="E101" s="19"/>
      <c r="F101" s="1095"/>
      <c r="G101" s="64">
        <v>0</v>
      </c>
      <c r="H101" s="64">
        <v>0</v>
      </c>
      <c r="I101" s="64">
        <v>0</v>
      </c>
      <c r="J101" s="64">
        <v>0</v>
      </c>
      <c r="K101" s="64">
        <v>0</v>
      </c>
      <c r="L101" s="1154">
        <f>L155-K155</f>
        <v>8.4779099077029514</v>
      </c>
      <c r="M101" s="720">
        <f>M155-L155</f>
        <v>23.25396113766999</v>
      </c>
      <c r="N101" s="720">
        <f t="shared" ref="N101:S101" si="45">N155-M155</f>
        <v>23.958929956890984</v>
      </c>
      <c r="O101" s="720">
        <f t="shared" si="45"/>
        <v>25.58844923499646</v>
      </c>
      <c r="P101" s="720">
        <f t="shared" si="45"/>
        <v>27.565986698537813</v>
      </c>
      <c r="Q101" s="720">
        <f t="shared" si="45"/>
        <v>29.122827448724138</v>
      </c>
      <c r="R101" s="720">
        <f t="shared" si="45"/>
        <v>30.914265148122922</v>
      </c>
      <c r="S101" s="720">
        <f t="shared" si="45"/>
        <v>33.014596704791757</v>
      </c>
      <c r="U101" s="93">
        <f t="shared" si="38"/>
        <v>1</v>
      </c>
      <c r="V101" s="24">
        <v>1</v>
      </c>
      <c r="W101" s="19"/>
      <c r="X101" s="19"/>
      <c r="Y101" s="19"/>
      <c r="Z101" s="19"/>
      <c r="AA101" s="19"/>
      <c r="AB101" s="19"/>
      <c r="AC101" s="19"/>
      <c r="AD101" s="19"/>
      <c r="AE101" s="19"/>
      <c r="AF101" s="19"/>
      <c r="AG101" s="19"/>
      <c r="AH101" s="19"/>
      <c r="AI101" s="19"/>
      <c r="AJ101" s="19"/>
      <c r="AK101" s="19"/>
      <c r="AL101" s="19"/>
    </row>
    <row r="102" spans="1:38" ht="13.5" customHeight="1">
      <c r="A102" s="19"/>
      <c r="B102" s="19"/>
      <c r="C102" s="65" t="s">
        <v>301</v>
      </c>
      <c r="D102" s="19"/>
      <c r="E102" s="19"/>
      <c r="F102" s="1095"/>
      <c r="G102" s="64">
        <v>-1623</v>
      </c>
      <c r="H102" s="64">
        <v>-1646</v>
      </c>
      <c r="I102" s="64">
        <v>-1646</v>
      </c>
      <c r="J102" s="64">
        <v>-1718</v>
      </c>
      <c r="K102" s="64">
        <v>-1761</v>
      </c>
      <c r="L102" s="720">
        <f>'DCF - Capital Structure'!L118</f>
        <v>0</v>
      </c>
      <c r="M102" s="720">
        <f>'DCF - Capital Structure'!M118</f>
        <v>0</v>
      </c>
      <c r="N102" s="720">
        <f>'DCF - Capital Structure'!N118</f>
        <v>0</v>
      </c>
      <c r="O102" s="720">
        <f>'DCF - Capital Structure'!O118</f>
        <v>0</v>
      </c>
      <c r="P102" s="720">
        <f>'DCF - Capital Structure'!P118</f>
        <v>0</v>
      </c>
      <c r="Q102" s="720">
        <f>'DCF - Capital Structure'!Q118</f>
        <v>0</v>
      </c>
      <c r="R102" s="720">
        <f>'DCF - Capital Structure'!R118</f>
        <v>0</v>
      </c>
      <c r="S102" s="720">
        <f>'DCF - Capital Structure'!S118</f>
        <v>0</v>
      </c>
      <c r="U102" s="93">
        <f t="shared" si="38"/>
        <v>1</v>
      </c>
      <c r="V102" s="24">
        <v>1</v>
      </c>
      <c r="W102" s="19"/>
      <c r="X102" s="19"/>
      <c r="Y102" s="19"/>
      <c r="Z102" s="19"/>
      <c r="AA102" s="19"/>
      <c r="AB102" s="19"/>
      <c r="AC102" s="19"/>
      <c r="AD102" s="19"/>
      <c r="AE102" s="19"/>
      <c r="AF102" s="19"/>
      <c r="AG102" s="19"/>
      <c r="AH102" s="19"/>
      <c r="AI102" s="19"/>
      <c r="AJ102" s="19"/>
      <c r="AK102" s="19"/>
      <c r="AL102" s="19"/>
    </row>
    <row r="103" spans="1:38" s="23" customFormat="1" ht="13.5" customHeight="1">
      <c r="A103" s="66"/>
      <c r="B103" s="66"/>
      <c r="C103" s="63" t="s">
        <v>302</v>
      </c>
      <c r="D103" s="659"/>
      <c r="E103" s="659"/>
      <c r="F103" s="1096"/>
      <c r="G103" s="666">
        <f t="shared" ref="G103:S103" si="46">SUM(G90:G102)</f>
        <v>-2924</v>
      </c>
      <c r="H103" s="666">
        <f t="shared" si="46"/>
        <v>1037</v>
      </c>
      <c r="I103" s="666">
        <f t="shared" si="46"/>
        <v>-2794</v>
      </c>
      <c r="J103" s="666">
        <f t="shared" si="46"/>
        <v>-3259</v>
      </c>
      <c r="K103" s="666">
        <f t="shared" si="46"/>
        <v>-2408</v>
      </c>
      <c r="L103" s="1022">
        <f t="shared" si="46"/>
        <v>-2701.1511751921553</v>
      </c>
      <c r="M103" s="1022">
        <f t="shared" si="46"/>
        <v>-2694.6908616368378</v>
      </c>
      <c r="N103" s="1022">
        <f t="shared" si="46"/>
        <v>-3077.222440428659</v>
      </c>
      <c r="O103" s="1022">
        <f t="shared" si="46"/>
        <v>-3305.3896398865177</v>
      </c>
      <c r="P103" s="1022">
        <f t="shared" si="46"/>
        <v>-3705.3652073369917</v>
      </c>
      <c r="Q103" s="1022">
        <f t="shared" si="46"/>
        <v>-3841.3932160075537</v>
      </c>
      <c r="R103" s="1022">
        <f t="shared" si="46"/>
        <v>-4201.4804275388269</v>
      </c>
      <c r="S103" s="1022">
        <f t="shared" si="46"/>
        <v>-4509.8313676691232</v>
      </c>
      <c r="U103" s="93">
        <f t="shared" si="38"/>
        <v>1</v>
      </c>
      <c r="V103" s="655">
        <v>1</v>
      </c>
      <c r="W103" s="66"/>
      <c r="X103" s="66"/>
      <c r="Y103" s="66"/>
      <c r="Z103" s="66"/>
      <c r="AA103" s="66"/>
      <c r="AB103" s="66"/>
      <c r="AC103" s="66"/>
      <c r="AD103" s="66"/>
      <c r="AE103" s="66"/>
      <c r="AF103" s="66"/>
      <c r="AG103" s="66"/>
      <c r="AH103" s="66"/>
      <c r="AI103" s="66"/>
      <c r="AJ103" s="66"/>
      <c r="AK103" s="66"/>
      <c r="AL103" s="66"/>
    </row>
    <row r="104" spans="1:38" ht="13.5" customHeight="1">
      <c r="A104" s="19"/>
      <c r="B104" s="19"/>
      <c r="C104" s="19"/>
      <c r="D104" s="19"/>
      <c r="E104" s="19"/>
      <c r="F104" s="1095"/>
      <c r="G104" s="19"/>
      <c r="H104" s="19"/>
      <c r="I104" s="19"/>
      <c r="J104" s="19"/>
      <c r="K104" s="19"/>
      <c r="L104" s="19"/>
      <c r="M104" s="19"/>
      <c r="N104" s="19"/>
      <c r="O104" s="19"/>
      <c r="P104" s="19"/>
      <c r="Q104" s="19"/>
      <c r="R104" s="19"/>
      <c r="S104" s="19"/>
      <c r="U104" s="93">
        <f t="shared" si="38"/>
        <v>0</v>
      </c>
      <c r="V104" s="24">
        <v>0</v>
      </c>
      <c r="W104" s="19"/>
      <c r="X104" s="19"/>
      <c r="Y104" s="19"/>
      <c r="Z104" s="19"/>
      <c r="AA104" s="19"/>
      <c r="AB104" s="19"/>
      <c r="AC104" s="19"/>
      <c r="AD104" s="19"/>
      <c r="AE104" s="19"/>
      <c r="AF104" s="19"/>
      <c r="AG104" s="19"/>
      <c r="AH104" s="19"/>
      <c r="AI104" s="19"/>
      <c r="AJ104" s="19"/>
      <c r="AK104" s="19"/>
      <c r="AL104" s="19"/>
    </row>
    <row r="105" spans="1:38" ht="13.5" customHeight="1">
      <c r="A105" s="19"/>
      <c r="B105" s="19"/>
      <c r="C105" s="19" t="s">
        <v>303</v>
      </c>
      <c r="D105" s="62"/>
      <c r="E105" s="19"/>
      <c r="F105" s="1095"/>
      <c r="G105" s="64">
        <v>693</v>
      </c>
      <c r="H105" s="46">
        <f>G108</f>
        <v>721</v>
      </c>
      <c r="I105" s="46">
        <f t="shared" ref="I105:S105" si="47">H108</f>
        <v>3153</v>
      </c>
      <c r="J105" s="46">
        <f t="shared" si="47"/>
        <v>2637</v>
      </c>
      <c r="K105" s="46">
        <f>J108</f>
        <v>2211</v>
      </c>
      <c r="L105" s="719">
        <f>K108</f>
        <v>1403</v>
      </c>
      <c r="M105" s="719">
        <f t="shared" si="47"/>
        <v>2413.0500000000002</v>
      </c>
      <c r="N105" s="719">
        <f t="shared" si="47"/>
        <v>2696.7000000000003</v>
      </c>
      <c r="O105" s="719">
        <f t="shared" si="47"/>
        <v>3032.2024999999999</v>
      </c>
      <c r="P105" s="719">
        <f t="shared" si="47"/>
        <v>3331.3849999999998</v>
      </c>
      <c r="Q105" s="719">
        <f t="shared" si="47"/>
        <v>3633.1601249999994</v>
      </c>
      <c r="R105" s="719">
        <f t="shared" si="47"/>
        <v>3933.1192499999997</v>
      </c>
      <c r="S105" s="719">
        <f t="shared" si="47"/>
        <v>4233.208006249999</v>
      </c>
      <c r="U105" s="93">
        <f t="shared" si="38"/>
        <v>1</v>
      </c>
      <c r="V105" s="24">
        <v>1</v>
      </c>
      <c r="W105" s="19"/>
      <c r="X105" s="19"/>
      <c r="Y105" s="19"/>
      <c r="Z105" s="19"/>
      <c r="AA105" s="19"/>
      <c r="AB105" s="19"/>
      <c r="AC105" s="19"/>
      <c r="AD105" s="19"/>
      <c r="AE105" s="19"/>
      <c r="AF105" s="19"/>
      <c r="AG105" s="19"/>
      <c r="AH105" s="19"/>
      <c r="AI105" s="19"/>
      <c r="AJ105" s="19"/>
      <c r="AK105" s="19"/>
      <c r="AL105" s="19"/>
    </row>
    <row r="106" spans="1:38" ht="13.5" customHeight="1">
      <c r="A106" s="19"/>
      <c r="B106" s="19"/>
      <c r="C106" s="19" t="s">
        <v>304</v>
      </c>
      <c r="D106" s="1013"/>
      <c r="E106" s="19"/>
      <c r="F106" s="1095"/>
      <c r="G106" s="64">
        <v>-26</v>
      </c>
      <c r="H106" s="64">
        <v>-120</v>
      </c>
      <c r="I106" s="64">
        <v>-285</v>
      </c>
      <c r="J106" s="64">
        <v>239</v>
      </c>
      <c r="K106" s="64">
        <v>-227</v>
      </c>
      <c r="L106" s="719">
        <v>0</v>
      </c>
      <c r="M106" s="719">
        <v>0</v>
      </c>
      <c r="N106" s="719">
        <v>0</v>
      </c>
      <c r="O106" s="719">
        <v>0</v>
      </c>
      <c r="P106" s="719">
        <v>0</v>
      </c>
      <c r="Q106" s="719">
        <v>0</v>
      </c>
      <c r="R106" s="719">
        <v>0</v>
      </c>
      <c r="S106" s="719">
        <v>0</v>
      </c>
      <c r="U106" s="93">
        <f t="shared" si="38"/>
        <v>1</v>
      </c>
      <c r="V106" s="24">
        <v>1</v>
      </c>
      <c r="W106" s="19"/>
      <c r="X106" s="19"/>
      <c r="Y106" s="19"/>
      <c r="Z106" s="19"/>
      <c r="AA106" s="19"/>
      <c r="AB106" s="19"/>
      <c r="AC106" s="19"/>
      <c r="AD106" s="19"/>
      <c r="AE106" s="19"/>
      <c r="AF106" s="19"/>
      <c r="AG106" s="19"/>
      <c r="AH106" s="19"/>
      <c r="AI106" s="19"/>
      <c r="AJ106" s="19"/>
      <c r="AK106" s="19"/>
      <c r="AL106" s="19"/>
    </row>
    <row r="107" spans="1:38" ht="13.5" customHeight="1">
      <c r="A107"/>
      <c r="B107" s="19"/>
      <c r="C107" s="977" t="s">
        <v>305</v>
      </c>
      <c r="D107" s="977"/>
      <c r="E107" s="977"/>
      <c r="F107" s="1126"/>
      <c r="G107" s="978">
        <f t="shared" ref="G107:S107" si="48">G77+G85+G103</f>
        <v>54</v>
      </c>
      <c r="H107" s="978">
        <f t="shared" si="48"/>
        <v>2552</v>
      </c>
      <c r="I107" s="978">
        <f t="shared" si="48"/>
        <v>-231</v>
      </c>
      <c r="J107" s="978">
        <f t="shared" si="48"/>
        <v>-665</v>
      </c>
      <c r="K107" s="978">
        <f>K77+K85+K103</f>
        <v>-581</v>
      </c>
      <c r="L107" s="713">
        <f>L77+L85+L103</f>
        <v>1010.0500000000002</v>
      </c>
      <c r="M107" s="713">
        <f t="shared" si="48"/>
        <v>283.65000000000009</v>
      </c>
      <c r="N107" s="713">
        <f t="shared" si="48"/>
        <v>335.5024999999996</v>
      </c>
      <c r="O107" s="713">
        <f t="shared" si="48"/>
        <v>299.18249999999989</v>
      </c>
      <c r="P107" s="713">
        <f t="shared" si="48"/>
        <v>301.77512499999966</v>
      </c>
      <c r="Q107" s="713">
        <f t="shared" si="48"/>
        <v>299.95912500000031</v>
      </c>
      <c r="R107" s="713">
        <f t="shared" si="48"/>
        <v>300.08875624999928</v>
      </c>
      <c r="S107" s="713">
        <f t="shared" si="48"/>
        <v>299.99795625000115</v>
      </c>
      <c r="U107" s="93">
        <f t="shared" si="38"/>
        <v>1</v>
      </c>
      <c r="V107" s="24">
        <v>1</v>
      </c>
      <c r="W107" s="19"/>
      <c r="X107" s="19"/>
      <c r="Y107" s="19"/>
      <c r="Z107" s="19"/>
      <c r="AA107" s="19"/>
      <c r="AB107" s="19"/>
      <c r="AC107" s="19"/>
      <c r="AD107" s="19"/>
      <c r="AE107" s="19"/>
      <c r="AF107" s="19"/>
      <c r="AG107" s="19"/>
      <c r="AH107" s="19"/>
      <c r="AI107" s="19"/>
      <c r="AJ107" s="19"/>
      <c r="AK107" s="19"/>
      <c r="AL107" s="19"/>
    </row>
    <row r="108" spans="1:38" ht="13.5" customHeight="1">
      <c r="A108" s="19"/>
      <c r="B108" s="19"/>
      <c r="C108" s="3" t="s">
        <v>306</v>
      </c>
      <c r="G108" s="6">
        <f t="shared" ref="G108:L108" si="49">SUM(G105:G107)</f>
        <v>721</v>
      </c>
      <c r="H108" s="6">
        <f t="shared" si="49"/>
        <v>3153</v>
      </c>
      <c r="I108" s="6">
        <f t="shared" si="49"/>
        <v>2637</v>
      </c>
      <c r="J108" s="6">
        <f t="shared" si="49"/>
        <v>2211</v>
      </c>
      <c r="K108" s="6">
        <f t="shared" si="49"/>
        <v>1403</v>
      </c>
      <c r="L108" s="644">
        <f t="shared" si="49"/>
        <v>2413.0500000000002</v>
      </c>
      <c r="M108" s="644">
        <f t="shared" ref="M108:S108" si="50">SUM(M105:M107)</f>
        <v>2696.7000000000003</v>
      </c>
      <c r="N108" s="644">
        <f t="shared" si="50"/>
        <v>3032.2024999999999</v>
      </c>
      <c r="O108" s="644">
        <f t="shared" si="50"/>
        <v>3331.3849999999998</v>
      </c>
      <c r="P108" s="644">
        <f t="shared" si="50"/>
        <v>3633.1601249999994</v>
      </c>
      <c r="Q108" s="644">
        <f t="shared" si="50"/>
        <v>3933.1192499999997</v>
      </c>
      <c r="R108" s="644">
        <f t="shared" si="50"/>
        <v>4233.208006249999</v>
      </c>
      <c r="S108" s="644">
        <f t="shared" si="50"/>
        <v>4533.2059625000002</v>
      </c>
      <c r="U108" s="93">
        <f t="shared" si="38"/>
        <v>1</v>
      </c>
      <c r="V108" s="24">
        <v>1</v>
      </c>
    </row>
    <row r="109" spans="1:38" ht="13.5" customHeight="1">
      <c r="A109" s="19"/>
      <c r="B109" s="19"/>
      <c r="C109" s="361"/>
      <c r="G109" s="6"/>
      <c r="H109" s="6"/>
      <c r="I109" s="61"/>
      <c r="J109" s="6"/>
      <c r="K109" s="6"/>
      <c r="L109" s="6"/>
      <c r="M109" s="6"/>
      <c r="N109" s="6"/>
      <c r="O109" s="6"/>
      <c r="P109" s="6"/>
      <c r="Q109" s="6"/>
      <c r="R109" s="6"/>
      <c r="S109" s="6"/>
      <c r="U109" s="93">
        <f t="shared" si="38"/>
        <v>0</v>
      </c>
      <c r="V109" s="24">
        <v>0</v>
      </c>
    </row>
    <row r="110" spans="1:38" ht="13.5" customHeight="1">
      <c r="A110" s="19"/>
      <c r="B110" s="19"/>
      <c r="C110" s="3" t="s">
        <v>307</v>
      </c>
      <c r="G110" s="6">
        <f>G129</f>
        <v>932</v>
      </c>
      <c r="H110" s="6">
        <f>H129</f>
        <v>3323</v>
      </c>
      <c r="I110" s="6">
        <f t="shared" ref="I110:J110" si="51">I129</f>
        <v>2749</v>
      </c>
      <c r="J110" s="6">
        <f t="shared" si="51"/>
        <v>2285</v>
      </c>
      <c r="K110" s="6">
        <f>K129</f>
        <v>1439</v>
      </c>
      <c r="L110" s="719">
        <f>L108-L111</f>
        <v>2485</v>
      </c>
      <c r="M110" s="719">
        <f t="shared" ref="M110:S110" si="52">M108-M111</f>
        <v>2820.9500000000003</v>
      </c>
      <c r="N110" s="719">
        <f t="shared" si="52"/>
        <v>3173.25</v>
      </c>
      <c r="O110" s="719">
        <f t="shared" si="52"/>
        <v>3490.0474999999997</v>
      </c>
      <c r="P110" s="719">
        <f t="shared" si="52"/>
        <v>3807.6624999999995</v>
      </c>
      <c r="Q110" s="719">
        <f t="shared" si="52"/>
        <v>4123.502375</v>
      </c>
      <c r="R110" s="719">
        <f t="shared" si="52"/>
        <v>4439.3831249999994</v>
      </c>
      <c r="S110" s="719">
        <f t="shared" si="52"/>
        <v>4755.1751187500004</v>
      </c>
      <c r="U110" s="93">
        <f t="shared" si="38"/>
        <v>1</v>
      </c>
      <c r="V110" s="24">
        <v>1</v>
      </c>
    </row>
    <row r="111" spans="1:38" ht="13.5" customHeight="1">
      <c r="A111" s="19"/>
      <c r="B111" s="19"/>
      <c r="C111" s="3" t="s">
        <v>308</v>
      </c>
      <c r="G111" s="6">
        <f>G108-G110</f>
        <v>-211</v>
      </c>
      <c r="H111" s="6">
        <f t="shared" ref="H111:I111" si="53">H108-H110</f>
        <v>-170</v>
      </c>
      <c r="I111" s="6">
        <f t="shared" si="53"/>
        <v>-112</v>
      </c>
      <c r="J111" s="6">
        <f>J108-J110</f>
        <v>-74</v>
      </c>
      <c r="K111" s="6">
        <f>K108-K110</f>
        <v>-36</v>
      </c>
      <c r="L111" s="719">
        <f>-'DCF - Capital Structure'!L13</f>
        <v>-71.95</v>
      </c>
      <c r="M111" s="719">
        <f>-'DCF - Capital Structure'!M13</f>
        <v>-124.25</v>
      </c>
      <c r="N111" s="719">
        <f>-'DCF - Capital Structure'!N13</f>
        <v>-141.04750000000001</v>
      </c>
      <c r="O111" s="719">
        <f>-'DCF - Capital Structure'!O13</f>
        <v>-158.66250000000002</v>
      </c>
      <c r="P111" s="719">
        <f>-'DCF - Capital Structure'!P13</f>
        <v>-174.502375</v>
      </c>
      <c r="Q111" s="719">
        <f>-'DCF - Capital Structure'!Q13</f>
        <v>-190.38312499999998</v>
      </c>
      <c r="R111" s="719">
        <f>-'DCF - Capital Structure'!R13</f>
        <v>-206.17511875000002</v>
      </c>
      <c r="S111" s="719">
        <f>-'DCF - Capital Structure'!S13</f>
        <v>-221.96915624999997</v>
      </c>
      <c r="U111" s="93">
        <f t="shared" si="38"/>
        <v>1</v>
      </c>
      <c r="V111" s="24">
        <v>1</v>
      </c>
    </row>
    <row r="112" spans="1:38" ht="13.5" customHeight="1">
      <c r="A112" s="19"/>
      <c r="B112" s="19"/>
      <c r="C112" s="361"/>
      <c r="G112" s="6"/>
      <c r="H112" s="6"/>
      <c r="I112" s="61"/>
      <c r="J112" s="6"/>
      <c r="K112" s="6"/>
      <c r="L112" s="6"/>
      <c r="M112" s="6"/>
      <c r="N112" s="6"/>
      <c r="O112" s="6"/>
      <c r="P112" s="6"/>
      <c r="Q112" s="6"/>
      <c r="R112" s="6"/>
      <c r="S112" s="6"/>
      <c r="U112" s="93">
        <f t="shared" si="38"/>
        <v>0</v>
      </c>
      <c r="V112" s="24">
        <v>0</v>
      </c>
    </row>
    <row r="113" spans="1:259" ht="13.5" customHeight="1">
      <c r="A113" s="19"/>
      <c r="B113" s="19"/>
      <c r="C113" s="16" t="s">
        <v>309</v>
      </c>
      <c r="D113" s="15"/>
      <c r="E113" s="15" t="s">
        <v>310</v>
      </c>
      <c r="F113" s="1099"/>
      <c r="G113" s="60" t="str">
        <f>IF(ABS(G110-G129)&gt;0.1,G129-G110,"OK")</f>
        <v>OK</v>
      </c>
      <c r="H113" s="60" t="str">
        <f t="shared" ref="H113:S113" si="54">IF(ABS(H110-H129)&gt;0.1,H129-H110,"OK")</f>
        <v>OK</v>
      </c>
      <c r="I113" s="60" t="str">
        <f t="shared" si="54"/>
        <v>OK</v>
      </c>
      <c r="J113" s="60" t="str">
        <f t="shared" si="54"/>
        <v>OK</v>
      </c>
      <c r="K113" s="60" t="str">
        <f t="shared" si="54"/>
        <v>OK</v>
      </c>
      <c r="L113" s="60" t="str">
        <f t="shared" si="54"/>
        <v>OK</v>
      </c>
      <c r="M113" s="60" t="str">
        <f t="shared" si="54"/>
        <v>OK</v>
      </c>
      <c r="N113" s="60" t="str">
        <f t="shared" si="54"/>
        <v>OK</v>
      </c>
      <c r="O113" s="60" t="str">
        <f t="shared" si="54"/>
        <v>OK</v>
      </c>
      <c r="P113" s="60" t="str">
        <f t="shared" si="54"/>
        <v>OK</v>
      </c>
      <c r="Q113" s="60" t="str">
        <f t="shared" si="54"/>
        <v>OK</v>
      </c>
      <c r="R113" s="60" t="str">
        <f t="shared" si="54"/>
        <v>OK</v>
      </c>
      <c r="S113" s="59" t="str">
        <f t="shared" si="54"/>
        <v>OK</v>
      </c>
      <c r="U113" s="93">
        <f t="shared" si="38"/>
        <v>1</v>
      </c>
      <c r="V113" s="24">
        <v>1</v>
      </c>
    </row>
    <row r="114" spans="1:259" ht="13.5" customHeight="1">
      <c r="A114" s="19"/>
      <c r="B114" s="19"/>
      <c r="G114" s="58"/>
      <c r="H114" s="58"/>
      <c r="I114" s="58"/>
      <c r="J114" s="58"/>
      <c r="K114" s="58"/>
      <c r="L114" s="58"/>
      <c r="M114" s="58"/>
      <c r="N114" s="58"/>
      <c r="O114" s="58"/>
      <c r="P114" s="58"/>
      <c r="Q114" s="58"/>
      <c r="R114" s="58"/>
      <c r="S114" s="58"/>
      <c r="U114" s="93">
        <f t="shared" si="38"/>
        <v>0</v>
      </c>
      <c r="V114" s="24">
        <v>0</v>
      </c>
    </row>
    <row r="115" spans="1:259" ht="13.5" customHeight="1">
      <c r="A115" s="19"/>
      <c r="B115" s="19"/>
      <c r="C115" s="205" t="s">
        <v>311</v>
      </c>
      <c r="H115" s="58"/>
      <c r="I115" s="58"/>
      <c r="J115" s="58"/>
      <c r="K115" s="58"/>
      <c r="L115" s="58"/>
      <c r="M115" s="58"/>
      <c r="N115" s="58"/>
      <c r="O115" s="58"/>
      <c r="P115" s="58"/>
      <c r="Q115" s="58"/>
      <c r="R115" s="58"/>
      <c r="S115" s="58"/>
      <c r="U115" s="93">
        <f t="shared" si="38"/>
        <v>1</v>
      </c>
      <c r="V115" s="24">
        <v>1</v>
      </c>
    </row>
    <row r="116" spans="1:259" ht="13.5" customHeight="1">
      <c r="A116" s="19"/>
      <c r="B116" s="19"/>
      <c r="C116" s="3" t="s">
        <v>312</v>
      </c>
      <c r="G116" s="241">
        <f t="shared" ref="G116:S116" si="55">SUM(G80:G84)</f>
        <v>-270</v>
      </c>
      <c r="H116" s="241">
        <f t="shared" si="55"/>
        <v>-805</v>
      </c>
      <c r="I116" s="241">
        <f t="shared" si="55"/>
        <v>-1091</v>
      </c>
      <c r="J116" s="241">
        <f t="shared" si="55"/>
        <v>-1341</v>
      </c>
      <c r="K116" s="241">
        <f t="shared" si="55"/>
        <v>-1197</v>
      </c>
      <c r="L116" s="723">
        <f t="shared" si="55"/>
        <v>-1606.0000536129971</v>
      </c>
      <c r="M116" s="723">
        <f t="shared" si="55"/>
        <v>-1639.630873293281</v>
      </c>
      <c r="N116" s="723">
        <f t="shared" si="55"/>
        <v>-1692.3587027283584</v>
      </c>
      <c r="O116" s="723">
        <f t="shared" si="55"/>
        <v>-1797.750259206839</v>
      </c>
      <c r="P116" s="723">
        <f t="shared" si="55"/>
        <v>-1949.5077890605892</v>
      </c>
      <c r="Q116" s="723">
        <f t="shared" si="55"/>
        <v>-2056.6723458540055</v>
      </c>
      <c r="R116" s="723">
        <f t="shared" si="55"/>
        <v>-2182.8051297068132</v>
      </c>
      <c r="S116" s="723">
        <f t="shared" si="55"/>
        <v>-2329.6446518329308</v>
      </c>
      <c r="U116" s="93">
        <f t="shared" si="38"/>
        <v>1</v>
      </c>
      <c r="V116" s="24">
        <v>1</v>
      </c>
    </row>
    <row r="117" spans="1:259" ht="13.5" customHeight="1">
      <c r="A117" s="19"/>
      <c r="B117" s="19"/>
      <c r="C117" s="3" t="s">
        <v>313</v>
      </c>
      <c r="G117" s="241">
        <f t="shared" ref="G117:S117" si="56">G75</f>
        <v>-222</v>
      </c>
      <c r="H117" s="241">
        <f t="shared" si="56"/>
        <v>-328</v>
      </c>
      <c r="I117" s="241">
        <f t="shared" si="56"/>
        <v>331</v>
      </c>
      <c r="J117" s="241">
        <f t="shared" si="56"/>
        <v>-179</v>
      </c>
      <c r="K117" s="241">
        <f t="shared" si="56"/>
        <v>-1175</v>
      </c>
      <c r="L117" s="723">
        <f t="shared" si="56"/>
        <v>61.222667788690273</v>
      </c>
      <c r="M117" s="723">
        <f t="shared" si="56"/>
        <v>-226.75591377864254</v>
      </c>
      <c r="N117" s="723">
        <f t="shared" si="56"/>
        <v>-258.54097130974651</v>
      </c>
      <c r="O117" s="723">
        <f t="shared" si="56"/>
        <v>-278.16160084833206</v>
      </c>
      <c r="P117" s="723">
        <f t="shared" si="56"/>
        <v>-320.00158564526726</v>
      </c>
      <c r="Q117" s="723">
        <f t="shared" si="56"/>
        <v>-338.66769810978872</v>
      </c>
      <c r="R117" s="723">
        <f t="shared" si="56"/>
        <v>-358.44209212896442</v>
      </c>
      <c r="S117" s="723">
        <f t="shared" si="56"/>
        <v>-379.39104186720851</v>
      </c>
      <c r="U117" s="93">
        <f t="shared" si="38"/>
        <v>1</v>
      </c>
      <c r="V117" s="24">
        <v>1</v>
      </c>
    </row>
    <row r="118" spans="1:259" ht="13.5" customHeight="1">
      <c r="A118" s="19"/>
      <c r="B118" s="19"/>
      <c r="C118" s="3" t="s">
        <v>314</v>
      </c>
      <c r="G118" s="241">
        <v>0</v>
      </c>
      <c r="H118" s="241">
        <v>0</v>
      </c>
      <c r="I118" s="241">
        <v>0</v>
      </c>
      <c r="J118" s="241">
        <v>0</v>
      </c>
      <c r="K118" s="241">
        <v>0</v>
      </c>
      <c r="L118" s="241">
        <v>0</v>
      </c>
      <c r="M118" s="241">
        <v>0</v>
      </c>
      <c r="N118" s="241">
        <v>0</v>
      </c>
      <c r="O118" s="241">
        <v>0</v>
      </c>
      <c r="P118" s="241">
        <v>0</v>
      </c>
      <c r="Q118" s="241">
        <v>0</v>
      </c>
      <c r="R118" s="241">
        <v>0</v>
      </c>
      <c r="S118" s="241">
        <v>0</v>
      </c>
      <c r="U118" s="93">
        <f t="shared" si="38"/>
        <v>1</v>
      </c>
      <c r="V118" s="24">
        <v>1</v>
      </c>
    </row>
    <row r="119" spans="1:259" ht="13.5" customHeight="1">
      <c r="A119" s="19"/>
      <c r="B119" s="19"/>
      <c r="G119" s="58"/>
      <c r="H119" s="58"/>
      <c r="I119" s="58"/>
      <c r="J119" s="58"/>
      <c r="K119" s="58"/>
      <c r="L119" s="58"/>
      <c r="M119" s="58"/>
      <c r="N119" s="58"/>
      <c r="O119" s="58"/>
      <c r="P119" s="58"/>
      <c r="Q119" s="58"/>
      <c r="R119" s="58"/>
      <c r="S119" s="58"/>
      <c r="U119" s="93">
        <f t="shared" si="38"/>
        <v>0</v>
      </c>
      <c r="V119" s="24">
        <v>0</v>
      </c>
    </row>
    <row r="120" spans="1:259" ht="13.5" customHeight="1">
      <c r="A120" s="19"/>
      <c r="B120" s="19"/>
      <c r="C120" s="926" t="s">
        <v>315</v>
      </c>
      <c r="D120" s="927"/>
      <c r="E120" s="927"/>
      <c r="F120" s="1087"/>
      <c r="G120" s="927"/>
      <c r="H120" s="927"/>
      <c r="I120" s="927"/>
      <c r="J120" s="927"/>
      <c r="K120" s="927"/>
      <c r="L120" s="927"/>
      <c r="M120" s="927"/>
      <c r="N120" s="927"/>
      <c r="O120" s="927"/>
      <c r="P120" s="927"/>
      <c r="Q120" s="927"/>
      <c r="R120" s="927"/>
      <c r="S120" s="927"/>
      <c r="U120" s="93">
        <f t="shared" si="38"/>
        <v>1</v>
      </c>
      <c r="V120" s="24">
        <v>1</v>
      </c>
      <c r="W120" s="19"/>
      <c r="X120" s="19"/>
      <c r="Y120" s="19"/>
      <c r="Z120" s="19"/>
      <c r="AA120" s="19"/>
      <c r="AB120" s="19"/>
      <c r="AC120" s="19"/>
      <c r="AD120" s="19"/>
      <c r="AE120" s="19"/>
      <c r="AF120" s="19"/>
      <c r="AG120" s="19"/>
      <c r="AH120" s="19"/>
      <c r="AI120" s="19"/>
      <c r="AJ120" s="19"/>
      <c r="AK120" s="19"/>
      <c r="AL120" s="19"/>
    </row>
    <row r="121" spans="1:259" ht="13.5" customHeight="1">
      <c r="A121" s="19"/>
      <c r="B121" s="19"/>
      <c r="C121" s="1010"/>
      <c r="G121" s="40"/>
      <c r="H121" s="40"/>
      <c r="I121" s="40"/>
      <c r="J121" s="39"/>
      <c r="K121" s="39"/>
      <c r="L121" s="214" t="str">
        <f>'DCF - Assumptions'!$L$6</f>
        <v>Projected Fiscal Years Ending June 31</v>
      </c>
      <c r="M121" s="214"/>
      <c r="N121" s="214"/>
      <c r="O121" s="214"/>
      <c r="P121" s="214"/>
      <c r="Q121" s="214"/>
      <c r="R121" s="214"/>
      <c r="S121" s="214"/>
      <c r="U121" s="93">
        <f t="shared" si="38"/>
        <v>0</v>
      </c>
      <c r="V121" s="24">
        <v>0</v>
      </c>
    </row>
    <row r="122" spans="1:259" ht="13.5" customHeight="1" thickBot="1">
      <c r="A122" s="19"/>
      <c r="B122" s="19"/>
      <c r="C122" s="57"/>
      <c r="D122" s="57"/>
      <c r="E122" s="57"/>
      <c r="F122" s="1094"/>
      <c r="G122" s="56">
        <f t="shared" ref="G122:S122" si="57">G$8</f>
        <v>2019</v>
      </c>
      <c r="H122" s="56">
        <f t="shared" si="57"/>
        <v>2020</v>
      </c>
      <c r="I122" s="56">
        <f t="shared" si="57"/>
        <v>2021</v>
      </c>
      <c r="J122" s="56">
        <f t="shared" si="57"/>
        <v>2022</v>
      </c>
      <c r="K122" s="56">
        <f t="shared" si="57"/>
        <v>2023</v>
      </c>
      <c r="L122" s="56">
        <f t="shared" si="57"/>
        <v>2024</v>
      </c>
      <c r="M122" s="56">
        <f t="shared" si="57"/>
        <v>2025</v>
      </c>
      <c r="N122" s="56">
        <f t="shared" si="57"/>
        <v>2026</v>
      </c>
      <c r="O122" s="56">
        <f t="shared" si="57"/>
        <v>2027</v>
      </c>
      <c r="P122" s="56">
        <f t="shared" si="57"/>
        <v>2028</v>
      </c>
      <c r="Q122" s="56">
        <f t="shared" si="57"/>
        <v>2029</v>
      </c>
      <c r="R122" s="56">
        <f t="shared" si="57"/>
        <v>2030</v>
      </c>
      <c r="S122" s="56">
        <f t="shared" si="57"/>
        <v>2031</v>
      </c>
      <c r="U122" s="93">
        <f t="shared" si="38"/>
        <v>0</v>
      </c>
      <c r="V122" s="24">
        <v>0</v>
      </c>
    </row>
    <row r="123" spans="1:259" ht="13.5" customHeight="1">
      <c r="A123" s="19"/>
      <c r="B123" s="19"/>
      <c r="C123" s="52" t="s">
        <v>316</v>
      </c>
      <c r="D123" s="19"/>
      <c r="E123" s="19"/>
      <c r="F123" s="1095"/>
      <c r="G123" s="19"/>
      <c r="H123" s="19"/>
      <c r="I123" s="46"/>
      <c r="J123" s="46"/>
      <c r="K123" s="45"/>
      <c r="U123" s="93">
        <f t="shared" si="38"/>
        <v>1</v>
      </c>
      <c r="V123" s="24">
        <v>1</v>
      </c>
    </row>
    <row r="124" spans="1:259" ht="13.5" customHeight="1">
      <c r="A124" s="19"/>
      <c r="B124" s="19"/>
      <c r="C124" s="55" t="s">
        <v>317</v>
      </c>
      <c r="D124" s="19"/>
      <c r="E124" s="19"/>
      <c r="F124" s="1095"/>
      <c r="G124" s="45"/>
      <c r="H124" s="45"/>
      <c r="I124" s="45"/>
      <c r="J124" s="45"/>
      <c r="K124" s="45"/>
      <c r="L124" s="6"/>
      <c r="U124" s="93">
        <f t="shared" si="38"/>
        <v>1</v>
      </c>
      <c r="V124" s="24">
        <v>1</v>
      </c>
      <c r="IY124" s="6"/>
    </row>
    <row r="125" spans="1:259" ht="13.5" customHeight="1">
      <c r="A125" s="19"/>
      <c r="B125" s="19"/>
      <c r="C125" s="51" t="s">
        <v>192</v>
      </c>
      <c r="D125" s="19"/>
      <c r="E125" s="19"/>
      <c r="F125" s="1095"/>
      <c r="G125" s="683">
        <v>5472</v>
      </c>
      <c r="H125" s="683">
        <v>5772</v>
      </c>
      <c r="I125" s="683">
        <v>6045</v>
      </c>
      <c r="J125" s="683">
        <v>7094</v>
      </c>
      <c r="K125" s="683">
        <v>7661</v>
      </c>
      <c r="L125" s="719">
        <f>'DCF - Assumptions'!L129</f>
        <v>7957.5576547069486</v>
      </c>
      <c r="M125" s="719">
        <f>'DCF - Assumptions'!M129</f>
        <v>8349.1186984772248</v>
      </c>
      <c r="N125" s="719">
        <f>'DCF - Assumptions'!N129</f>
        <v>8795.0083175219606</v>
      </c>
      <c r="O125" s="719">
        <f>'DCF - Assumptions'!O129</f>
        <v>9275.8074419246404</v>
      </c>
      <c r="P125" s="719">
        <f>'DCF - Assumptions'!P129</f>
        <v>9828.3512111447235</v>
      </c>
      <c r="Q125" s="719">
        <f>'DCF - Assumptions'!Q129</f>
        <v>10415.142717202454</v>
      </c>
      <c r="R125" s="719">
        <f>'DCF - Assumptions'!R129</f>
        <v>11038.367495041686</v>
      </c>
      <c r="S125" s="719">
        <f>'DCF - Assumptions'!S129</f>
        <v>11700.353832889918</v>
      </c>
      <c r="U125" s="93">
        <f t="shared" si="38"/>
        <v>1</v>
      </c>
      <c r="V125" s="24">
        <v>1</v>
      </c>
      <c r="IY125" s="6"/>
    </row>
    <row r="126" spans="1:259" ht="13.5" customHeight="1">
      <c r="A126" s="19"/>
      <c r="B126" s="19"/>
      <c r="C126" s="51" t="s">
        <v>193</v>
      </c>
      <c r="D126" s="19"/>
      <c r="E126" s="19"/>
      <c r="F126" s="1095"/>
      <c r="G126" s="683">
        <v>2694</v>
      </c>
      <c r="H126" s="683">
        <v>2111</v>
      </c>
      <c r="I126" s="683">
        <v>2385</v>
      </c>
      <c r="J126" s="683">
        <v>2933</v>
      </c>
      <c r="K126" s="683">
        <v>2720</v>
      </c>
      <c r="L126" s="719">
        <f>'DCF - Assumptions'!L130</f>
        <v>3288.6972629098445</v>
      </c>
      <c r="M126" s="719">
        <f>'DCF - Assumptions'!M130</f>
        <v>3466.0061051345374</v>
      </c>
      <c r="N126" s="719">
        <f>'DCF - Assumptions'!N130</f>
        <v>3667.5688345467993</v>
      </c>
      <c r="O126" s="719">
        <f>'DCF - Assumptions'!O130</f>
        <v>3885.5804018719687</v>
      </c>
      <c r="P126" s="719">
        <f>'DCF - Assumptions'!P130</f>
        <v>4135.7654861600013</v>
      </c>
      <c r="Q126" s="719">
        <f>'DCF - Assumptions'!Q130</f>
        <v>4402.7143676533733</v>
      </c>
      <c r="R126" s="719">
        <f>'DCF - Assumptions'!R130</f>
        <v>4687.5860306096201</v>
      </c>
      <c r="S126" s="719">
        <f>'DCF - Assumptions'!S130</f>
        <v>4991.6217408517023</v>
      </c>
      <c r="U126" s="93">
        <f t="shared" si="38"/>
        <v>1</v>
      </c>
      <c r="V126" s="24">
        <v>1</v>
      </c>
      <c r="IY126" s="6"/>
    </row>
    <row r="127" spans="1:259" ht="13.5" customHeight="1">
      <c r="A127" s="19"/>
      <c r="B127"/>
      <c r="C127" s="51" t="s">
        <v>318</v>
      </c>
      <c r="D127" s="19"/>
      <c r="E127" s="19"/>
      <c r="F127" s="1095"/>
      <c r="G127" s="683">
        <v>65</v>
      </c>
      <c r="H127" s="683">
        <v>0</v>
      </c>
      <c r="I127" s="683">
        <v>0</v>
      </c>
      <c r="J127" s="683">
        <v>222</v>
      </c>
      <c r="K127" s="683">
        <v>0</v>
      </c>
      <c r="L127" s="719">
        <v>0</v>
      </c>
      <c r="M127" s="719">
        <v>0</v>
      </c>
      <c r="N127" s="719">
        <v>0</v>
      </c>
      <c r="O127" s="719">
        <v>0</v>
      </c>
      <c r="P127" s="719">
        <v>0</v>
      </c>
      <c r="Q127" s="719">
        <v>0</v>
      </c>
      <c r="R127" s="719">
        <v>0</v>
      </c>
      <c r="S127" s="719">
        <v>0</v>
      </c>
      <c r="U127" s="93">
        <f t="shared" si="38"/>
        <v>1</v>
      </c>
      <c r="V127" s="24">
        <v>1</v>
      </c>
      <c r="IY127" s="6"/>
    </row>
    <row r="128" spans="1:259" ht="13.5" customHeight="1">
      <c r="A128" s="19"/>
      <c r="B128"/>
      <c r="C128" s="51" t="s">
        <v>319</v>
      </c>
      <c r="D128" s="19"/>
      <c r="E128" s="19"/>
      <c r="F128" s="1095"/>
      <c r="G128" s="683">
        <v>210</v>
      </c>
      <c r="H128" s="683">
        <f>190+75</f>
        <v>265</v>
      </c>
      <c r="I128" s="683">
        <f>145+121</f>
        <v>266</v>
      </c>
      <c r="J128" s="683">
        <f>149+251</f>
        <v>400</v>
      </c>
      <c r="K128" s="683">
        <f>232+347</f>
        <v>579</v>
      </c>
      <c r="L128" s="719">
        <f>K128</f>
        <v>579</v>
      </c>
      <c r="M128" s="719">
        <f t="shared" ref="M128:S128" si="58">L128</f>
        <v>579</v>
      </c>
      <c r="N128" s="719">
        <f t="shared" si="58"/>
        <v>579</v>
      </c>
      <c r="O128" s="719">
        <f t="shared" si="58"/>
        <v>579</v>
      </c>
      <c r="P128" s="719">
        <f t="shared" si="58"/>
        <v>579</v>
      </c>
      <c r="Q128" s="719">
        <f t="shared" si="58"/>
        <v>579</v>
      </c>
      <c r="R128" s="719">
        <f t="shared" si="58"/>
        <v>579</v>
      </c>
      <c r="S128" s="719">
        <f t="shared" si="58"/>
        <v>579</v>
      </c>
      <c r="U128" s="93">
        <f t="shared" si="38"/>
        <v>1</v>
      </c>
      <c r="V128" s="24">
        <v>1</v>
      </c>
      <c r="IY128" s="6"/>
    </row>
    <row r="129" spans="1:260" ht="13.5" customHeight="1">
      <c r="A129" s="19"/>
      <c r="B129" s="19"/>
      <c r="C129" s="51" t="s">
        <v>320</v>
      </c>
      <c r="D129" s="19"/>
      <c r="E129" s="19"/>
      <c r="F129" s="1095"/>
      <c r="G129" s="683">
        <v>932</v>
      </c>
      <c r="H129" s="683">
        <v>3323</v>
      </c>
      <c r="I129" s="683">
        <v>2749</v>
      </c>
      <c r="J129" s="683">
        <v>2285</v>
      </c>
      <c r="K129" s="683">
        <v>1439</v>
      </c>
      <c r="L129" s="724">
        <f t="shared" ref="L129:S129" si="59">L110</f>
        <v>2485</v>
      </c>
      <c r="M129" s="724">
        <f t="shared" si="59"/>
        <v>2820.9500000000003</v>
      </c>
      <c r="N129" s="724">
        <f t="shared" si="59"/>
        <v>3173.25</v>
      </c>
      <c r="O129" s="724">
        <f t="shared" si="59"/>
        <v>3490.0474999999997</v>
      </c>
      <c r="P129" s="724">
        <f t="shared" si="59"/>
        <v>3807.6624999999995</v>
      </c>
      <c r="Q129" s="724">
        <f t="shared" si="59"/>
        <v>4123.502375</v>
      </c>
      <c r="R129" s="724">
        <f t="shared" si="59"/>
        <v>4439.3831249999994</v>
      </c>
      <c r="S129" s="724">
        <f t="shared" si="59"/>
        <v>4755.1751187500004</v>
      </c>
      <c r="U129" s="93">
        <f t="shared" si="38"/>
        <v>1</v>
      </c>
      <c r="V129" s="24">
        <v>1</v>
      </c>
      <c r="IY129" s="6"/>
    </row>
    <row r="130" spans="1:260" ht="13.5" customHeight="1">
      <c r="A130" s="19"/>
      <c r="B130" s="19"/>
      <c r="C130" s="48" t="s">
        <v>321</v>
      </c>
      <c r="D130" s="48"/>
      <c r="E130" s="48"/>
      <c r="F130" s="1097"/>
      <c r="G130" s="684">
        <f t="shared" ref="G130:S130" si="60">SUM(G125:G129)</f>
        <v>9373</v>
      </c>
      <c r="H130" s="684">
        <f t="shared" si="60"/>
        <v>11471</v>
      </c>
      <c r="I130" s="684">
        <f t="shared" si="60"/>
        <v>11445</v>
      </c>
      <c r="J130" s="684">
        <f t="shared" si="60"/>
        <v>12934</v>
      </c>
      <c r="K130" s="684">
        <f t="shared" si="60"/>
        <v>12399</v>
      </c>
      <c r="L130" s="725">
        <f t="shared" si="60"/>
        <v>14310.254917616792</v>
      </c>
      <c r="M130" s="725">
        <f t="shared" si="60"/>
        <v>15215.074803611762</v>
      </c>
      <c r="N130" s="725">
        <f t="shared" si="60"/>
        <v>16214.827152068759</v>
      </c>
      <c r="O130" s="725">
        <f t="shared" si="60"/>
        <v>17230.435343796609</v>
      </c>
      <c r="P130" s="725">
        <f t="shared" si="60"/>
        <v>18350.779197304724</v>
      </c>
      <c r="Q130" s="725">
        <f t="shared" si="60"/>
        <v>19520.359459855827</v>
      </c>
      <c r="R130" s="725">
        <f t="shared" si="60"/>
        <v>20744.336650651305</v>
      </c>
      <c r="S130" s="725">
        <f t="shared" si="60"/>
        <v>22026.150692491621</v>
      </c>
      <c r="U130" s="93">
        <f t="shared" si="38"/>
        <v>1</v>
      </c>
      <c r="V130" s="24">
        <v>1</v>
      </c>
      <c r="IY130" s="6"/>
    </row>
    <row r="131" spans="1:260" ht="13.5" customHeight="1">
      <c r="A131" s="19"/>
      <c r="B131" s="19"/>
      <c r="C131" s="19"/>
      <c r="D131" s="19"/>
      <c r="E131" s="19"/>
      <c r="F131" s="1095"/>
      <c r="G131" s="53"/>
      <c r="H131" s="53"/>
      <c r="I131" s="53"/>
      <c r="J131" s="53"/>
      <c r="K131" s="53"/>
      <c r="L131" s="53"/>
      <c r="M131" s="53"/>
      <c r="N131" s="53"/>
      <c r="O131" s="53"/>
      <c r="P131" s="53"/>
      <c r="Q131" s="53"/>
      <c r="R131" s="53"/>
      <c r="S131" s="53"/>
      <c r="U131" s="93">
        <f t="shared" si="38"/>
        <v>0</v>
      </c>
      <c r="V131" s="24">
        <v>0</v>
      </c>
      <c r="IY131" s="6"/>
    </row>
    <row r="132" spans="1:260" ht="13.5" customHeight="1">
      <c r="A132" s="19"/>
      <c r="B132" s="19"/>
      <c r="C132" s="657" t="s">
        <v>322</v>
      </c>
      <c r="D132" s="19"/>
      <c r="E132" s="19"/>
      <c r="F132" s="1095"/>
      <c r="G132" s="658"/>
      <c r="H132" s="53"/>
      <c r="I132" s="53"/>
      <c r="J132" s="53"/>
      <c r="K132" s="53"/>
      <c r="L132" s="53"/>
      <c r="M132" s="53"/>
      <c r="N132" s="53"/>
      <c r="O132" s="53"/>
      <c r="P132" s="53"/>
      <c r="Q132" s="53"/>
      <c r="R132" s="53"/>
      <c r="S132" s="53"/>
      <c r="U132" s="93">
        <f t="shared" si="38"/>
        <v>1</v>
      </c>
      <c r="V132" s="24">
        <v>1</v>
      </c>
      <c r="IY132" s="6"/>
    </row>
    <row r="133" spans="1:260" ht="13.5" customHeight="1">
      <c r="A133" s="19"/>
      <c r="B133" s="19"/>
      <c r="C133" s="19" t="s">
        <v>323</v>
      </c>
      <c r="D133" s="19"/>
      <c r="E133" s="19"/>
      <c r="F133" s="1095"/>
      <c r="G133" s="53">
        <v>12557</v>
      </c>
      <c r="H133" s="53">
        <v>11300</v>
      </c>
      <c r="I133" s="53">
        <v>10764</v>
      </c>
      <c r="J133" s="53">
        <v>11902</v>
      </c>
      <c r="K133" s="53">
        <v>11512</v>
      </c>
      <c r="L133" s="716">
        <f>'DCF - Assumptions'!L162</f>
        <v>10711.426938292532</v>
      </c>
      <c r="M133" s="716">
        <f>'DCF - Assumptions'!M162</f>
        <v>10602.814380954429</v>
      </c>
      <c r="N133" s="716">
        <f>'DCF - Assumptions'!N162</f>
        <v>10322.459533754174</v>
      </c>
      <c r="O133" s="716">
        <f>'DCF - Assumptions'!O162</f>
        <v>9992.8233263715192</v>
      </c>
      <c r="P133" s="716">
        <f>'DCF - Assumptions'!P162</f>
        <v>9541.9777818351376</v>
      </c>
      <c r="Q133" s="716">
        <f>'DCF - Assumptions'!Q162</f>
        <v>9209.9852914090316</v>
      </c>
      <c r="R133" s="716">
        <f>'DCF - Assumptions'!R162</f>
        <v>8804.8664276916061</v>
      </c>
      <c r="S133" s="716">
        <f>'DCF - Assumptions'!S162</f>
        <v>8361.0148511592488</v>
      </c>
      <c r="U133" s="93">
        <f t="shared" si="38"/>
        <v>1</v>
      </c>
      <c r="V133" s="24">
        <v>1</v>
      </c>
      <c r="IY133" s="6"/>
    </row>
    <row r="134" spans="1:260" ht="13.5" customHeight="1">
      <c r="A134" s="19"/>
      <c r="B134" s="19"/>
      <c r="C134" s="19" t="s">
        <v>324</v>
      </c>
      <c r="D134" s="19"/>
      <c r="E134" s="19"/>
      <c r="F134" s="1095"/>
      <c r="G134" s="53">
        <v>4455</v>
      </c>
      <c r="H134" s="53">
        <v>4926</v>
      </c>
      <c r="I134" s="53">
        <v>4849</v>
      </c>
      <c r="J134" s="53">
        <v>5848</v>
      </c>
      <c r="K134" s="53">
        <v>6142</v>
      </c>
      <c r="L134" s="716">
        <f>'DCF - Assumptions'!L144+'DCF - Assumptions'!L153</f>
        <v>6462.591140019048</v>
      </c>
      <c r="M134" s="716">
        <f>'DCF - Assumptions'!M144+'DCF - Assumptions'!M153</f>
        <v>6791.8093561842925</v>
      </c>
      <c r="N134" s="716">
        <f>'DCF - Assumptions'!N144+'DCF - Assumptions'!N153</f>
        <v>7131.0081763310291</v>
      </c>
      <c r="O134" s="716">
        <f>'DCF - Assumptions'!O144+'DCF - Assumptions'!O153</f>
        <v>7493.2769339722317</v>
      </c>
      <c r="P134" s="716">
        <f>'DCF - Assumptions'!P144+'DCF - Assumptions'!P153</f>
        <v>7883.542700479692</v>
      </c>
      <c r="Q134" s="716">
        <f>'DCF - Assumptions'!Q144+'DCF - Assumptions'!Q153</f>
        <v>8295.8494574057459</v>
      </c>
      <c r="R134" s="716">
        <f>'DCF - Assumptions'!R144+'DCF - Assumptions'!R153</f>
        <v>8733.518513695577</v>
      </c>
      <c r="S134" s="716">
        <f>'DCF - Assumptions'!S144+'DCF - Assumptions'!S153</f>
        <v>9200.9230376052437</v>
      </c>
      <c r="U134" s="93">
        <f t="shared" si="38"/>
        <v>1</v>
      </c>
      <c r="V134" s="24">
        <v>1</v>
      </c>
      <c r="IY134" s="6"/>
    </row>
    <row r="135" spans="1:260" ht="13.5" customHeight="1">
      <c r="A135" s="19"/>
      <c r="B135" s="19"/>
      <c r="C135" s="19" t="s">
        <v>325</v>
      </c>
      <c r="D135" s="19"/>
      <c r="E135" s="19"/>
      <c r="F135" s="1095"/>
      <c r="G135" s="53">
        <v>34</v>
      </c>
      <c r="H135" s="53">
        <v>51</v>
      </c>
      <c r="I135" s="53">
        <v>66</v>
      </c>
      <c r="J135" s="53">
        <v>94</v>
      </c>
      <c r="K135" s="53">
        <v>156</v>
      </c>
      <c r="L135" s="716">
        <f>K135</f>
        <v>156</v>
      </c>
      <c r="M135" s="716">
        <f t="shared" ref="M135:S135" si="61">L135</f>
        <v>156</v>
      </c>
      <c r="N135" s="716">
        <f t="shared" si="61"/>
        <v>156</v>
      </c>
      <c r="O135" s="716">
        <f t="shared" si="61"/>
        <v>156</v>
      </c>
      <c r="P135" s="716">
        <f t="shared" si="61"/>
        <v>156</v>
      </c>
      <c r="Q135" s="716">
        <f t="shared" si="61"/>
        <v>156</v>
      </c>
      <c r="R135" s="716">
        <f t="shared" si="61"/>
        <v>156</v>
      </c>
      <c r="S135" s="716">
        <f t="shared" si="61"/>
        <v>156</v>
      </c>
      <c r="U135" s="93">
        <f t="shared" si="38"/>
        <v>1</v>
      </c>
      <c r="V135" s="24">
        <v>1</v>
      </c>
      <c r="IY135" s="6"/>
    </row>
    <row r="136" spans="1:260" ht="13.5" customHeight="1">
      <c r="A136" s="19"/>
      <c r="B136" s="19"/>
      <c r="C136" s="19" t="s">
        <v>326</v>
      </c>
      <c r="D136" s="19"/>
      <c r="E136" s="19"/>
      <c r="F136" s="1095"/>
      <c r="G136" s="53">
        <v>3173</v>
      </c>
      <c r="H136" s="53">
        <v>3557</v>
      </c>
      <c r="I136" s="53">
        <v>3308</v>
      </c>
      <c r="J136" s="53">
        <v>3652</v>
      </c>
      <c r="K136" s="53">
        <v>3829</v>
      </c>
      <c r="L136" s="716">
        <f>'Associates &amp; Joint Ventures'!H35</f>
        <v>3980</v>
      </c>
      <c r="M136" s="716">
        <f>'Associates &amp; Joint Ventures'!I35</f>
        <v>4131</v>
      </c>
      <c r="N136" s="716">
        <f>'Associates &amp; Joint Ventures'!J35</f>
        <v>4282</v>
      </c>
      <c r="O136" s="716">
        <f>'Associates &amp; Joint Ventures'!K35</f>
        <v>4433</v>
      </c>
      <c r="P136" s="716">
        <f>'Associates &amp; Joint Ventures'!L35</f>
        <v>4584</v>
      </c>
      <c r="Q136" s="716">
        <f>'Associates &amp; Joint Ventures'!M35</f>
        <v>4735</v>
      </c>
      <c r="R136" s="716">
        <f>'Associates &amp; Joint Ventures'!N35</f>
        <v>4886</v>
      </c>
      <c r="S136" s="716">
        <f>'Associates &amp; Joint Ventures'!O35</f>
        <v>5037</v>
      </c>
      <c r="U136" s="93">
        <f t="shared" si="38"/>
        <v>1</v>
      </c>
      <c r="V136" s="24">
        <v>1</v>
      </c>
      <c r="IY136" s="6"/>
    </row>
    <row r="137" spans="1:260" ht="13.5" customHeight="1">
      <c r="A137" s="19"/>
      <c r="B137" s="19"/>
      <c r="C137" s="19" t="s">
        <v>327</v>
      </c>
      <c r="D137" s="1013"/>
      <c r="E137" s="19"/>
      <c r="F137" s="1095"/>
      <c r="G137" s="53">
        <v>49</v>
      </c>
      <c r="H137" s="53">
        <v>41</v>
      </c>
      <c r="I137" s="53">
        <v>40</v>
      </c>
      <c r="J137" s="53">
        <v>37</v>
      </c>
      <c r="K137" s="53">
        <v>57</v>
      </c>
      <c r="L137" s="716">
        <f>K137</f>
        <v>57</v>
      </c>
      <c r="M137" s="716">
        <f t="shared" ref="M137:S137" si="62">L137</f>
        <v>57</v>
      </c>
      <c r="N137" s="716">
        <f t="shared" si="62"/>
        <v>57</v>
      </c>
      <c r="O137" s="716">
        <f t="shared" si="62"/>
        <v>57</v>
      </c>
      <c r="P137" s="716">
        <f t="shared" si="62"/>
        <v>57</v>
      </c>
      <c r="Q137" s="716">
        <f t="shared" si="62"/>
        <v>57</v>
      </c>
      <c r="R137" s="716">
        <f t="shared" si="62"/>
        <v>57</v>
      </c>
      <c r="S137" s="716">
        <f t="shared" si="62"/>
        <v>57</v>
      </c>
      <c r="U137" s="93">
        <f t="shared" ref="U137:U200" si="63">IF(NOT(ISBLANK(C137)), 1, 0)</f>
        <v>1</v>
      </c>
      <c r="V137" s="24">
        <v>1</v>
      </c>
      <c r="IY137" s="6"/>
    </row>
    <row r="138" spans="1:260" ht="13.5" customHeight="1">
      <c r="A138" s="19"/>
      <c r="B138" s="19"/>
      <c r="C138" s="19" t="s">
        <v>328</v>
      </c>
      <c r="D138" s="19"/>
      <c r="E138" s="19"/>
      <c r="F138" s="1095"/>
      <c r="G138" s="53">
        <v>138</v>
      </c>
      <c r="H138" s="53">
        <v>46</v>
      </c>
      <c r="I138" s="53">
        <v>36</v>
      </c>
      <c r="J138" s="53">
        <v>37</v>
      </c>
      <c r="K138" s="53">
        <v>31</v>
      </c>
      <c r="L138" s="716">
        <f>K138</f>
        <v>31</v>
      </c>
      <c r="M138" s="716">
        <f t="shared" ref="M138:S138" si="64">L138</f>
        <v>31</v>
      </c>
      <c r="N138" s="716">
        <f t="shared" si="64"/>
        <v>31</v>
      </c>
      <c r="O138" s="716">
        <f t="shared" si="64"/>
        <v>31</v>
      </c>
      <c r="P138" s="716">
        <f t="shared" si="64"/>
        <v>31</v>
      </c>
      <c r="Q138" s="716">
        <f t="shared" si="64"/>
        <v>31</v>
      </c>
      <c r="R138" s="716">
        <f t="shared" si="64"/>
        <v>31</v>
      </c>
      <c r="S138" s="716">
        <f t="shared" si="64"/>
        <v>31</v>
      </c>
      <c r="U138" s="93">
        <f t="shared" si="63"/>
        <v>1</v>
      </c>
      <c r="V138" s="24">
        <v>1</v>
      </c>
      <c r="IY138" s="6"/>
    </row>
    <row r="139" spans="1:260" ht="13.5" customHeight="1">
      <c r="A139" s="19"/>
      <c r="B139" s="19"/>
      <c r="C139" s="19" t="s">
        <v>319</v>
      </c>
      <c r="D139" s="19"/>
      <c r="E139" s="19"/>
      <c r="F139" s="1095"/>
      <c r="G139" s="53">
        <v>1060</v>
      </c>
      <c r="H139" s="53">
        <v>686</v>
      </c>
      <c r="I139" s="53">
        <v>327</v>
      </c>
      <c r="J139" s="53">
        <v>345</v>
      </c>
      <c r="K139" s="53">
        <v>394</v>
      </c>
      <c r="L139" s="716">
        <f>K139</f>
        <v>394</v>
      </c>
      <c r="M139" s="716">
        <f t="shared" ref="M139:S139" si="65">L139</f>
        <v>394</v>
      </c>
      <c r="N139" s="716">
        <f t="shared" si="65"/>
        <v>394</v>
      </c>
      <c r="O139" s="716">
        <f t="shared" si="65"/>
        <v>394</v>
      </c>
      <c r="P139" s="716">
        <f t="shared" si="65"/>
        <v>394</v>
      </c>
      <c r="Q139" s="716">
        <f t="shared" si="65"/>
        <v>394</v>
      </c>
      <c r="R139" s="716">
        <f t="shared" si="65"/>
        <v>394</v>
      </c>
      <c r="S139" s="716">
        <f t="shared" si="65"/>
        <v>394</v>
      </c>
      <c r="U139" s="93">
        <f t="shared" si="63"/>
        <v>1</v>
      </c>
      <c r="V139" s="24">
        <v>1</v>
      </c>
      <c r="IY139" s="6"/>
    </row>
    <row r="140" spans="1:260" ht="13.5" customHeight="1">
      <c r="A140" s="19"/>
      <c r="B140" s="19"/>
      <c r="C140" s="19" t="s">
        <v>329</v>
      </c>
      <c r="D140" s="19"/>
      <c r="E140" s="19"/>
      <c r="F140" s="1095"/>
      <c r="G140" s="53">
        <v>404</v>
      </c>
      <c r="H140" s="53">
        <v>119</v>
      </c>
      <c r="I140" s="53">
        <v>100</v>
      </c>
      <c r="J140" s="53">
        <v>114</v>
      </c>
      <c r="K140" s="53">
        <v>141</v>
      </c>
      <c r="L140" s="716">
        <f>K140</f>
        <v>141</v>
      </c>
      <c r="M140" s="716">
        <f t="shared" ref="M140:S140" si="66">L140</f>
        <v>141</v>
      </c>
      <c r="N140" s="716">
        <f t="shared" si="66"/>
        <v>141</v>
      </c>
      <c r="O140" s="716">
        <f t="shared" si="66"/>
        <v>141</v>
      </c>
      <c r="P140" s="716">
        <f t="shared" si="66"/>
        <v>141</v>
      </c>
      <c r="Q140" s="716">
        <f t="shared" si="66"/>
        <v>141</v>
      </c>
      <c r="R140" s="716">
        <f t="shared" si="66"/>
        <v>141</v>
      </c>
      <c r="S140" s="716">
        <f t="shared" si="66"/>
        <v>141</v>
      </c>
      <c r="U140" s="93">
        <f t="shared" si="63"/>
        <v>1</v>
      </c>
      <c r="V140" s="24">
        <v>1</v>
      </c>
      <c r="IY140" s="6"/>
    </row>
    <row r="141" spans="1:260" ht="13.5" customHeight="1">
      <c r="A141" s="19"/>
      <c r="B141" s="19"/>
      <c r="C141" s="19" t="s">
        <v>330</v>
      </c>
      <c r="D141" s="19"/>
      <c r="E141" s="19"/>
      <c r="F141" s="1095"/>
      <c r="G141" s="53">
        <v>53</v>
      </c>
      <c r="H141" s="53">
        <v>1111</v>
      </c>
      <c r="I141" s="53">
        <v>1018</v>
      </c>
      <c r="J141" s="53">
        <v>1553</v>
      </c>
      <c r="K141" s="53">
        <v>960</v>
      </c>
      <c r="L141" s="716">
        <f>K141</f>
        <v>960</v>
      </c>
      <c r="M141" s="716">
        <f t="shared" ref="M141:S141" si="67">L141</f>
        <v>960</v>
      </c>
      <c r="N141" s="716">
        <f t="shared" si="67"/>
        <v>960</v>
      </c>
      <c r="O141" s="716">
        <f t="shared" si="67"/>
        <v>960</v>
      </c>
      <c r="P141" s="716">
        <f t="shared" si="67"/>
        <v>960</v>
      </c>
      <c r="Q141" s="716">
        <f t="shared" si="67"/>
        <v>960</v>
      </c>
      <c r="R141" s="716">
        <f t="shared" si="67"/>
        <v>960</v>
      </c>
      <c r="S141" s="716">
        <f t="shared" si="67"/>
        <v>960</v>
      </c>
      <c r="U141" s="93">
        <f t="shared" si="63"/>
        <v>1</v>
      </c>
      <c r="V141" s="24">
        <v>1</v>
      </c>
      <c r="IY141" s="6"/>
    </row>
    <row r="142" spans="1:260" ht="13.5" customHeight="1">
      <c r="A142" s="19"/>
      <c r="B142" s="19"/>
      <c r="C142" s="659" t="s">
        <v>331</v>
      </c>
      <c r="D142" s="48"/>
      <c r="E142" s="48"/>
      <c r="F142" s="1097"/>
      <c r="G142" s="1008">
        <f t="shared" ref="G142:J142" si="68">SUM(G130,G133:G141)</f>
        <v>31296</v>
      </c>
      <c r="H142" s="1008">
        <f t="shared" si="68"/>
        <v>33308</v>
      </c>
      <c r="I142" s="1008">
        <f t="shared" si="68"/>
        <v>31953</v>
      </c>
      <c r="J142" s="1008">
        <f t="shared" si="68"/>
        <v>36516</v>
      </c>
      <c r="K142" s="1008">
        <f>SUM(K130,K133:K141)</f>
        <v>35621</v>
      </c>
      <c r="L142" s="1009">
        <f t="shared" ref="L142:S142" si="69">SUM(L130,L133:L141)</f>
        <v>37203.272995928375</v>
      </c>
      <c r="M142" s="1009">
        <f t="shared" si="69"/>
        <v>38479.698540750484</v>
      </c>
      <c r="N142" s="1009">
        <f t="shared" si="69"/>
        <v>39689.294862153962</v>
      </c>
      <c r="O142" s="1009">
        <f t="shared" si="69"/>
        <v>40888.535604140357</v>
      </c>
      <c r="P142" s="1009">
        <f t="shared" si="69"/>
        <v>42099.299679619558</v>
      </c>
      <c r="Q142" s="1009">
        <f t="shared" si="69"/>
        <v>43500.194208670604</v>
      </c>
      <c r="R142" s="1009">
        <f t="shared" si="69"/>
        <v>44907.721592038492</v>
      </c>
      <c r="S142" s="1009">
        <f t="shared" si="69"/>
        <v>46364.088581256117</v>
      </c>
      <c r="U142" s="93">
        <f t="shared" si="63"/>
        <v>1</v>
      </c>
      <c r="V142" s="24">
        <v>1</v>
      </c>
      <c r="IY142" s="6"/>
      <c r="IZ142" s="6"/>
    </row>
    <row r="143" spans="1:260" ht="13.5" customHeight="1">
      <c r="A143" s="19"/>
      <c r="B143" s="19"/>
      <c r="C143" s="19"/>
      <c r="D143" s="19"/>
      <c r="E143" s="19"/>
      <c r="F143" s="1095"/>
      <c r="G143" s="1030"/>
      <c r="H143" s="53"/>
      <c r="I143" s="53"/>
      <c r="J143" s="53"/>
      <c r="K143" s="53"/>
      <c r="L143" s="53"/>
      <c r="M143" s="53"/>
      <c r="N143" s="53"/>
      <c r="O143" s="53"/>
      <c r="P143" s="53"/>
      <c r="Q143" s="53"/>
      <c r="R143" s="53"/>
      <c r="S143" s="53"/>
      <c r="U143" s="93">
        <f t="shared" si="63"/>
        <v>0</v>
      </c>
      <c r="V143" s="24">
        <v>0</v>
      </c>
      <c r="IY143" s="6"/>
    </row>
    <row r="144" spans="1:260" ht="13.5" customHeight="1">
      <c r="A144" s="19"/>
      <c r="B144" s="19"/>
      <c r="C144" s="52" t="s">
        <v>332</v>
      </c>
      <c r="D144" s="19"/>
      <c r="E144" s="19"/>
      <c r="F144" s="1095"/>
      <c r="G144" s="1030"/>
      <c r="H144" s="46"/>
      <c r="I144" s="46"/>
      <c r="J144" s="46"/>
      <c r="K144" s="46"/>
      <c r="L144" s="1030"/>
      <c r="M144" s="46"/>
      <c r="N144" s="46"/>
      <c r="O144" s="46"/>
      <c r="P144" s="46"/>
      <c r="Q144" s="46"/>
      <c r="R144" s="46"/>
      <c r="S144" s="46"/>
      <c r="U144" s="93">
        <f t="shared" si="63"/>
        <v>1</v>
      </c>
      <c r="V144" s="24">
        <v>1</v>
      </c>
      <c r="IY144" s="6"/>
    </row>
    <row r="145" spans="1:259" ht="13.5" customHeight="1">
      <c r="A145" s="19"/>
      <c r="B145" s="19"/>
      <c r="C145" s="51" t="s">
        <v>333</v>
      </c>
      <c r="D145"/>
      <c r="E145" s="19"/>
      <c r="F145" s="1095"/>
      <c r="G145" s="683">
        <v>1959</v>
      </c>
      <c r="H145" s="683">
        <v>1995</v>
      </c>
      <c r="I145" s="683">
        <v>1862</v>
      </c>
      <c r="J145" s="683">
        <v>1522</v>
      </c>
      <c r="K145" s="683">
        <v>1701</v>
      </c>
      <c r="L145" s="719">
        <f>'DCF - Capital Structure'!L18</f>
        <v>1736.95</v>
      </c>
      <c r="M145" s="719">
        <f>'DCF - Capital Structure'!M18</f>
        <v>1789.25</v>
      </c>
      <c r="N145" s="719">
        <f>'DCF - Capital Structure'!N18</f>
        <v>1806.0475000000001</v>
      </c>
      <c r="O145" s="719">
        <f>'DCF - Capital Structure'!O18</f>
        <v>1823.6624999999999</v>
      </c>
      <c r="P145" s="719">
        <f>'DCF - Capital Structure'!P18</f>
        <v>1839.502375</v>
      </c>
      <c r="Q145" s="719">
        <f>'DCF - Capital Structure'!Q18</f>
        <v>1855.3831250000001</v>
      </c>
      <c r="R145" s="719">
        <f>'DCF - Capital Structure'!R18</f>
        <v>1871.1751187499999</v>
      </c>
      <c r="S145" s="719">
        <f>'DCF - Capital Structure'!S18</f>
        <v>1886.96915625</v>
      </c>
      <c r="U145" s="93">
        <f t="shared" si="63"/>
        <v>1</v>
      </c>
      <c r="V145" s="24">
        <v>1</v>
      </c>
      <c r="IY145" s="6"/>
    </row>
    <row r="146" spans="1:259" ht="13.5" customHeight="1">
      <c r="A146" s="19"/>
      <c r="B146" s="19"/>
      <c r="C146" s="51" t="s">
        <v>334</v>
      </c>
      <c r="D146" s="19"/>
      <c r="E146" s="19"/>
      <c r="F146" s="1095"/>
      <c r="G146" s="683">
        <v>333</v>
      </c>
      <c r="H146" s="683">
        <v>389</v>
      </c>
      <c r="I146" s="683">
        <v>257</v>
      </c>
      <c r="J146" s="683">
        <v>444</v>
      </c>
      <c r="K146" s="683">
        <v>359</v>
      </c>
      <c r="L146" s="719">
        <f>K146</f>
        <v>359</v>
      </c>
      <c r="M146" s="719">
        <f t="shared" ref="M146:S146" si="70">L146</f>
        <v>359</v>
      </c>
      <c r="N146" s="719">
        <f t="shared" si="70"/>
        <v>359</v>
      </c>
      <c r="O146" s="719">
        <f t="shared" si="70"/>
        <v>359</v>
      </c>
      <c r="P146" s="719">
        <f t="shared" si="70"/>
        <v>359</v>
      </c>
      <c r="Q146" s="719">
        <f t="shared" si="70"/>
        <v>359</v>
      </c>
      <c r="R146" s="719">
        <f t="shared" si="70"/>
        <v>359</v>
      </c>
      <c r="S146" s="719">
        <f t="shared" si="70"/>
        <v>359</v>
      </c>
      <c r="U146" s="93">
        <f t="shared" si="63"/>
        <v>1</v>
      </c>
      <c r="V146" s="24">
        <v>1</v>
      </c>
      <c r="IY146" s="6"/>
    </row>
    <row r="147" spans="1:259" ht="13.5" customHeight="1">
      <c r="A147" s="19"/>
      <c r="B147" s="19"/>
      <c r="C147" s="51" t="s">
        <v>335</v>
      </c>
      <c r="D147" s="19"/>
      <c r="E147" s="19"/>
      <c r="F147" s="1095"/>
      <c r="G147" s="683">
        <v>0</v>
      </c>
      <c r="H147" s="683">
        <v>0</v>
      </c>
      <c r="I147" s="683">
        <v>91</v>
      </c>
      <c r="J147" s="683">
        <v>117</v>
      </c>
      <c r="K147" s="683">
        <v>0</v>
      </c>
      <c r="L147" s="719">
        <v>0</v>
      </c>
      <c r="M147" s="719">
        <v>0</v>
      </c>
      <c r="N147" s="719">
        <v>0</v>
      </c>
      <c r="O147" s="719">
        <v>0</v>
      </c>
      <c r="P147" s="719">
        <v>0</v>
      </c>
      <c r="Q147" s="719">
        <v>0</v>
      </c>
      <c r="R147" s="719">
        <v>0</v>
      </c>
      <c r="S147" s="719">
        <v>0</v>
      </c>
      <c r="U147" s="93">
        <f t="shared" si="63"/>
        <v>1</v>
      </c>
      <c r="V147" s="24">
        <v>1</v>
      </c>
      <c r="IY147" s="6"/>
    </row>
    <row r="148" spans="1:259" ht="13.5" customHeight="1">
      <c r="A148" s="19"/>
      <c r="B148" s="19"/>
      <c r="C148" s="51" t="s">
        <v>194</v>
      </c>
      <c r="D148" s="19"/>
      <c r="E148" s="19"/>
      <c r="F148" s="1095"/>
      <c r="G148" s="683">
        <v>4202</v>
      </c>
      <c r="H148" s="683">
        <v>3683</v>
      </c>
      <c r="I148" s="683">
        <v>4648</v>
      </c>
      <c r="J148" s="683">
        <v>5887</v>
      </c>
      <c r="K148" s="683">
        <v>5300</v>
      </c>
      <c r="L148" s="719">
        <f>'DCF - Assumptions'!L131</f>
        <v>6159.2950790776467</v>
      </c>
      <c r="M148" s="719">
        <f>'DCF - Assumptions'!M131</f>
        <v>6491.3710934035371</v>
      </c>
      <c r="N148" s="719">
        <f>'DCF - Assumptions'!N131</f>
        <v>6868.8714311196154</v>
      </c>
      <c r="O148" s="719">
        <f>'DCF - Assumptions'!O131</f>
        <v>7277.1782670671155</v>
      </c>
      <c r="P148" s="719">
        <f>'DCF - Assumptions'!P131</f>
        <v>7745.7418456892665</v>
      </c>
      <c r="Q148" s="719">
        <f>'DCF - Assumptions'!Q131</f>
        <v>8245.7017996476334</v>
      </c>
      <c r="R148" s="719">
        <f>'DCF - Assumptions'!R131</f>
        <v>8779.2287531935508</v>
      </c>
      <c r="S148" s="719">
        <f>'DCF - Assumptions'!S131</f>
        <v>9348.647433069551</v>
      </c>
      <c r="U148" s="93">
        <f t="shared" si="63"/>
        <v>1</v>
      </c>
      <c r="V148" s="24">
        <v>1</v>
      </c>
      <c r="IY148" s="6"/>
    </row>
    <row r="149" spans="1:259" ht="13.5" customHeight="1">
      <c r="A149" s="19"/>
      <c r="B149" s="19"/>
      <c r="C149" s="51" t="s">
        <v>336</v>
      </c>
      <c r="D149" s="19"/>
      <c r="E149" s="19"/>
      <c r="F149" s="1095"/>
      <c r="G149" s="683">
        <v>32</v>
      </c>
      <c r="H149" s="683">
        <v>0</v>
      </c>
      <c r="I149" s="683">
        <v>0</v>
      </c>
      <c r="J149" s="683">
        <v>61</v>
      </c>
      <c r="K149" s="683">
        <v>0</v>
      </c>
      <c r="L149" s="719">
        <v>0</v>
      </c>
      <c r="M149" s="719">
        <v>0</v>
      </c>
      <c r="N149" s="719">
        <v>0</v>
      </c>
      <c r="O149" s="719">
        <v>0</v>
      </c>
      <c r="P149" s="719">
        <v>0</v>
      </c>
      <c r="Q149" s="719">
        <v>0</v>
      </c>
      <c r="R149" s="719">
        <v>0</v>
      </c>
      <c r="S149" s="719">
        <v>0</v>
      </c>
      <c r="U149" s="93">
        <f t="shared" si="63"/>
        <v>1</v>
      </c>
      <c r="V149" s="24">
        <v>1</v>
      </c>
      <c r="IY149" s="6"/>
    </row>
    <row r="150" spans="1:259" ht="13.5" customHeight="1">
      <c r="A150" s="19"/>
      <c r="B150" s="19"/>
      <c r="C150" s="51" t="s">
        <v>337</v>
      </c>
      <c r="D150" s="1013"/>
      <c r="E150" s="19"/>
      <c r="F150" s="1095"/>
      <c r="G150" s="683">
        <v>378</v>
      </c>
      <c r="H150" s="683">
        <v>246</v>
      </c>
      <c r="I150" s="683">
        <v>146</v>
      </c>
      <c r="J150" s="683">
        <v>252</v>
      </c>
      <c r="K150" s="683">
        <v>135</v>
      </c>
      <c r="L150" s="719">
        <f>K150</f>
        <v>135</v>
      </c>
      <c r="M150" s="719">
        <f t="shared" ref="M150:S150" si="71">L150</f>
        <v>135</v>
      </c>
      <c r="N150" s="719">
        <f t="shared" si="71"/>
        <v>135</v>
      </c>
      <c r="O150" s="719">
        <f t="shared" si="71"/>
        <v>135</v>
      </c>
      <c r="P150" s="719">
        <f t="shared" si="71"/>
        <v>135</v>
      </c>
      <c r="Q150" s="719">
        <f t="shared" si="71"/>
        <v>135</v>
      </c>
      <c r="R150" s="719">
        <f t="shared" si="71"/>
        <v>135</v>
      </c>
      <c r="S150" s="719">
        <f t="shared" si="71"/>
        <v>135</v>
      </c>
      <c r="U150" s="93">
        <f t="shared" si="63"/>
        <v>1</v>
      </c>
      <c r="V150" s="24">
        <v>1</v>
      </c>
      <c r="IY150" s="6"/>
    </row>
    <row r="151" spans="1:259" ht="13.5" customHeight="1">
      <c r="A151" s="19"/>
      <c r="B151" s="19"/>
      <c r="C151" s="51" t="s">
        <v>195</v>
      </c>
      <c r="D151" s="1013"/>
      <c r="E151" s="19"/>
      <c r="F151" s="1095"/>
      <c r="G151" s="683">
        <v>99</v>
      </c>
      <c r="H151" s="683">
        <v>183</v>
      </c>
      <c r="I151" s="683">
        <v>138</v>
      </c>
      <c r="J151" s="683">
        <v>159</v>
      </c>
      <c r="K151" s="683">
        <v>119</v>
      </c>
      <c r="L151" s="719">
        <f>'DCF - Assumptions'!L132</f>
        <v>186.18250632783671</v>
      </c>
      <c r="M151" s="719">
        <f>'DCF - Assumptions'!M132</f>
        <v>196.22046421827289</v>
      </c>
      <c r="N151" s="719">
        <f>'DCF - Assumptions'!N132</f>
        <v>207.63150364944573</v>
      </c>
      <c r="O151" s="719">
        <f>'DCF - Assumptions'!O132</f>
        <v>219.97375858146279</v>
      </c>
      <c r="P151" s="719">
        <f>'DCF - Assumptions'!P132</f>
        <v>234.13744782216017</v>
      </c>
      <c r="Q151" s="719">
        <f>'DCF - Assumptions'!Q132</f>
        <v>249.2501833051073</v>
      </c>
      <c r="R151" s="719">
        <f>'DCF - Assumptions'!R132</f>
        <v>265.37757842570431</v>
      </c>
      <c r="S151" s="719">
        <f>'DCF - Assumptions'!S132</f>
        <v>282.58990477280923</v>
      </c>
      <c r="U151" s="93">
        <f t="shared" si="63"/>
        <v>1</v>
      </c>
      <c r="V151" s="24">
        <v>1</v>
      </c>
      <c r="IY151" s="6"/>
    </row>
    <row r="152" spans="1:259" ht="13.5" customHeight="1">
      <c r="A152" s="19"/>
      <c r="B152" s="19"/>
      <c r="C152" s="48" t="s">
        <v>338</v>
      </c>
      <c r="D152" s="48"/>
      <c r="E152" s="48"/>
      <c r="F152" s="1097"/>
      <c r="G152" s="684">
        <f t="shared" ref="G152:J152" si="72">SUM(G145:G151)</f>
        <v>7003</v>
      </c>
      <c r="H152" s="684">
        <f t="shared" si="72"/>
        <v>6496</v>
      </c>
      <c r="I152" s="684">
        <f t="shared" si="72"/>
        <v>7142</v>
      </c>
      <c r="J152" s="684">
        <f t="shared" si="72"/>
        <v>8442</v>
      </c>
      <c r="K152" s="684">
        <f>SUM(K145:K151)</f>
        <v>7614</v>
      </c>
      <c r="L152" s="725">
        <f t="shared" ref="L152:S152" si="73">SUM(L145:L151)</f>
        <v>8576.4275854054831</v>
      </c>
      <c r="M152" s="725">
        <f t="shared" si="73"/>
        <v>8970.8415576218104</v>
      </c>
      <c r="N152" s="725">
        <f t="shared" si="73"/>
        <v>9376.5504347690603</v>
      </c>
      <c r="O152" s="725">
        <f t="shared" si="73"/>
        <v>9814.8145256485768</v>
      </c>
      <c r="P152" s="725">
        <f t="shared" si="73"/>
        <v>10313.381668511427</v>
      </c>
      <c r="Q152" s="725">
        <f t="shared" si="73"/>
        <v>10844.33510795274</v>
      </c>
      <c r="R152" s="725">
        <f t="shared" si="73"/>
        <v>11409.781450369255</v>
      </c>
      <c r="S152" s="725">
        <f t="shared" si="73"/>
        <v>12012.206494092359</v>
      </c>
      <c r="U152" s="93">
        <f t="shared" si="63"/>
        <v>1</v>
      </c>
      <c r="V152" s="24">
        <v>1</v>
      </c>
      <c r="IY152" s="6"/>
    </row>
    <row r="153" spans="1:259" s="2" customFormat="1" ht="13.5" customHeight="1">
      <c r="A153" s="19"/>
      <c r="B153" s="19"/>
      <c r="F153" s="1100"/>
      <c r="G153" s="50"/>
      <c r="H153" s="50"/>
      <c r="I153" s="50"/>
      <c r="J153" s="50"/>
      <c r="K153" s="50"/>
      <c r="L153" s="50"/>
      <c r="M153" s="50"/>
      <c r="N153" s="50"/>
      <c r="O153" s="50"/>
      <c r="P153" s="50"/>
      <c r="Q153" s="50"/>
      <c r="R153" s="50"/>
      <c r="S153" s="50"/>
      <c r="T153" s="3"/>
      <c r="U153" s="93">
        <f t="shared" si="63"/>
        <v>0</v>
      </c>
      <c r="V153" s="24">
        <v>0</v>
      </c>
      <c r="IY153" s="6"/>
    </row>
    <row r="154" spans="1:259" ht="13.5" customHeight="1">
      <c r="A154" s="19"/>
      <c r="B154" s="19"/>
      <c r="C154" s="19" t="s">
        <v>339</v>
      </c>
      <c r="D154"/>
      <c r="E154" s="19"/>
      <c r="F154" s="1095"/>
      <c r="G154" s="49">
        <v>10596</v>
      </c>
      <c r="H154" s="49">
        <v>14790</v>
      </c>
      <c r="I154" s="49">
        <v>12865</v>
      </c>
      <c r="J154" s="49">
        <v>14498</v>
      </c>
      <c r="K154" s="49">
        <v>14801</v>
      </c>
      <c r="L154" s="719">
        <f>'DCF - Capital Structure'!L25</f>
        <v>18931.78701063713</v>
      </c>
      <c r="M154" s="719">
        <f>'DCF - Capital Structure'!M25</f>
        <v>18697.025686690835</v>
      </c>
      <c r="N154" s="719">
        <f>'DCF - Capital Structure'!N25</f>
        <v>21090.636527628765</v>
      </c>
      <c r="O154" s="719">
        <f>'DCF - Capital Structure'!O25</f>
        <v>21884.49645678154</v>
      </c>
      <c r="P154" s="719">
        <f>'DCF - Capital Structure'!P25</f>
        <v>23827.299419053008</v>
      </c>
      <c r="Q154" s="719">
        <f>'DCF - Capital Structure'!Q25</f>
        <v>25161.721303953807</v>
      </c>
      <c r="R154" s="719">
        <f>'DCF - Capital Structure'!R25</f>
        <v>27184.350825241938</v>
      </c>
      <c r="S154" s="719">
        <f>'DCF - Capital Structure'!S25</f>
        <v>29168.460414331159</v>
      </c>
      <c r="U154" s="93">
        <f t="shared" si="63"/>
        <v>1</v>
      </c>
      <c r="V154" s="24">
        <v>1</v>
      </c>
      <c r="IY154" s="6"/>
    </row>
    <row r="155" spans="1:259" ht="13.5" customHeight="1">
      <c r="A155" s="19"/>
      <c r="B155" s="19"/>
      <c r="C155" s="51" t="s">
        <v>340</v>
      </c>
      <c r="D155" s="19"/>
      <c r="E155" s="19"/>
      <c r="F155" s="1095"/>
      <c r="G155" s="49">
        <v>222</v>
      </c>
      <c r="H155" s="49">
        <v>393</v>
      </c>
      <c r="I155" s="49">
        <v>384</v>
      </c>
      <c r="J155" s="49">
        <v>380</v>
      </c>
      <c r="K155" s="49">
        <v>747</v>
      </c>
      <c r="L155" s="724">
        <f>'DCF - Capital Structure'!L61</f>
        <v>755.47790990770295</v>
      </c>
      <c r="M155" s="724">
        <f>'DCF - Capital Structure'!M61</f>
        <v>778.73187104537294</v>
      </c>
      <c r="N155" s="724">
        <f>'DCF - Capital Structure'!N61</f>
        <v>802.69080100226392</v>
      </c>
      <c r="O155" s="724">
        <f>'DCF - Capital Structure'!O61</f>
        <v>828.27925023726038</v>
      </c>
      <c r="P155" s="724">
        <f>'DCF - Capital Structure'!P61</f>
        <v>855.8452369357982</v>
      </c>
      <c r="Q155" s="724">
        <f>'DCF - Capital Structure'!Q61</f>
        <v>884.96806438452234</v>
      </c>
      <c r="R155" s="724">
        <f>'DCF - Capital Structure'!R61</f>
        <v>915.88232953264526</v>
      </c>
      <c r="S155" s="724">
        <f>'DCF - Capital Structure'!S61</f>
        <v>948.89692623743701</v>
      </c>
      <c r="U155" s="93">
        <f t="shared" si="63"/>
        <v>1</v>
      </c>
      <c r="V155" s="24">
        <v>1</v>
      </c>
      <c r="IY155" s="6"/>
    </row>
    <row r="156" spans="1:259" ht="13.5" customHeight="1">
      <c r="A156" s="19"/>
      <c r="B156" s="19"/>
      <c r="C156" s="51" t="s">
        <v>341</v>
      </c>
      <c r="D156" s="19"/>
      <c r="E156" s="19"/>
      <c r="F156" s="1095"/>
      <c r="G156" s="49">
        <v>2032</v>
      </c>
      <c r="H156" s="49">
        <v>175</v>
      </c>
      <c r="I156" s="49">
        <v>338</v>
      </c>
      <c r="J156" s="683">
        <v>2319</v>
      </c>
      <c r="K156" s="49">
        <v>368</v>
      </c>
      <c r="L156" s="724">
        <f>K156</f>
        <v>368</v>
      </c>
      <c r="M156" s="724">
        <f t="shared" ref="M156:S156" si="74">L156</f>
        <v>368</v>
      </c>
      <c r="N156" s="724">
        <f t="shared" si="74"/>
        <v>368</v>
      </c>
      <c r="O156" s="724">
        <f t="shared" si="74"/>
        <v>368</v>
      </c>
      <c r="P156" s="724">
        <f t="shared" si="74"/>
        <v>368</v>
      </c>
      <c r="Q156" s="724">
        <f t="shared" si="74"/>
        <v>368</v>
      </c>
      <c r="R156" s="724">
        <f t="shared" si="74"/>
        <v>368</v>
      </c>
      <c r="S156" s="724">
        <f t="shared" si="74"/>
        <v>368</v>
      </c>
      <c r="U156" s="93">
        <f t="shared" si="63"/>
        <v>1</v>
      </c>
      <c r="V156" s="24">
        <v>1</v>
      </c>
      <c r="IY156" s="6"/>
    </row>
    <row r="157" spans="1:259" ht="13.5" customHeight="1">
      <c r="A157" s="19"/>
      <c r="B157" s="19"/>
      <c r="C157" s="51" t="s">
        <v>342</v>
      </c>
      <c r="D157" s="19"/>
      <c r="E157" s="19"/>
      <c r="F157" s="1095"/>
      <c r="G157" s="683">
        <v>846</v>
      </c>
      <c r="H157" s="683">
        <v>293</v>
      </c>
      <c r="I157" s="49">
        <v>274</v>
      </c>
      <c r="J157" s="683">
        <v>258</v>
      </c>
      <c r="K157" s="683">
        <v>243</v>
      </c>
      <c r="L157" s="719">
        <f>K157</f>
        <v>243</v>
      </c>
      <c r="M157" s="719">
        <f t="shared" ref="M157:S158" si="75">L157</f>
        <v>243</v>
      </c>
      <c r="N157" s="719">
        <f t="shared" si="75"/>
        <v>243</v>
      </c>
      <c r="O157" s="719">
        <f t="shared" si="75"/>
        <v>243</v>
      </c>
      <c r="P157" s="719">
        <f t="shared" si="75"/>
        <v>243</v>
      </c>
      <c r="Q157" s="719">
        <f t="shared" si="75"/>
        <v>243</v>
      </c>
      <c r="R157" s="719">
        <f t="shared" si="75"/>
        <v>243</v>
      </c>
      <c r="S157" s="719">
        <f t="shared" si="75"/>
        <v>243</v>
      </c>
      <c r="U157" s="93">
        <f t="shared" si="63"/>
        <v>1</v>
      </c>
      <c r="V157" s="24">
        <v>1</v>
      </c>
      <c r="IY157" s="6"/>
    </row>
    <row r="158" spans="1:259" ht="13.5" customHeight="1">
      <c r="A158" s="19"/>
      <c r="B158" s="19"/>
      <c r="C158" s="51" t="s">
        <v>343</v>
      </c>
      <c r="D158" s="19"/>
      <c r="E158" s="19"/>
      <c r="F158" s="1095"/>
      <c r="G158" s="683">
        <v>124</v>
      </c>
      <c r="H158" s="683">
        <v>1972</v>
      </c>
      <c r="I158" s="683">
        <v>1945</v>
      </c>
      <c r="J158" s="683">
        <v>703</v>
      </c>
      <c r="K158" s="683">
        <v>2183</v>
      </c>
      <c r="L158" s="719">
        <f>K158</f>
        <v>2183</v>
      </c>
      <c r="M158" s="719">
        <f t="shared" si="75"/>
        <v>2183</v>
      </c>
      <c r="N158" s="719">
        <f t="shared" si="75"/>
        <v>2183</v>
      </c>
      <c r="O158" s="719">
        <f t="shared" si="75"/>
        <v>2183</v>
      </c>
      <c r="P158" s="719">
        <f t="shared" si="75"/>
        <v>2183</v>
      </c>
      <c r="Q158" s="719">
        <f t="shared" si="75"/>
        <v>2183</v>
      </c>
      <c r="R158" s="719">
        <f t="shared" si="75"/>
        <v>2183</v>
      </c>
      <c r="S158" s="719">
        <f t="shared" si="75"/>
        <v>2183</v>
      </c>
      <c r="U158" s="93">
        <f t="shared" si="63"/>
        <v>1</v>
      </c>
      <c r="V158" s="24">
        <v>1</v>
      </c>
      <c r="IY158" s="6"/>
    </row>
    <row r="159" spans="1:259" ht="13.5" customHeight="1">
      <c r="A159" s="19"/>
      <c r="B159" s="19"/>
      <c r="C159" s="19" t="s">
        <v>344</v>
      </c>
      <c r="D159" s="19"/>
      <c r="E159" s="19"/>
      <c r="F159" s="1095"/>
      <c r="G159" s="683">
        <v>317</v>
      </c>
      <c r="H159" s="683">
        <v>749</v>
      </c>
      <c r="I159" s="683">
        <v>574</v>
      </c>
      <c r="J159" s="683">
        <v>402</v>
      </c>
      <c r="K159" s="683">
        <v>373</v>
      </c>
      <c r="L159" s="719">
        <f>K159</f>
        <v>373</v>
      </c>
      <c r="M159" s="719">
        <f t="shared" ref="M159:S159" si="76">L159</f>
        <v>373</v>
      </c>
      <c r="N159" s="719">
        <f t="shared" si="76"/>
        <v>373</v>
      </c>
      <c r="O159" s="719">
        <f t="shared" si="76"/>
        <v>373</v>
      </c>
      <c r="P159" s="719">
        <f t="shared" si="76"/>
        <v>373</v>
      </c>
      <c r="Q159" s="719">
        <f t="shared" si="76"/>
        <v>373</v>
      </c>
      <c r="R159" s="719">
        <f t="shared" si="76"/>
        <v>373</v>
      </c>
      <c r="S159" s="719">
        <f t="shared" si="76"/>
        <v>373</v>
      </c>
      <c r="U159" s="93">
        <f t="shared" si="63"/>
        <v>1</v>
      </c>
      <c r="V159" s="24">
        <v>1</v>
      </c>
      <c r="IY159" s="6"/>
    </row>
    <row r="160" spans="1:259" ht="13.5" customHeight="1">
      <c r="A160" s="19"/>
      <c r="B160" s="19"/>
      <c r="C160" s="659" t="s">
        <v>345</v>
      </c>
      <c r="D160" s="659"/>
      <c r="E160" s="659"/>
      <c r="F160" s="1096"/>
      <c r="G160" s="666">
        <f t="shared" ref="G160:J160" si="77">SUM(G154:G159,G152)</f>
        <v>21140</v>
      </c>
      <c r="H160" s="666">
        <f t="shared" si="77"/>
        <v>24868</v>
      </c>
      <c r="I160" s="666">
        <f t="shared" si="77"/>
        <v>23522</v>
      </c>
      <c r="J160" s="666">
        <f t="shared" si="77"/>
        <v>27002</v>
      </c>
      <c r="K160" s="666">
        <f>SUM(K154:K159,K152)</f>
        <v>26329</v>
      </c>
      <c r="L160" s="718">
        <f t="shared" ref="L160:S160" si="78">SUM(L154:L159,L152)</f>
        <v>31430.692505950316</v>
      </c>
      <c r="M160" s="718">
        <f t="shared" si="78"/>
        <v>31613.599115358018</v>
      </c>
      <c r="N160" s="718">
        <f t="shared" si="78"/>
        <v>34436.877763400087</v>
      </c>
      <c r="O160" s="718">
        <f t="shared" si="78"/>
        <v>35694.590232667382</v>
      </c>
      <c r="P160" s="718">
        <f t="shared" si="78"/>
        <v>38163.526324500235</v>
      </c>
      <c r="Q160" s="718">
        <f t="shared" si="78"/>
        <v>40058.024476291073</v>
      </c>
      <c r="R160" s="718">
        <f t="shared" si="78"/>
        <v>42677.014605143835</v>
      </c>
      <c r="S160" s="718">
        <f t="shared" si="78"/>
        <v>45296.563834660956</v>
      </c>
      <c r="T160" s="6"/>
      <c r="U160" s="93">
        <f t="shared" si="63"/>
        <v>1</v>
      </c>
      <c r="V160" s="24">
        <v>1</v>
      </c>
      <c r="IY160" s="6"/>
    </row>
    <row r="161" spans="1:260" ht="13.5" customHeight="1">
      <c r="A161" s="19"/>
      <c r="B161" s="19"/>
      <c r="C161" s="19"/>
      <c r="D161" s="19"/>
      <c r="E161" s="19"/>
      <c r="F161" s="1095"/>
      <c r="G161" s="46"/>
      <c r="H161" s="46"/>
      <c r="I161" s="46"/>
      <c r="J161" s="46"/>
      <c r="K161" s="46"/>
      <c r="L161" s="46"/>
      <c r="M161" s="46"/>
      <c r="N161" s="46"/>
      <c r="O161" s="46"/>
      <c r="P161" s="46"/>
      <c r="Q161" s="46"/>
      <c r="R161" s="46"/>
      <c r="S161" s="46"/>
      <c r="U161" s="93">
        <f t="shared" si="63"/>
        <v>0</v>
      </c>
      <c r="V161" s="24">
        <v>0</v>
      </c>
      <c r="IY161" s="2"/>
    </row>
    <row r="162" spans="1:260" ht="13.5" customHeight="1">
      <c r="C162" s="19" t="s">
        <v>346</v>
      </c>
      <c r="D162" s="19"/>
      <c r="E162" s="19"/>
      <c r="F162" s="1095"/>
      <c r="G162" s="45">
        <v>753</v>
      </c>
      <c r="H162" s="45">
        <v>742</v>
      </c>
      <c r="I162" s="45">
        <v>741</v>
      </c>
      <c r="J162" s="45">
        <v>723</v>
      </c>
      <c r="K162" s="45">
        <v>712</v>
      </c>
      <c r="L162" s="644">
        <f>'DCF - Capital Structure'!L154</f>
        <v>712</v>
      </c>
      <c r="M162" s="644">
        <f>'DCF - Capital Structure'!M154</f>
        <v>712</v>
      </c>
      <c r="N162" s="644">
        <f>'DCF - Capital Structure'!N154</f>
        <v>712</v>
      </c>
      <c r="O162" s="644">
        <f>'DCF - Capital Structure'!O154</f>
        <v>712</v>
      </c>
      <c r="P162" s="644">
        <f>'DCF - Capital Structure'!P154</f>
        <v>712</v>
      </c>
      <c r="Q162" s="644">
        <f>'DCF - Capital Structure'!Q154</f>
        <v>712</v>
      </c>
      <c r="R162" s="644">
        <f>'DCF - Capital Structure'!R154</f>
        <v>712</v>
      </c>
      <c r="S162" s="644">
        <f>'DCF - Capital Structure'!S154</f>
        <v>712</v>
      </c>
      <c r="U162" s="93">
        <f t="shared" si="63"/>
        <v>1</v>
      </c>
      <c r="V162" s="24">
        <v>1</v>
      </c>
      <c r="IY162" s="6"/>
    </row>
    <row r="163" spans="1:260" ht="13.5" customHeight="1">
      <c r="C163" s="19" t="s">
        <v>347</v>
      </c>
      <c r="D163" s="19"/>
      <c r="E163" s="19"/>
      <c r="F163" s="1095"/>
      <c r="G163" s="45">
        <v>1350</v>
      </c>
      <c r="H163" s="45">
        <v>1351</v>
      </c>
      <c r="I163" s="45">
        <v>1351</v>
      </c>
      <c r="J163" s="45">
        <v>1351</v>
      </c>
      <c r="K163" s="45">
        <v>1351</v>
      </c>
      <c r="L163" s="644">
        <f>K163</f>
        <v>1351</v>
      </c>
      <c r="M163" s="644">
        <f t="shared" ref="M163:S164" si="79">L163</f>
        <v>1351</v>
      </c>
      <c r="N163" s="644">
        <f t="shared" si="79"/>
        <v>1351</v>
      </c>
      <c r="O163" s="644">
        <f t="shared" si="79"/>
        <v>1351</v>
      </c>
      <c r="P163" s="644">
        <f t="shared" si="79"/>
        <v>1351</v>
      </c>
      <c r="Q163" s="644">
        <f t="shared" si="79"/>
        <v>1351</v>
      </c>
      <c r="R163" s="644">
        <f t="shared" si="79"/>
        <v>1351</v>
      </c>
      <c r="S163" s="644">
        <f t="shared" si="79"/>
        <v>1351</v>
      </c>
      <c r="U163" s="93">
        <f t="shared" si="63"/>
        <v>1</v>
      </c>
      <c r="V163" s="24">
        <v>1</v>
      </c>
      <c r="IY163" s="6"/>
    </row>
    <row r="164" spans="1:260" ht="13.5" customHeight="1">
      <c r="C164" s="19" t="s">
        <v>348</v>
      </c>
      <c r="D164" s="19"/>
      <c r="E164" s="19"/>
      <c r="F164" s="1095"/>
      <c r="G164" s="45">
        <v>2372</v>
      </c>
      <c r="H164" s="45">
        <v>2272</v>
      </c>
      <c r="I164" s="45">
        <v>1621</v>
      </c>
      <c r="J164" s="45">
        <v>2174</v>
      </c>
      <c r="K164" s="45">
        <v>1861</v>
      </c>
      <c r="L164" s="644">
        <f>K164</f>
        <v>1861</v>
      </c>
      <c r="M164" s="644">
        <f t="shared" si="79"/>
        <v>1861</v>
      </c>
      <c r="N164" s="644">
        <f t="shared" si="79"/>
        <v>1861</v>
      </c>
      <c r="O164" s="644">
        <f t="shared" si="79"/>
        <v>1861</v>
      </c>
      <c r="P164" s="644">
        <f t="shared" si="79"/>
        <v>1861</v>
      </c>
      <c r="Q164" s="644">
        <f t="shared" si="79"/>
        <v>1861</v>
      </c>
      <c r="R164" s="644">
        <f t="shared" si="79"/>
        <v>1861</v>
      </c>
      <c r="S164" s="644">
        <f t="shared" si="79"/>
        <v>1861</v>
      </c>
      <c r="U164" s="93">
        <f t="shared" si="63"/>
        <v>1</v>
      </c>
      <c r="V164" s="24">
        <v>1</v>
      </c>
      <c r="IY164" s="6"/>
    </row>
    <row r="165" spans="1:260" ht="13.5" customHeight="1">
      <c r="C165" s="19" t="s">
        <v>349</v>
      </c>
      <c r="D165" s="19"/>
      <c r="E165" s="19"/>
      <c r="F165" s="1095"/>
      <c r="G165" s="45">
        <v>3886</v>
      </c>
      <c r="H165" s="45">
        <v>2407</v>
      </c>
      <c r="I165" s="45">
        <v>3184</v>
      </c>
      <c r="J165" s="45">
        <v>3550</v>
      </c>
      <c r="K165" s="45">
        <v>3898</v>
      </c>
      <c r="L165" s="644">
        <f>'DCF - Capital Structure'!L164</f>
        <v>447.36171920193465</v>
      </c>
      <c r="M165" s="644">
        <f>'DCF - Capital Structure'!M164</f>
        <v>1607.4891310115208</v>
      </c>
      <c r="N165" s="644">
        <f>'DCF - Capital Structure'!N164</f>
        <v>57.828706574221542</v>
      </c>
      <c r="O165" s="644">
        <f>'DCF - Capital Structure'!O164</f>
        <v>61.804743151059483</v>
      </c>
      <c r="P165" s="644">
        <f>'DCF - Capital Structure'!P164</f>
        <v>-1136.9036482632791</v>
      </c>
      <c r="Q165" s="644">
        <f>'DCF - Capital Structure'!Q164</f>
        <v>-1573.5398514013023</v>
      </c>
      <c r="R165" s="644">
        <f>'DCF - Capital Structure'!R164</f>
        <v>-2730.8581377761711</v>
      </c>
      <c r="S165" s="644">
        <f>'DCF - Capital Structure'!S164</f>
        <v>-3842.6167843478997</v>
      </c>
      <c r="U165" s="93">
        <f t="shared" si="63"/>
        <v>1</v>
      </c>
      <c r="V165" s="24">
        <v>1</v>
      </c>
      <c r="IY165" s="6"/>
      <c r="IZ165" s="6"/>
    </row>
    <row r="166" spans="1:260" ht="13.5" customHeight="1">
      <c r="C166" s="48" t="s">
        <v>350</v>
      </c>
      <c r="D166" s="48"/>
      <c r="E166" s="48"/>
      <c r="F166" s="1097"/>
      <c r="G166" s="47">
        <f t="shared" ref="G166:J166" si="80">SUM(G162:G165)</f>
        <v>8361</v>
      </c>
      <c r="H166" s="47">
        <f t="shared" si="80"/>
        <v>6772</v>
      </c>
      <c r="I166" s="47">
        <f t="shared" si="80"/>
        <v>6897</v>
      </c>
      <c r="J166" s="47">
        <f t="shared" si="80"/>
        <v>7798</v>
      </c>
      <c r="K166" s="47">
        <f>SUM(K162:K165)</f>
        <v>7822</v>
      </c>
      <c r="L166" s="721">
        <f>SUM(L162:L165)</f>
        <v>4371.3617192019346</v>
      </c>
      <c r="M166" s="721">
        <f t="shared" ref="M166:S166" si="81">SUM(M162:M165)</f>
        <v>5531.4891310115208</v>
      </c>
      <c r="N166" s="721">
        <f t="shared" si="81"/>
        <v>3981.8287065742215</v>
      </c>
      <c r="O166" s="721">
        <f t="shared" si="81"/>
        <v>3985.8047431510595</v>
      </c>
      <c r="P166" s="721">
        <f t="shared" si="81"/>
        <v>2787.0963517367209</v>
      </c>
      <c r="Q166" s="721">
        <f t="shared" si="81"/>
        <v>2350.4601485986977</v>
      </c>
      <c r="R166" s="721">
        <f t="shared" si="81"/>
        <v>1193.1418622238289</v>
      </c>
      <c r="S166" s="721">
        <f t="shared" si="81"/>
        <v>81.383215652100262</v>
      </c>
      <c r="U166" s="93">
        <f t="shared" si="63"/>
        <v>1</v>
      </c>
      <c r="V166" s="24">
        <v>1</v>
      </c>
      <c r="IY166" s="6"/>
    </row>
    <row r="167" spans="1:260" ht="13.5" customHeight="1">
      <c r="C167" s="977" t="s">
        <v>258</v>
      </c>
      <c r="D167" s="977"/>
      <c r="E167" s="977"/>
      <c r="F167" s="1126"/>
      <c r="G167" s="1127">
        <v>1795</v>
      </c>
      <c r="H167" s="1127">
        <v>1668</v>
      </c>
      <c r="I167" s="1127">
        <v>1534</v>
      </c>
      <c r="J167" s="1127">
        <v>1716</v>
      </c>
      <c r="K167" s="1127">
        <v>1470</v>
      </c>
      <c r="L167" s="1128">
        <f>'DCF - Capital Structure'!L175</f>
        <v>1401.2187707761236</v>
      </c>
      <c r="M167" s="1128">
        <f>'DCF - Capital Structure'!M175</f>
        <v>1334.6102943809467</v>
      </c>
      <c r="N167" s="1128">
        <f>'DCF - Capital Structure'!N175</f>
        <v>1270.5883921796499</v>
      </c>
      <c r="O167" s="1128">
        <f>'DCF - Capital Structure'!O175</f>
        <v>1208.1406283219198</v>
      </c>
      <c r="P167" s="1128">
        <f>'DCF - Capital Structure'!P175</f>
        <v>1148.677003382596</v>
      </c>
      <c r="Q167" s="1128">
        <f>'DCF - Capital Structure'!Q175</f>
        <v>1091.7095837808311</v>
      </c>
      <c r="R167" s="1128">
        <f>'DCF - Capital Structure'!R175</f>
        <v>1037.5651246708169</v>
      </c>
      <c r="S167" s="1128">
        <f>'DCF - Capital Structure'!S175</f>
        <v>986.14153094305175</v>
      </c>
      <c r="U167" s="93">
        <f t="shared" si="63"/>
        <v>1</v>
      </c>
      <c r="V167" s="24">
        <v>1</v>
      </c>
      <c r="IY167" s="6"/>
    </row>
    <row r="168" spans="1:260" ht="13.5" customHeight="1">
      <c r="C168" s="1002" t="s">
        <v>351</v>
      </c>
      <c r="D168" s="1002"/>
      <c r="E168" s="1002"/>
      <c r="F168" s="1101"/>
      <c r="G168" s="1003">
        <f t="shared" ref="G168:I168" si="82">SUM(G166:G167)</f>
        <v>10156</v>
      </c>
      <c r="H168" s="1003">
        <f t="shared" si="82"/>
        <v>8440</v>
      </c>
      <c r="I168" s="1003">
        <f t="shared" si="82"/>
        <v>8431</v>
      </c>
      <c r="J168" s="1003">
        <f>SUM(J166:J167)</f>
        <v>9514</v>
      </c>
      <c r="K168" s="1003">
        <f t="shared" ref="K168:S168" si="83">SUM(K166:K167)</f>
        <v>9292</v>
      </c>
      <c r="L168" s="1004">
        <f t="shared" si="83"/>
        <v>5772.5804899780578</v>
      </c>
      <c r="M168" s="1004">
        <f t="shared" si="83"/>
        <v>6866.0994253924673</v>
      </c>
      <c r="N168" s="1004">
        <f t="shared" si="83"/>
        <v>5252.417098753871</v>
      </c>
      <c r="O168" s="1004">
        <f t="shared" si="83"/>
        <v>5193.9453714729789</v>
      </c>
      <c r="P168" s="1004">
        <f t="shared" si="83"/>
        <v>3935.7733551193169</v>
      </c>
      <c r="Q168" s="1004">
        <f t="shared" si="83"/>
        <v>3442.1697323795288</v>
      </c>
      <c r="R168" s="1004">
        <f t="shared" si="83"/>
        <v>2230.7069868946455</v>
      </c>
      <c r="S168" s="1004">
        <f t="shared" si="83"/>
        <v>1067.524746595152</v>
      </c>
      <c r="U168" s="93">
        <f t="shared" si="63"/>
        <v>1</v>
      </c>
      <c r="V168" s="24">
        <v>1</v>
      </c>
      <c r="IY168" s="6"/>
    </row>
    <row r="169" spans="1:260" ht="13.5" customHeight="1">
      <c r="C169" s="44"/>
      <c r="D169" s="44"/>
      <c r="E169" s="44"/>
      <c r="F169" s="1102"/>
      <c r="G169" s="43"/>
      <c r="H169" s="43"/>
      <c r="I169" s="43"/>
      <c r="J169" s="43"/>
      <c r="K169" s="43"/>
      <c r="L169" s="43"/>
      <c r="M169" s="43"/>
      <c r="N169" s="43"/>
      <c r="O169" s="43"/>
      <c r="P169" s="43"/>
      <c r="Q169" s="43"/>
      <c r="R169" s="43"/>
      <c r="S169" s="43"/>
      <c r="U169" s="93">
        <f t="shared" si="63"/>
        <v>0</v>
      </c>
      <c r="V169" s="24">
        <v>0</v>
      </c>
      <c r="IY169" s="6"/>
    </row>
    <row r="170" spans="1:260" ht="13.5" customHeight="1">
      <c r="C170" s="1002" t="s">
        <v>352</v>
      </c>
      <c r="D170" s="1002"/>
      <c r="E170" s="1002"/>
      <c r="F170" s="1101"/>
      <c r="G170" s="1003">
        <f t="shared" ref="G170:S170" si="84">G168+G160</f>
        <v>31296</v>
      </c>
      <c r="H170" s="1003">
        <f t="shared" si="84"/>
        <v>33308</v>
      </c>
      <c r="I170" s="1003">
        <f t="shared" si="84"/>
        <v>31953</v>
      </c>
      <c r="J170" s="1003">
        <f t="shared" si="84"/>
        <v>36516</v>
      </c>
      <c r="K170" s="1003">
        <f t="shared" si="84"/>
        <v>35621</v>
      </c>
      <c r="L170" s="1004">
        <f t="shared" si="84"/>
        <v>37203.272995928375</v>
      </c>
      <c r="M170" s="1004">
        <f t="shared" si="84"/>
        <v>38479.698540750484</v>
      </c>
      <c r="N170" s="1004">
        <f t="shared" si="84"/>
        <v>39689.294862153954</v>
      </c>
      <c r="O170" s="1004">
        <f t="shared" si="84"/>
        <v>40888.535604140357</v>
      </c>
      <c r="P170" s="1004">
        <f t="shared" si="84"/>
        <v>42099.299679619551</v>
      </c>
      <c r="Q170" s="1004">
        <f t="shared" si="84"/>
        <v>43500.194208670604</v>
      </c>
      <c r="R170" s="1004">
        <f t="shared" si="84"/>
        <v>44907.721592038477</v>
      </c>
      <c r="S170" s="1004">
        <f t="shared" si="84"/>
        <v>46364.08858125611</v>
      </c>
      <c r="U170" s="93">
        <f t="shared" si="63"/>
        <v>1</v>
      </c>
      <c r="V170" s="24">
        <v>1</v>
      </c>
      <c r="IY170" s="6"/>
    </row>
    <row r="171" spans="1:260" ht="13.5" customHeight="1">
      <c r="C171" s="19"/>
      <c r="D171" s="19"/>
      <c r="E171" s="19"/>
      <c r="F171" s="1095"/>
      <c r="G171" s="46"/>
      <c r="H171" s="46"/>
      <c r="I171" s="46"/>
      <c r="J171" s="46"/>
      <c r="K171" s="46"/>
      <c r="L171" s="46"/>
      <c r="M171" s="46"/>
      <c r="N171" s="46"/>
      <c r="O171" s="46"/>
      <c r="P171" s="46"/>
      <c r="Q171" s="46"/>
      <c r="R171" s="46"/>
      <c r="S171" s="46"/>
      <c r="U171" s="93">
        <f t="shared" si="63"/>
        <v>0</v>
      </c>
      <c r="V171" s="24">
        <v>0</v>
      </c>
      <c r="IY171" s="6"/>
    </row>
    <row r="172" spans="1:260" ht="13.5" customHeight="1">
      <c r="A172" s="19"/>
      <c r="B172" s="19"/>
      <c r="C172" s="16" t="s">
        <v>353</v>
      </c>
      <c r="D172" s="15"/>
      <c r="E172" s="15"/>
      <c r="F172" s="1099"/>
      <c r="G172" s="60" t="str">
        <f t="shared" ref="G172:S172" si="85">IF(ABS(G142-G170)&gt;1,G142-G170,"OK")</f>
        <v>OK</v>
      </c>
      <c r="H172" s="60" t="str">
        <f t="shared" si="85"/>
        <v>OK</v>
      </c>
      <c r="I172" s="60" t="str">
        <f t="shared" si="85"/>
        <v>OK</v>
      </c>
      <c r="J172" s="60" t="str">
        <f t="shared" si="85"/>
        <v>OK</v>
      </c>
      <c r="K172" s="60" t="str">
        <f t="shared" si="85"/>
        <v>OK</v>
      </c>
      <c r="L172" s="60" t="str">
        <f t="shared" si="85"/>
        <v>OK</v>
      </c>
      <c r="M172" s="60" t="str">
        <f t="shared" si="85"/>
        <v>OK</v>
      </c>
      <c r="N172" s="60" t="str">
        <f t="shared" si="85"/>
        <v>OK</v>
      </c>
      <c r="O172" s="60" t="str">
        <f t="shared" si="85"/>
        <v>OK</v>
      </c>
      <c r="P172" s="60" t="str">
        <f t="shared" si="85"/>
        <v>OK</v>
      </c>
      <c r="Q172" s="60" t="str">
        <f t="shared" si="85"/>
        <v>OK</v>
      </c>
      <c r="R172" s="60" t="str">
        <f t="shared" si="85"/>
        <v>OK</v>
      </c>
      <c r="S172" s="59" t="str">
        <f t="shared" si="85"/>
        <v>OK</v>
      </c>
      <c r="U172" s="93">
        <f t="shared" si="63"/>
        <v>1</v>
      </c>
      <c r="V172" s="24">
        <v>1</v>
      </c>
    </row>
    <row r="173" spans="1:260" s="2" customFormat="1" ht="13">
      <c r="F173" s="1100"/>
      <c r="U173" s="93">
        <f t="shared" si="63"/>
        <v>0</v>
      </c>
      <c r="V173" s="24">
        <v>0</v>
      </c>
    </row>
    <row r="174" spans="1:260" s="2" customFormat="1" ht="13" hidden="1">
      <c r="F174" s="1100"/>
      <c r="U174" s="93">
        <f t="shared" si="63"/>
        <v>0</v>
      </c>
      <c r="V174" s="24">
        <v>0</v>
      </c>
    </row>
    <row r="175" spans="1:260" s="2" customFormat="1" ht="13" hidden="1">
      <c r="F175" s="1100"/>
      <c r="U175" s="93">
        <f t="shared" si="63"/>
        <v>0</v>
      </c>
      <c r="V175" s="24">
        <v>0</v>
      </c>
    </row>
    <row r="176" spans="1:260" s="2" customFormat="1" ht="13" hidden="1">
      <c r="F176" s="1100"/>
      <c r="U176" s="93">
        <f t="shared" si="63"/>
        <v>0</v>
      </c>
      <c r="V176" s="24">
        <v>0</v>
      </c>
    </row>
    <row r="177" spans="6:22" s="2" customFormat="1" ht="13" hidden="1">
      <c r="F177" s="1100"/>
      <c r="U177" s="93">
        <f t="shared" si="63"/>
        <v>0</v>
      </c>
      <c r="V177" s="24">
        <v>0</v>
      </c>
    </row>
    <row r="178" spans="6:22" s="2" customFormat="1" ht="13" hidden="1">
      <c r="F178" s="1100"/>
      <c r="U178" s="93">
        <f t="shared" si="63"/>
        <v>0</v>
      </c>
      <c r="V178" s="24">
        <v>0</v>
      </c>
    </row>
    <row r="179" spans="6:22" s="2" customFormat="1" ht="13" hidden="1">
      <c r="F179" s="1100"/>
      <c r="U179" s="93">
        <f t="shared" si="63"/>
        <v>0</v>
      </c>
      <c r="V179" s="24">
        <v>0</v>
      </c>
    </row>
    <row r="180" spans="6:22" s="2" customFormat="1" ht="13" hidden="1">
      <c r="F180" s="1100"/>
      <c r="U180" s="93">
        <f t="shared" si="63"/>
        <v>0</v>
      </c>
      <c r="V180" s="24">
        <v>0</v>
      </c>
    </row>
    <row r="181" spans="6:22" s="2" customFormat="1" ht="13" hidden="1">
      <c r="F181" s="1100"/>
      <c r="U181" s="93">
        <f t="shared" si="63"/>
        <v>0</v>
      </c>
      <c r="V181" s="24">
        <v>0</v>
      </c>
    </row>
    <row r="182" spans="6:22" hidden="1">
      <c r="U182" s="93">
        <f t="shared" si="63"/>
        <v>0</v>
      </c>
      <c r="V182" s="24">
        <v>0</v>
      </c>
    </row>
    <row r="183" spans="6:22" hidden="1">
      <c r="U183" s="93">
        <f t="shared" si="63"/>
        <v>0</v>
      </c>
      <c r="V183" s="24">
        <v>0</v>
      </c>
    </row>
    <row r="184" spans="6:22" hidden="1">
      <c r="U184" s="93">
        <f t="shared" si="63"/>
        <v>0</v>
      </c>
      <c r="V184" s="24">
        <v>0</v>
      </c>
    </row>
    <row r="185" spans="6:22" hidden="1">
      <c r="U185" s="93">
        <f t="shared" si="63"/>
        <v>0</v>
      </c>
      <c r="V185" s="24">
        <v>0</v>
      </c>
    </row>
    <row r="186" spans="6:22" hidden="1">
      <c r="U186" s="93">
        <f t="shared" si="63"/>
        <v>0</v>
      </c>
      <c r="V186" s="24">
        <v>0</v>
      </c>
    </row>
    <row r="187" spans="6:22" hidden="1">
      <c r="U187" s="93">
        <f t="shared" si="63"/>
        <v>0</v>
      </c>
      <c r="V187" s="24">
        <v>0</v>
      </c>
    </row>
    <row r="188" spans="6:22" hidden="1">
      <c r="U188" s="93">
        <f t="shared" si="63"/>
        <v>0</v>
      </c>
      <c r="V188" s="24">
        <v>0</v>
      </c>
    </row>
    <row r="189" spans="6:22" hidden="1">
      <c r="U189" s="93">
        <f t="shared" si="63"/>
        <v>0</v>
      </c>
      <c r="V189" s="24">
        <v>0</v>
      </c>
    </row>
    <row r="190" spans="6:22" hidden="1">
      <c r="U190" s="93">
        <f t="shared" si="63"/>
        <v>0</v>
      </c>
      <c r="V190" s="24">
        <v>0</v>
      </c>
    </row>
    <row r="191" spans="6:22" hidden="1">
      <c r="U191" s="93">
        <f t="shared" si="63"/>
        <v>0</v>
      </c>
      <c r="V191" s="24">
        <v>0</v>
      </c>
    </row>
    <row r="192" spans="6:22" hidden="1">
      <c r="U192" s="93">
        <f t="shared" si="63"/>
        <v>0</v>
      </c>
      <c r="V192" s="24">
        <v>0</v>
      </c>
    </row>
    <row r="193" spans="3:22" ht="13" hidden="1">
      <c r="C193" s="41"/>
      <c r="U193" s="93">
        <f t="shared" si="63"/>
        <v>0</v>
      </c>
      <c r="V193" s="24">
        <v>0</v>
      </c>
    </row>
    <row r="194" spans="3:22" hidden="1">
      <c r="G194" s="40"/>
      <c r="H194" s="40"/>
      <c r="I194" s="40"/>
      <c r="J194" s="39"/>
      <c r="K194" s="39"/>
      <c r="L194" s="38"/>
      <c r="M194" s="38"/>
      <c r="N194" s="38"/>
      <c r="O194" s="38"/>
      <c r="P194" s="38"/>
      <c r="Q194" s="38"/>
      <c r="R194" s="38"/>
      <c r="S194" s="38"/>
      <c r="U194" s="93">
        <f t="shared" si="63"/>
        <v>0</v>
      </c>
      <c r="V194" s="24">
        <v>0</v>
      </c>
    </row>
    <row r="195" spans="3:22" hidden="1">
      <c r="G195" s="37"/>
      <c r="H195" s="37"/>
      <c r="I195" s="37"/>
      <c r="J195" s="23"/>
      <c r="K195" s="23"/>
      <c r="L195" s="23"/>
      <c r="M195" s="23"/>
      <c r="N195" s="23"/>
      <c r="O195" s="23"/>
      <c r="P195" s="23"/>
      <c r="Q195" s="23"/>
      <c r="R195" s="23"/>
      <c r="S195" s="23"/>
      <c r="U195" s="93">
        <f t="shared" si="63"/>
        <v>0</v>
      </c>
      <c r="V195" s="24">
        <v>0</v>
      </c>
    </row>
    <row r="196" spans="3:22" hidden="1">
      <c r="U196" s="93">
        <f t="shared" si="63"/>
        <v>0</v>
      </c>
      <c r="V196" s="24">
        <v>0</v>
      </c>
    </row>
    <row r="197" spans="3:22" hidden="1">
      <c r="U197" s="93">
        <f t="shared" si="63"/>
        <v>0</v>
      </c>
      <c r="V197" s="24">
        <v>0</v>
      </c>
    </row>
    <row r="198" spans="3:22" hidden="1">
      <c r="U198" s="93">
        <f t="shared" si="63"/>
        <v>0</v>
      </c>
      <c r="V198" s="24">
        <v>0</v>
      </c>
    </row>
    <row r="199" spans="3:22"/>
    <row r="200" spans="3:22" hidden="1">
      <c r="U200" s="93">
        <f t="shared" si="63"/>
        <v>0</v>
      </c>
      <c r="V200" s="3">
        <v>0</v>
      </c>
    </row>
    <row r="201" spans="3:22" hidden="1">
      <c r="U201" s="93">
        <f t="shared" ref="U201:U264" si="86">IF(NOT(ISBLANK(C201)), 1, 0)</f>
        <v>0</v>
      </c>
      <c r="V201" s="3">
        <v>0</v>
      </c>
    </row>
    <row r="202" spans="3:22" hidden="1">
      <c r="U202" s="93">
        <f t="shared" si="86"/>
        <v>0</v>
      </c>
      <c r="V202" s="3">
        <v>0</v>
      </c>
    </row>
    <row r="203" spans="3:22" hidden="1">
      <c r="U203" s="93">
        <f t="shared" si="86"/>
        <v>0</v>
      </c>
      <c r="V203" s="3">
        <v>0</v>
      </c>
    </row>
    <row r="204" spans="3:22" hidden="1">
      <c r="U204" s="93">
        <f t="shared" si="86"/>
        <v>0</v>
      </c>
      <c r="V204" s="3">
        <v>0</v>
      </c>
    </row>
    <row r="205" spans="3:22" hidden="1">
      <c r="U205" s="93">
        <f t="shared" si="86"/>
        <v>0</v>
      </c>
      <c r="V205" s="3">
        <v>0</v>
      </c>
    </row>
    <row r="206" spans="3:22" hidden="1">
      <c r="U206" s="93">
        <f t="shared" si="86"/>
        <v>0</v>
      </c>
      <c r="V206" s="3">
        <v>0</v>
      </c>
    </row>
    <row r="207" spans="3:22" hidden="1">
      <c r="U207" s="93">
        <f t="shared" si="86"/>
        <v>0</v>
      </c>
      <c r="V207" s="3">
        <v>0</v>
      </c>
    </row>
    <row r="208" spans="3:22" hidden="1">
      <c r="U208" s="93">
        <f t="shared" si="86"/>
        <v>0</v>
      </c>
      <c r="V208" s="3">
        <v>0</v>
      </c>
    </row>
    <row r="209" spans="21:22" hidden="1">
      <c r="U209" s="93">
        <f t="shared" si="86"/>
        <v>0</v>
      </c>
      <c r="V209" s="3">
        <v>0</v>
      </c>
    </row>
    <row r="210" spans="21:22" hidden="1">
      <c r="U210" s="93">
        <f t="shared" si="86"/>
        <v>0</v>
      </c>
      <c r="V210" s="3">
        <v>0</v>
      </c>
    </row>
    <row r="211" spans="21:22" hidden="1">
      <c r="U211" s="93">
        <f t="shared" si="86"/>
        <v>0</v>
      </c>
      <c r="V211" s="3">
        <v>0</v>
      </c>
    </row>
    <row r="212" spans="21:22" hidden="1">
      <c r="U212" s="93">
        <f t="shared" si="86"/>
        <v>0</v>
      </c>
      <c r="V212" s="3">
        <v>0</v>
      </c>
    </row>
    <row r="213" spans="21:22" hidden="1">
      <c r="U213" s="93">
        <f t="shared" si="86"/>
        <v>0</v>
      </c>
      <c r="V213" s="3">
        <v>0</v>
      </c>
    </row>
    <row r="214" spans="21:22" hidden="1">
      <c r="U214" s="93">
        <f t="shared" si="86"/>
        <v>0</v>
      </c>
      <c r="V214" s="3">
        <v>0</v>
      </c>
    </row>
    <row r="215" spans="21:22" hidden="1">
      <c r="U215" s="93">
        <f t="shared" si="86"/>
        <v>0</v>
      </c>
      <c r="V215" s="3">
        <v>0</v>
      </c>
    </row>
    <row r="216" spans="21:22" hidden="1">
      <c r="U216" s="93">
        <f t="shared" si="86"/>
        <v>0</v>
      </c>
      <c r="V216" s="3">
        <v>0</v>
      </c>
    </row>
    <row r="217" spans="21:22" hidden="1">
      <c r="U217" s="93">
        <f t="shared" si="86"/>
        <v>0</v>
      </c>
      <c r="V217" s="3">
        <v>0</v>
      </c>
    </row>
    <row r="218" spans="21:22" hidden="1">
      <c r="U218" s="93">
        <f t="shared" si="86"/>
        <v>0</v>
      </c>
      <c r="V218" s="3">
        <v>0</v>
      </c>
    </row>
    <row r="219" spans="21:22" hidden="1">
      <c r="U219" s="93">
        <f t="shared" si="86"/>
        <v>0</v>
      </c>
      <c r="V219" s="3">
        <v>0</v>
      </c>
    </row>
    <row r="220" spans="21:22" hidden="1">
      <c r="U220" s="93">
        <f t="shared" si="86"/>
        <v>0</v>
      </c>
      <c r="V220" s="3">
        <v>0</v>
      </c>
    </row>
    <row r="221" spans="21:22" hidden="1">
      <c r="U221" s="93">
        <f t="shared" si="86"/>
        <v>0</v>
      </c>
      <c r="V221" s="3">
        <v>0</v>
      </c>
    </row>
    <row r="222" spans="21:22" hidden="1">
      <c r="U222" s="93">
        <f t="shared" si="86"/>
        <v>0</v>
      </c>
      <c r="V222" s="3">
        <v>0</v>
      </c>
    </row>
    <row r="223" spans="21:22" hidden="1">
      <c r="U223" s="93">
        <f t="shared" si="86"/>
        <v>0</v>
      </c>
      <c r="V223" s="3">
        <v>0</v>
      </c>
    </row>
    <row r="224" spans="21:22" hidden="1">
      <c r="U224" s="93">
        <f t="shared" si="86"/>
        <v>0</v>
      </c>
      <c r="V224" s="3">
        <v>0</v>
      </c>
    </row>
    <row r="225" spans="21:22" hidden="1">
      <c r="U225" s="93">
        <f t="shared" si="86"/>
        <v>0</v>
      </c>
      <c r="V225" s="3">
        <v>0</v>
      </c>
    </row>
    <row r="226" spans="21:22" hidden="1">
      <c r="U226" s="93">
        <f t="shared" si="86"/>
        <v>0</v>
      </c>
      <c r="V226" s="3">
        <v>0</v>
      </c>
    </row>
    <row r="227" spans="21:22" hidden="1">
      <c r="U227" s="93">
        <f t="shared" si="86"/>
        <v>0</v>
      </c>
      <c r="V227" s="3">
        <v>0</v>
      </c>
    </row>
    <row r="228" spans="21:22" hidden="1">
      <c r="U228" s="93">
        <f t="shared" si="86"/>
        <v>0</v>
      </c>
      <c r="V228" s="3">
        <v>0</v>
      </c>
    </row>
    <row r="229" spans="21:22" hidden="1">
      <c r="U229" s="93">
        <f t="shared" si="86"/>
        <v>0</v>
      </c>
      <c r="V229" s="3">
        <v>0</v>
      </c>
    </row>
    <row r="230" spans="21:22" hidden="1">
      <c r="U230" s="93">
        <f t="shared" si="86"/>
        <v>0</v>
      </c>
      <c r="V230" s="3">
        <v>0</v>
      </c>
    </row>
    <row r="231" spans="21:22" hidden="1">
      <c r="U231" s="93">
        <f t="shared" si="86"/>
        <v>0</v>
      </c>
      <c r="V231" s="3">
        <v>0</v>
      </c>
    </row>
    <row r="232" spans="21:22" hidden="1">
      <c r="U232" s="93">
        <f t="shared" si="86"/>
        <v>0</v>
      </c>
      <c r="V232" s="3">
        <v>0</v>
      </c>
    </row>
    <row r="233" spans="21:22" hidden="1">
      <c r="U233" s="93">
        <f t="shared" si="86"/>
        <v>0</v>
      </c>
      <c r="V233" s="3">
        <v>0</v>
      </c>
    </row>
    <row r="234" spans="21:22" hidden="1">
      <c r="U234" s="93">
        <f t="shared" si="86"/>
        <v>0</v>
      </c>
      <c r="V234" s="3">
        <v>0</v>
      </c>
    </row>
    <row r="235" spans="21:22" hidden="1">
      <c r="U235" s="93">
        <f t="shared" si="86"/>
        <v>0</v>
      </c>
      <c r="V235" s="3">
        <v>0</v>
      </c>
    </row>
    <row r="236" spans="21:22" hidden="1">
      <c r="U236" s="93">
        <f t="shared" si="86"/>
        <v>0</v>
      </c>
      <c r="V236" s="3">
        <v>0</v>
      </c>
    </row>
    <row r="237" spans="21:22" hidden="1">
      <c r="U237" s="93">
        <f t="shared" si="86"/>
        <v>0</v>
      </c>
      <c r="V237" s="3">
        <v>0</v>
      </c>
    </row>
    <row r="238" spans="21:22" hidden="1">
      <c r="U238" s="93">
        <f t="shared" si="86"/>
        <v>0</v>
      </c>
      <c r="V238" s="3">
        <v>0</v>
      </c>
    </row>
    <row r="239" spans="21:22" hidden="1">
      <c r="U239" s="93">
        <f t="shared" si="86"/>
        <v>0</v>
      </c>
      <c r="V239" s="3">
        <v>0</v>
      </c>
    </row>
    <row r="240" spans="21:22" hidden="1">
      <c r="U240" s="93">
        <f t="shared" si="86"/>
        <v>0</v>
      </c>
      <c r="V240" s="3">
        <v>0</v>
      </c>
    </row>
    <row r="241" spans="21:22" hidden="1">
      <c r="U241" s="93">
        <f t="shared" si="86"/>
        <v>0</v>
      </c>
      <c r="V241" s="3">
        <v>0</v>
      </c>
    </row>
    <row r="242" spans="21:22" hidden="1">
      <c r="U242" s="93">
        <f t="shared" si="86"/>
        <v>0</v>
      </c>
      <c r="V242" s="3">
        <v>0</v>
      </c>
    </row>
    <row r="243" spans="21:22" hidden="1">
      <c r="U243" s="93">
        <f t="shared" si="86"/>
        <v>0</v>
      </c>
      <c r="V243" s="3">
        <v>0</v>
      </c>
    </row>
    <row r="244" spans="21:22" hidden="1">
      <c r="U244" s="93">
        <f t="shared" si="86"/>
        <v>0</v>
      </c>
      <c r="V244" s="3">
        <v>0</v>
      </c>
    </row>
    <row r="245" spans="21:22" hidden="1">
      <c r="U245" s="93">
        <f t="shared" si="86"/>
        <v>0</v>
      </c>
      <c r="V245" s="3">
        <v>0</v>
      </c>
    </row>
    <row r="246" spans="21:22" hidden="1">
      <c r="U246" s="93">
        <f t="shared" si="86"/>
        <v>0</v>
      </c>
      <c r="V246" s="3">
        <v>0</v>
      </c>
    </row>
    <row r="247" spans="21:22" hidden="1">
      <c r="U247" s="93">
        <f t="shared" si="86"/>
        <v>0</v>
      </c>
      <c r="V247" s="3">
        <v>0</v>
      </c>
    </row>
    <row r="248" spans="21:22" hidden="1">
      <c r="U248" s="93">
        <f t="shared" si="86"/>
        <v>0</v>
      </c>
      <c r="V248" s="3">
        <v>0</v>
      </c>
    </row>
    <row r="249" spans="21:22" hidden="1">
      <c r="U249" s="93">
        <f t="shared" si="86"/>
        <v>0</v>
      </c>
      <c r="V249" s="3">
        <v>0</v>
      </c>
    </row>
    <row r="250" spans="21:22" hidden="1">
      <c r="U250" s="93">
        <f t="shared" si="86"/>
        <v>0</v>
      </c>
      <c r="V250" s="3">
        <v>0</v>
      </c>
    </row>
    <row r="251" spans="21:22" hidden="1">
      <c r="U251" s="93">
        <f t="shared" si="86"/>
        <v>0</v>
      </c>
      <c r="V251" s="3">
        <v>0</v>
      </c>
    </row>
    <row r="252" spans="21:22" hidden="1">
      <c r="U252" s="93">
        <f t="shared" si="86"/>
        <v>0</v>
      </c>
      <c r="V252" s="3">
        <v>0</v>
      </c>
    </row>
    <row r="253" spans="21:22" hidden="1">
      <c r="U253" s="93">
        <f t="shared" si="86"/>
        <v>0</v>
      </c>
      <c r="V253" s="3">
        <v>0</v>
      </c>
    </row>
    <row r="254" spans="21:22" hidden="1">
      <c r="U254" s="93">
        <f t="shared" si="86"/>
        <v>0</v>
      </c>
      <c r="V254" s="3">
        <v>0</v>
      </c>
    </row>
    <row r="255" spans="21:22" hidden="1">
      <c r="U255" s="93">
        <f t="shared" si="86"/>
        <v>0</v>
      </c>
      <c r="V255" s="3">
        <v>0</v>
      </c>
    </row>
    <row r="256" spans="21:22" hidden="1">
      <c r="U256" s="93">
        <f t="shared" si="86"/>
        <v>0</v>
      </c>
      <c r="V256" s="3">
        <v>0</v>
      </c>
    </row>
    <row r="257" spans="21:22" hidden="1">
      <c r="U257" s="93">
        <f t="shared" si="86"/>
        <v>0</v>
      </c>
      <c r="V257" s="3">
        <v>0</v>
      </c>
    </row>
    <row r="258" spans="21:22" hidden="1">
      <c r="U258" s="93">
        <f t="shared" si="86"/>
        <v>0</v>
      </c>
      <c r="V258" s="3">
        <v>0</v>
      </c>
    </row>
    <row r="259" spans="21:22" hidden="1">
      <c r="U259" s="93">
        <f t="shared" si="86"/>
        <v>0</v>
      </c>
      <c r="V259" s="3">
        <v>0</v>
      </c>
    </row>
    <row r="260" spans="21:22" hidden="1">
      <c r="U260" s="93">
        <f t="shared" si="86"/>
        <v>0</v>
      </c>
      <c r="V260" s="3">
        <v>0</v>
      </c>
    </row>
    <row r="261" spans="21:22" hidden="1">
      <c r="U261" s="93">
        <f t="shared" si="86"/>
        <v>0</v>
      </c>
      <c r="V261" s="3">
        <v>0</v>
      </c>
    </row>
    <row r="262" spans="21:22" hidden="1">
      <c r="U262" s="93">
        <f t="shared" si="86"/>
        <v>0</v>
      </c>
      <c r="V262" s="3">
        <v>0</v>
      </c>
    </row>
    <row r="263" spans="21:22" hidden="1">
      <c r="U263" s="93">
        <f t="shared" si="86"/>
        <v>0</v>
      </c>
      <c r="V263" s="3">
        <v>0</v>
      </c>
    </row>
    <row r="264" spans="21:22" hidden="1">
      <c r="U264" s="93">
        <f t="shared" si="86"/>
        <v>0</v>
      </c>
      <c r="V264" s="3">
        <v>0</v>
      </c>
    </row>
    <row r="265" spans="21:22" hidden="1">
      <c r="U265" s="93">
        <f t="shared" ref="U265:U328" si="87">IF(NOT(ISBLANK(C265)), 1, 0)</f>
        <v>0</v>
      </c>
      <c r="V265" s="3">
        <v>0</v>
      </c>
    </row>
    <row r="266" spans="21:22" hidden="1">
      <c r="U266" s="93">
        <f t="shared" si="87"/>
        <v>0</v>
      </c>
      <c r="V266" s="3">
        <v>0</v>
      </c>
    </row>
    <row r="267" spans="21:22" hidden="1">
      <c r="U267" s="93">
        <f t="shared" si="87"/>
        <v>0</v>
      </c>
      <c r="V267" s="3">
        <v>0</v>
      </c>
    </row>
    <row r="268" spans="21:22" hidden="1">
      <c r="U268" s="93">
        <f t="shared" si="87"/>
        <v>0</v>
      </c>
      <c r="V268" s="3">
        <v>0</v>
      </c>
    </row>
    <row r="269" spans="21:22" hidden="1">
      <c r="U269" s="93">
        <f t="shared" si="87"/>
        <v>0</v>
      </c>
      <c r="V269" s="3">
        <v>0</v>
      </c>
    </row>
    <row r="270" spans="21:22" hidden="1">
      <c r="U270" s="93">
        <f t="shared" si="87"/>
        <v>0</v>
      </c>
      <c r="V270" s="3">
        <v>0</v>
      </c>
    </row>
    <row r="271" spans="21:22" hidden="1">
      <c r="U271" s="93">
        <f t="shared" si="87"/>
        <v>0</v>
      </c>
      <c r="V271" s="3">
        <v>0</v>
      </c>
    </row>
    <row r="272" spans="21:22" hidden="1">
      <c r="U272" s="93">
        <f t="shared" si="87"/>
        <v>0</v>
      </c>
      <c r="V272" s="3">
        <v>0</v>
      </c>
    </row>
    <row r="273" spans="21:22" hidden="1">
      <c r="U273" s="93">
        <f t="shared" si="87"/>
        <v>0</v>
      </c>
      <c r="V273" s="3">
        <v>0</v>
      </c>
    </row>
    <row r="274" spans="21:22" hidden="1">
      <c r="U274" s="93">
        <f t="shared" si="87"/>
        <v>0</v>
      </c>
      <c r="V274" s="3">
        <v>0</v>
      </c>
    </row>
    <row r="275" spans="21:22" hidden="1">
      <c r="U275" s="93">
        <f t="shared" si="87"/>
        <v>0</v>
      </c>
      <c r="V275" s="3">
        <v>0</v>
      </c>
    </row>
    <row r="276" spans="21:22" hidden="1">
      <c r="U276" s="93">
        <f t="shared" si="87"/>
        <v>0</v>
      </c>
      <c r="V276" s="3">
        <v>0</v>
      </c>
    </row>
    <row r="277" spans="21:22" hidden="1">
      <c r="U277" s="93">
        <f t="shared" si="87"/>
        <v>0</v>
      </c>
      <c r="V277" s="3">
        <v>0</v>
      </c>
    </row>
    <row r="278" spans="21:22" hidden="1">
      <c r="U278" s="93">
        <f t="shared" si="87"/>
        <v>0</v>
      </c>
      <c r="V278" s="3">
        <v>0</v>
      </c>
    </row>
    <row r="279" spans="21:22" hidden="1">
      <c r="U279" s="93">
        <f t="shared" si="87"/>
        <v>0</v>
      </c>
      <c r="V279" s="3">
        <v>0</v>
      </c>
    </row>
    <row r="280" spans="21:22" hidden="1">
      <c r="U280" s="93">
        <f t="shared" si="87"/>
        <v>0</v>
      </c>
      <c r="V280" s="3">
        <v>0</v>
      </c>
    </row>
    <row r="281" spans="21:22" hidden="1">
      <c r="U281" s="93">
        <f t="shared" si="87"/>
        <v>0</v>
      </c>
      <c r="V281" s="3">
        <v>0</v>
      </c>
    </row>
    <row r="282" spans="21:22" hidden="1">
      <c r="U282" s="93">
        <f t="shared" si="87"/>
        <v>0</v>
      </c>
      <c r="V282" s="3">
        <v>0</v>
      </c>
    </row>
    <row r="283" spans="21:22" hidden="1">
      <c r="U283" s="93">
        <f t="shared" si="87"/>
        <v>0</v>
      </c>
      <c r="V283" s="3">
        <v>0</v>
      </c>
    </row>
    <row r="284" spans="21:22" hidden="1">
      <c r="U284" s="93">
        <f t="shared" si="87"/>
        <v>0</v>
      </c>
      <c r="V284" s="3">
        <v>0</v>
      </c>
    </row>
    <row r="285" spans="21:22" hidden="1">
      <c r="U285" s="93">
        <f t="shared" si="87"/>
        <v>0</v>
      </c>
      <c r="V285" s="3">
        <v>0</v>
      </c>
    </row>
    <row r="286" spans="21:22" hidden="1">
      <c r="U286" s="93">
        <f t="shared" si="87"/>
        <v>0</v>
      </c>
      <c r="V286" s="3">
        <v>0</v>
      </c>
    </row>
    <row r="287" spans="21:22" hidden="1">
      <c r="U287" s="93">
        <f t="shared" si="87"/>
        <v>0</v>
      </c>
      <c r="V287" s="3">
        <v>0</v>
      </c>
    </row>
    <row r="288" spans="21:22" hidden="1">
      <c r="U288" s="93">
        <f t="shared" si="87"/>
        <v>0</v>
      </c>
      <c r="V288" s="3">
        <v>0</v>
      </c>
    </row>
    <row r="289" spans="21:22" hidden="1">
      <c r="U289" s="93">
        <f t="shared" si="87"/>
        <v>0</v>
      </c>
      <c r="V289" s="3">
        <v>0</v>
      </c>
    </row>
    <row r="290" spans="21:22" hidden="1">
      <c r="U290" s="93">
        <f t="shared" si="87"/>
        <v>0</v>
      </c>
      <c r="V290" s="3">
        <v>0</v>
      </c>
    </row>
    <row r="291" spans="21:22" hidden="1">
      <c r="U291" s="93">
        <f t="shared" si="87"/>
        <v>0</v>
      </c>
      <c r="V291" s="3">
        <v>0</v>
      </c>
    </row>
    <row r="292" spans="21:22" hidden="1">
      <c r="U292" s="93">
        <f t="shared" si="87"/>
        <v>0</v>
      </c>
      <c r="V292" s="3">
        <v>0</v>
      </c>
    </row>
    <row r="293" spans="21:22" hidden="1">
      <c r="U293" s="93">
        <f t="shared" si="87"/>
        <v>0</v>
      </c>
      <c r="V293" s="3">
        <v>0</v>
      </c>
    </row>
    <row r="294" spans="21:22" hidden="1">
      <c r="U294" s="93">
        <f t="shared" si="87"/>
        <v>0</v>
      </c>
      <c r="V294" s="3">
        <v>0</v>
      </c>
    </row>
    <row r="295" spans="21:22" hidden="1">
      <c r="U295" s="93">
        <f t="shared" si="87"/>
        <v>0</v>
      </c>
      <c r="V295" s="3">
        <v>0</v>
      </c>
    </row>
    <row r="296" spans="21:22" hidden="1">
      <c r="U296" s="93">
        <f t="shared" si="87"/>
        <v>0</v>
      </c>
      <c r="V296" s="3">
        <v>0</v>
      </c>
    </row>
    <row r="297" spans="21:22" hidden="1">
      <c r="U297" s="93">
        <f t="shared" si="87"/>
        <v>0</v>
      </c>
      <c r="V297" s="3">
        <v>0</v>
      </c>
    </row>
    <row r="298" spans="21:22" hidden="1">
      <c r="U298" s="93">
        <f t="shared" si="87"/>
        <v>0</v>
      </c>
      <c r="V298" s="3">
        <v>0</v>
      </c>
    </row>
    <row r="299" spans="21:22" hidden="1">
      <c r="U299" s="93">
        <f t="shared" si="87"/>
        <v>0</v>
      </c>
      <c r="V299" s="3">
        <v>0</v>
      </c>
    </row>
    <row r="300" spans="21:22" hidden="1">
      <c r="U300" s="93">
        <f t="shared" si="87"/>
        <v>0</v>
      </c>
      <c r="V300" s="3">
        <v>0</v>
      </c>
    </row>
    <row r="301" spans="21:22" hidden="1">
      <c r="U301" s="93">
        <f t="shared" si="87"/>
        <v>0</v>
      </c>
      <c r="V301" s="3">
        <v>0</v>
      </c>
    </row>
    <row r="302" spans="21:22" hidden="1">
      <c r="U302" s="93">
        <f t="shared" si="87"/>
        <v>0</v>
      </c>
      <c r="V302" s="3">
        <v>0</v>
      </c>
    </row>
    <row r="303" spans="21:22" hidden="1">
      <c r="U303" s="93">
        <f t="shared" si="87"/>
        <v>0</v>
      </c>
      <c r="V303" s="3">
        <v>0</v>
      </c>
    </row>
    <row r="304" spans="21:22" hidden="1">
      <c r="U304" s="93">
        <f t="shared" si="87"/>
        <v>0</v>
      </c>
      <c r="V304" s="3">
        <v>0</v>
      </c>
    </row>
    <row r="305" spans="21:22" hidden="1">
      <c r="U305" s="93">
        <f t="shared" si="87"/>
        <v>0</v>
      </c>
      <c r="V305" s="3">
        <v>0</v>
      </c>
    </row>
    <row r="306" spans="21:22" hidden="1">
      <c r="U306" s="93">
        <f t="shared" si="87"/>
        <v>0</v>
      </c>
      <c r="V306" s="3">
        <v>0</v>
      </c>
    </row>
    <row r="307" spans="21:22" hidden="1">
      <c r="U307" s="93">
        <f t="shared" si="87"/>
        <v>0</v>
      </c>
      <c r="V307" s="3">
        <v>0</v>
      </c>
    </row>
    <row r="308" spans="21:22" hidden="1">
      <c r="U308" s="93">
        <f t="shared" si="87"/>
        <v>0</v>
      </c>
      <c r="V308" s="3">
        <v>0</v>
      </c>
    </row>
    <row r="309" spans="21:22" hidden="1">
      <c r="U309" s="93">
        <f t="shared" si="87"/>
        <v>0</v>
      </c>
      <c r="V309" s="3">
        <v>0</v>
      </c>
    </row>
    <row r="310" spans="21:22" hidden="1">
      <c r="U310" s="93">
        <f t="shared" si="87"/>
        <v>0</v>
      </c>
      <c r="V310" s="3">
        <v>0</v>
      </c>
    </row>
    <row r="311" spans="21:22" hidden="1">
      <c r="U311" s="93">
        <f t="shared" si="87"/>
        <v>0</v>
      </c>
      <c r="V311" s="3">
        <v>0</v>
      </c>
    </row>
    <row r="312" spans="21:22" hidden="1">
      <c r="U312" s="93">
        <f t="shared" si="87"/>
        <v>0</v>
      </c>
      <c r="V312" s="3">
        <v>0</v>
      </c>
    </row>
    <row r="313" spans="21:22" hidden="1">
      <c r="U313" s="93">
        <f t="shared" si="87"/>
        <v>0</v>
      </c>
      <c r="V313" s="3">
        <v>0</v>
      </c>
    </row>
    <row r="314" spans="21:22" hidden="1">
      <c r="U314" s="93">
        <f t="shared" si="87"/>
        <v>0</v>
      </c>
      <c r="V314" s="3">
        <v>0</v>
      </c>
    </row>
    <row r="315" spans="21:22" hidden="1">
      <c r="U315" s="93">
        <f t="shared" si="87"/>
        <v>0</v>
      </c>
      <c r="V315" s="3">
        <v>0</v>
      </c>
    </row>
    <row r="316" spans="21:22" hidden="1">
      <c r="U316" s="93">
        <f t="shared" si="87"/>
        <v>0</v>
      </c>
      <c r="V316" s="3">
        <v>0</v>
      </c>
    </row>
    <row r="317" spans="21:22" hidden="1">
      <c r="U317" s="93">
        <f t="shared" si="87"/>
        <v>0</v>
      </c>
      <c r="V317" s="3">
        <v>0</v>
      </c>
    </row>
    <row r="318" spans="21:22" hidden="1">
      <c r="U318" s="93">
        <f t="shared" si="87"/>
        <v>0</v>
      </c>
      <c r="V318" s="3">
        <v>0</v>
      </c>
    </row>
    <row r="319" spans="21:22" hidden="1">
      <c r="U319" s="93">
        <f t="shared" si="87"/>
        <v>0</v>
      </c>
      <c r="V319" s="3">
        <v>0</v>
      </c>
    </row>
    <row r="320" spans="21:22" hidden="1">
      <c r="U320" s="93">
        <f t="shared" si="87"/>
        <v>0</v>
      </c>
      <c r="V320" s="3">
        <v>0</v>
      </c>
    </row>
    <row r="321" spans="21:22" hidden="1">
      <c r="U321" s="93">
        <f t="shared" si="87"/>
        <v>0</v>
      </c>
      <c r="V321" s="3">
        <v>0</v>
      </c>
    </row>
    <row r="322" spans="21:22" hidden="1">
      <c r="U322" s="93">
        <f t="shared" si="87"/>
        <v>0</v>
      </c>
      <c r="V322" s="3">
        <v>0</v>
      </c>
    </row>
    <row r="323" spans="21:22" hidden="1">
      <c r="U323" s="93">
        <f t="shared" si="87"/>
        <v>0</v>
      </c>
      <c r="V323" s="3">
        <v>0</v>
      </c>
    </row>
    <row r="324" spans="21:22" hidden="1">
      <c r="U324" s="93">
        <f t="shared" si="87"/>
        <v>0</v>
      </c>
      <c r="V324" s="3">
        <v>0</v>
      </c>
    </row>
    <row r="325" spans="21:22" hidden="1">
      <c r="U325" s="93">
        <f t="shared" si="87"/>
        <v>0</v>
      </c>
      <c r="V325" s="3">
        <v>0</v>
      </c>
    </row>
    <row r="326" spans="21:22" hidden="1">
      <c r="U326" s="93">
        <f t="shared" si="87"/>
        <v>0</v>
      </c>
      <c r="V326" s="3">
        <v>0</v>
      </c>
    </row>
    <row r="327" spans="21:22" hidden="1">
      <c r="U327" s="93">
        <f t="shared" si="87"/>
        <v>0</v>
      </c>
      <c r="V327" s="3">
        <v>0</v>
      </c>
    </row>
    <row r="328" spans="21:22" hidden="1">
      <c r="U328" s="93">
        <f t="shared" si="87"/>
        <v>0</v>
      </c>
      <c r="V328" s="3">
        <v>0</v>
      </c>
    </row>
    <row r="329" spans="21:22" hidden="1">
      <c r="U329" s="93">
        <f t="shared" ref="U329:U392" si="88">IF(NOT(ISBLANK(C329)), 1, 0)</f>
        <v>0</v>
      </c>
      <c r="V329" s="3">
        <v>0</v>
      </c>
    </row>
    <row r="330" spans="21:22" hidden="1">
      <c r="U330" s="93">
        <f t="shared" si="88"/>
        <v>0</v>
      </c>
      <c r="V330" s="3">
        <v>0</v>
      </c>
    </row>
    <row r="331" spans="21:22" hidden="1">
      <c r="U331" s="93">
        <f t="shared" si="88"/>
        <v>0</v>
      </c>
      <c r="V331" s="3">
        <v>0</v>
      </c>
    </row>
    <row r="332" spans="21:22" hidden="1">
      <c r="U332" s="93">
        <f t="shared" si="88"/>
        <v>0</v>
      </c>
      <c r="V332" s="3">
        <v>0</v>
      </c>
    </row>
    <row r="333" spans="21:22" hidden="1">
      <c r="U333" s="93">
        <f t="shared" si="88"/>
        <v>0</v>
      </c>
      <c r="V333" s="3">
        <v>0</v>
      </c>
    </row>
    <row r="334" spans="21:22" hidden="1">
      <c r="U334" s="93">
        <f t="shared" si="88"/>
        <v>0</v>
      </c>
      <c r="V334" s="3">
        <v>0</v>
      </c>
    </row>
    <row r="335" spans="21:22" hidden="1">
      <c r="U335" s="93">
        <f t="shared" si="88"/>
        <v>0</v>
      </c>
      <c r="V335" s="3">
        <v>0</v>
      </c>
    </row>
    <row r="336" spans="21:22" hidden="1">
      <c r="U336" s="93">
        <f t="shared" si="88"/>
        <v>0</v>
      </c>
      <c r="V336" s="3">
        <v>0</v>
      </c>
    </row>
    <row r="337" spans="21:22" hidden="1">
      <c r="U337" s="93">
        <f t="shared" si="88"/>
        <v>0</v>
      </c>
      <c r="V337" s="3">
        <v>0</v>
      </c>
    </row>
    <row r="338" spans="21:22" hidden="1">
      <c r="U338" s="93">
        <f t="shared" si="88"/>
        <v>0</v>
      </c>
      <c r="V338" s="3">
        <v>0</v>
      </c>
    </row>
    <row r="339" spans="21:22" hidden="1">
      <c r="U339" s="93">
        <f t="shared" si="88"/>
        <v>0</v>
      </c>
      <c r="V339" s="3">
        <v>0</v>
      </c>
    </row>
    <row r="340" spans="21:22" hidden="1">
      <c r="U340" s="93">
        <f t="shared" si="88"/>
        <v>0</v>
      </c>
      <c r="V340" s="3">
        <v>0</v>
      </c>
    </row>
    <row r="341" spans="21:22" hidden="1">
      <c r="U341" s="93">
        <f t="shared" si="88"/>
        <v>0</v>
      </c>
      <c r="V341" s="3">
        <v>0</v>
      </c>
    </row>
    <row r="342" spans="21:22" hidden="1">
      <c r="U342" s="93">
        <f t="shared" si="88"/>
        <v>0</v>
      </c>
      <c r="V342" s="3">
        <v>0</v>
      </c>
    </row>
    <row r="343" spans="21:22" hidden="1">
      <c r="U343" s="93">
        <f t="shared" si="88"/>
        <v>0</v>
      </c>
      <c r="V343" s="3">
        <v>0</v>
      </c>
    </row>
    <row r="344" spans="21:22" hidden="1">
      <c r="U344" s="93">
        <f t="shared" si="88"/>
        <v>0</v>
      </c>
      <c r="V344" s="3">
        <v>0</v>
      </c>
    </row>
    <row r="345" spans="21:22" hidden="1">
      <c r="U345" s="93">
        <f t="shared" si="88"/>
        <v>0</v>
      </c>
      <c r="V345" s="3">
        <v>0</v>
      </c>
    </row>
    <row r="346" spans="21:22" hidden="1">
      <c r="U346" s="93">
        <f t="shared" si="88"/>
        <v>0</v>
      </c>
      <c r="V346" s="3">
        <v>0</v>
      </c>
    </row>
    <row r="347" spans="21:22" hidden="1">
      <c r="U347" s="93">
        <f t="shared" si="88"/>
        <v>0</v>
      </c>
      <c r="V347" s="3">
        <v>0</v>
      </c>
    </row>
    <row r="348" spans="21:22" hidden="1">
      <c r="U348" s="93">
        <f t="shared" si="88"/>
        <v>0</v>
      </c>
      <c r="V348" s="3">
        <v>0</v>
      </c>
    </row>
    <row r="349" spans="21:22" hidden="1">
      <c r="U349" s="93">
        <f t="shared" si="88"/>
        <v>0</v>
      </c>
      <c r="V349" s="3">
        <v>0</v>
      </c>
    </row>
    <row r="350" spans="21:22" hidden="1">
      <c r="U350" s="93">
        <f t="shared" si="88"/>
        <v>0</v>
      </c>
      <c r="V350" s="3">
        <v>0</v>
      </c>
    </row>
    <row r="351" spans="21:22" hidden="1">
      <c r="U351" s="93">
        <f t="shared" si="88"/>
        <v>0</v>
      </c>
      <c r="V351" s="3">
        <v>0</v>
      </c>
    </row>
    <row r="352" spans="21:22" hidden="1">
      <c r="U352" s="93">
        <f t="shared" si="88"/>
        <v>0</v>
      </c>
      <c r="V352" s="3">
        <v>0</v>
      </c>
    </row>
    <row r="353" spans="21:22" hidden="1">
      <c r="U353" s="93">
        <f t="shared" si="88"/>
        <v>0</v>
      </c>
      <c r="V353" s="3">
        <v>0</v>
      </c>
    </row>
    <row r="354" spans="21:22" hidden="1">
      <c r="U354" s="93">
        <f t="shared" si="88"/>
        <v>0</v>
      </c>
      <c r="V354" s="3">
        <v>0</v>
      </c>
    </row>
    <row r="355" spans="21:22" hidden="1">
      <c r="U355" s="93">
        <f t="shared" si="88"/>
        <v>0</v>
      </c>
      <c r="V355" s="3">
        <v>0</v>
      </c>
    </row>
    <row r="356" spans="21:22" hidden="1">
      <c r="U356" s="93">
        <f t="shared" si="88"/>
        <v>0</v>
      </c>
      <c r="V356" s="3">
        <v>0</v>
      </c>
    </row>
    <row r="357" spans="21:22" hidden="1">
      <c r="U357" s="93">
        <f t="shared" si="88"/>
        <v>0</v>
      </c>
      <c r="V357" s="3">
        <v>0</v>
      </c>
    </row>
    <row r="358" spans="21:22" hidden="1">
      <c r="U358" s="93">
        <f t="shared" si="88"/>
        <v>0</v>
      </c>
      <c r="V358" s="3">
        <v>0</v>
      </c>
    </row>
    <row r="359" spans="21:22" hidden="1">
      <c r="U359" s="93">
        <f t="shared" si="88"/>
        <v>0</v>
      </c>
      <c r="V359" s="3">
        <v>0</v>
      </c>
    </row>
    <row r="360" spans="21:22" hidden="1">
      <c r="U360" s="93">
        <f t="shared" si="88"/>
        <v>0</v>
      </c>
      <c r="V360" s="3">
        <v>0</v>
      </c>
    </row>
    <row r="361" spans="21:22" hidden="1">
      <c r="U361" s="93">
        <f t="shared" si="88"/>
        <v>0</v>
      </c>
      <c r="V361" s="3">
        <v>0</v>
      </c>
    </row>
    <row r="362" spans="21:22" hidden="1">
      <c r="U362" s="93">
        <f t="shared" si="88"/>
        <v>0</v>
      </c>
      <c r="V362" s="3">
        <v>0</v>
      </c>
    </row>
    <row r="363" spans="21:22" hidden="1">
      <c r="U363" s="93">
        <f t="shared" si="88"/>
        <v>0</v>
      </c>
      <c r="V363" s="3">
        <v>0</v>
      </c>
    </row>
    <row r="364" spans="21:22" hidden="1">
      <c r="U364" s="93">
        <f t="shared" si="88"/>
        <v>0</v>
      </c>
      <c r="V364" s="3">
        <v>0</v>
      </c>
    </row>
    <row r="365" spans="21:22" hidden="1">
      <c r="U365" s="93">
        <f t="shared" si="88"/>
        <v>0</v>
      </c>
      <c r="V365" s="3">
        <v>0</v>
      </c>
    </row>
    <row r="366" spans="21:22" hidden="1">
      <c r="U366" s="93">
        <f t="shared" si="88"/>
        <v>0</v>
      </c>
      <c r="V366" s="3">
        <v>0</v>
      </c>
    </row>
    <row r="367" spans="21:22" hidden="1">
      <c r="U367" s="93">
        <f t="shared" si="88"/>
        <v>0</v>
      </c>
      <c r="V367" s="3">
        <v>0</v>
      </c>
    </row>
    <row r="368" spans="21:22" hidden="1">
      <c r="U368" s="93">
        <f t="shared" si="88"/>
        <v>0</v>
      </c>
      <c r="V368" s="3">
        <v>0</v>
      </c>
    </row>
    <row r="369" spans="21:22" hidden="1">
      <c r="U369" s="93">
        <f t="shared" si="88"/>
        <v>0</v>
      </c>
      <c r="V369" s="3">
        <v>0</v>
      </c>
    </row>
    <row r="370" spans="21:22" hidden="1">
      <c r="U370" s="93">
        <f t="shared" si="88"/>
        <v>0</v>
      </c>
      <c r="V370" s="3">
        <v>0</v>
      </c>
    </row>
    <row r="371" spans="21:22" hidden="1">
      <c r="U371" s="93">
        <f t="shared" si="88"/>
        <v>0</v>
      </c>
      <c r="V371" s="3">
        <v>0</v>
      </c>
    </row>
    <row r="372" spans="21:22" hidden="1">
      <c r="U372" s="93">
        <f t="shared" si="88"/>
        <v>0</v>
      </c>
      <c r="V372" s="3">
        <v>0</v>
      </c>
    </row>
    <row r="373" spans="21:22" hidden="1">
      <c r="U373" s="93">
        <f t="shared" si="88"/>
        <v>0</v>
      </c>
      <c r="V373" s="3">
        <v>0</v>
      </c>
    </row>
    <row r="374" spans="21:22" hidden="1">
      <c r="U374" s="93">
        <f t="shared" si="88"/>
        <v>0</v>
      </c>
      <c r="V374" s="3">
        <v>0</v>
      </c>
    </row>
    <row r="375" spans="21:22" hidden="1">
      <c r="U375" s="93">
        <f t="shared" si="88"/>
        <v>0</v>
      </c>
      <c r="V375" s="3">
        <v>0</v>
      </c>
    </row>
    <row r="376" spans="21:22" hidden="1">
      <c r="U376" s="93">
        <f t="shared" si="88"/>
        <v>0</v>
      </c>
      <c r="V376" s="3">
        <v>0</v>
      </c>
    </row>
    <row r="377" spans="21:22" hidden="1">
      <c r="U377" s="93">
        <f t="shared" si="88"/>
        <v>0</v>
      </c>
      <c r="V377" s="3">
        <v>0</v>
      </c>
    </row>
    <row r="378" spans="21:22" hidden="1">
      <c r="U378" s="93">
        <f t="shared" si="88"/>
        <v>0</v>
      </c>
      <c r="V378" s="3">
        <v>0</v>
      </c>
    </row>
    <row r="379" spans="21:22" hidden="1">
      <c r="U379" s="93">
        <f t="shared" si="88"/>
        <v>0</v>
      </c>
      <c r="V379" s="3">
        <v>0</v>
      </c>
    </row>
    <row r="380" spans="21:22" hidden="1">
      <c r="U380" s="93">
        <f t="shared" si="88"/>
        <v>0</v>
      </c>
      <c r="V380" s="3">
        <v>0</v>
      </c>
    </row>
    <row r="381" spans="21:22" hidden="1">
      <c r="U381" s="93">
        <f t="shared" si="88"/>
        <v>0</v>
      </c>
      <c r="V381" s="3">
        <v>0</v>
      </c>
    </row>
    <row r="382" spans="21:22" hidden="1">
      <c r="U382" s="93">
        <f t="shared" si="88"/>
        <v>0</v>
      </c>
      <c r="V382" s="3">
        <v>0</v>
      </c>
    </row>
    <row r="383" spans="21:22" hidden="1">
      <c r="U383" s="93">
        <f t="shared" si="88"/>
        <v>0</v>
      </c>
      <c r="V383" s="3">
        <v>0</v>
      </c>
    </row>
    <row r="384" spans="21:22" hidden="1">
      <c r="U384" s="93">
        <f t="shared" si="88"/>
        <v>0</v>
      </c>
      <c r="V384" s="3">
        <v>0</v>
      </c>
    </row>
    <row r="385" spans="21:22" hidden="1">
      <c r="U385" s="93">
        <f t="shared" si="88"/>
        <v>0</v>
      </c>
      <c r="V385" s="3">
        <v>0</v>
      </c>
    </row>
    <row r="386" spans="21:22" hidden="1">
      <c r="U386" s="93">
        <f t="shared" si="88"/>
        <v>0</v>
      </c>
      <c r="V386" s="3">
        <v>0</v>
      </c>
    </row>
    <row r="387" spans="21:22" hidden="1">
      <c r="U387" s="93">
        <f t="shared" si="88"/>
        <v>0</v>
      </c>
      <c r="V387" s="3">
        <v>0</v>
      </c>
    </row>
    <row r="388" spans="21:22" hidden="1">
      <c r="U388" s="93">
        <f t="shared" si="88"/>
        <v>0</v>
      </c>
      <c r="V388" s="3">
        <v>0</v>
      </c>
    </row>
    <row r="389" spans="21:22" hidden="1">
      <c r="U389" s="93">
        <f t="shared" si="88"/>
        <v>0</v>
      </c>
      <c r="V389" s="3">
        <v>0</v>
      </c>
    </row>
    <row r="390" spans="21:22" hidden="1">
      <c r="U390" s="93">
        <f t="shared" si="88"/>
        <v>0</v>
      </c>
      <c r="V390" s="3">
        <v>0</v>
      </c>
    </row>
    <row r="391" spans="21:22" hidden="1">
      <c r="U391" s="93">
        <f t="shared" si="88"/>
        <v>0</v>
      </c>
      <c r="V391" s="3">
        <v>0</v>
      </c>
    </row>
    <row r="392" spans="21:22" hidden="1">
      <c r="U392" s="93">
        <f t="shared" si="88"/>
        <v>0</v>
      </c>
      <c r="V392" s="3">
        <v>0</v>
      </c>
    </row>
    <row r="393" spans="21:22" hidden="1">
      <c r="U393" s="93">
        <f t="shared" ref="U393:U456" si="89">IF(NOT(ISBLANK(C393)), 1, 0)</f>
        <v>0</v>
      </c>
      <c r="V393" s="3">
        <v>0</v>
      </c>
    </row>
    <row r="394" spans="21:22" hidden="1">
      <c r="U394" s="93">
        <f t="shared" si="89"/>
        <v>0</v>
      </c>
      <c r="V394" s="3">
        <v>0</v>
      </c>
    </row>
    <row r="395" spans="21:22" hidden="1">
      <c r="U395" s="93">
        <f t="shared" si="89"/>
        <v>0</v>
      </c>
      <c r="V395" s="3">
        <v>0</v>
      </c>
    </row>
    <row r="396" spans="21:22" hidden="1">
      <c r="U396" s="93">
        <f t="shared" si="89"/>
        <v>0</v>
      </c>
      <c r="V396" s="3">
        <v>0</v>
      </c>
    </row>
    <row r="397" spans="21:22" hidden="1">
      <c r="U397" s="93">
        <f t="shared" si="89"/>
        <v>0</v>
      </c>
      <c r="V397" s="3">
        <v>0</v>
      </c>
    </row>
    <row r="398" spans="21:22" hidden="1">
      <c r="U398" s="93">
        <f t="shared" si="89"/>
        <v>0</v>
      </c>
      <c r="V398" s="3">
        <v>0</v>
      </c>
    </row>
    <row r="399" spans="21:22" hidden="1">
      <c r="U399" s="93">
        <f t="shared" si="89"/>
        <v>0</v>
      </c>
      <c r="V399" s="3">
        <v>0</v>
      </c>
    </row>
    <row r="400" spans="21:22" hidden="1">
      <c r="U400" s="93">
        <f t="shared" si="89"/>
        <v>0</v>
      </c>
      <c r="V400" s="3">
        <v>0</v>
      </c>
    </row>
    <row r="401" spans="21:22" hidden="1">
      <c r="U401" s="93">
        <f t="shared" si="89"/>
        <v>0</v>
      </c>
      <c r="V401" s="3">
        <v>0</v>
      </c>
    </row>
    <row r="402" spans="21:22" hidden="1">
      <c r="U402" s="93">
        <f t="shared" si="89"/>
        <v>0</v>
      </c>
      <c r="V402" s="3">
        <v>0</v>
      </c>
    </row>
    <row r="403" spans="21:22" hidden="1">
      <c r="U403" s="93">
        <f t="shared" si="89"/>
        <v>0</v>
      </c>
      <c r="V403" s="3">
        <v>0</v>
      </c>
    </row>
    <row r="404" spans="21:22" hidden="1">
      <c r="U404" s="93">
        <f t="shared" si="89"/>
        <v>0</v>
      </c>
      <c r="V404" s="3">
        <v>0</v>
      </c>
    </row>
    <row r="405" spans="21:22" hidden="1">
      <c r="U405" s="93">
        <f t="shared" si="89"/>
        <v>0</v>
      </c>
      <c r="V405" s="3">
        <v>0</v>
      </c>
    </row>
    <row r="406" spans="21:22" hidden="1">
      <c r="U406" s="93">
        <f t="shared" si="89"/>
        <v>0</v>
      </c>
      <c r="V406" s="3">
        <v>0</v>
      </c>
    </row>
    <row r="407" spans="21:22" hidden="1">
      <c r="U407" s="93">
        <f t="shared" si="89"/>
        <v>0</v>
      </c>
      <c r="V407" s="3">
        <v>0</v>
      </c>
    </row>
    <row r="408" spans="21:22" hidden="1">
      <c r="U408" s="93">
        <f t="shared" si="89"/>
        <v>0</v>
      </c>
      <c r="V408" s="3">
        <v>0</v>
      </c>
    </row>
    <row r="409" spans="21:22" hidden="1">
      <c r="U409" s="93">
        <f t="shared" si="89"/>
        <v>0</v>
      </c>
      <c r="V409" s="3">
        <v>0</v>
      </c>
    </row>
    <row r="410" spans="21:22" hidden="1">
      <c r="U410" s="93">
        <f t="shared" si="89"/>
        <v>0</v>
      </c>
      <c r="V410" s="3">
        <v>0</v>
      </c>
    </row>
    <row r="411" spans="21:22" hidden="1">
      <c r="U411" s="93">
        <f t="shared" si="89"/>
        <v>0</v>
      </c>
      <c r="V411" s="3">
        <v>0</v>
      </c>
    </row>
    <row r="412" spans="21:22" hidden="1">
      <c r="U412" s="93">
        <f t="shared" si="89"/>
        <v>0</v>
      </c>
      <c r="V412" s="3">
        <v>0</v>
      </c>
    </row>
    <row r="413" spans="21:22" hidden="1">
      <c r="U413" s="93">
        <f t="shared" si="89"/>
        <v>0</v>
      </c>
      <c r="V413" s="3">
        <v>0</v>
      </c>
    </row>
    <row r="414" spans="21:22" hidden="1">
      <c r="U414" s="93">
        <f t="shared" si="89"/>
        <v>0</v>
      </c>
      <c r="V414" s="3">
        <v>0</v>
      </c>
    </row>
    <row r="415" spans="21:22" hidden="1">
      <c r="U415" s="93">
        <f t="shared" si="89"/>
        <v>0</v>
      </c>
      <c r="V415" s="3">
        <v>0</v>
      </c>
    </row>
    <row r="416" spans="21:22" hidden="1">
      <c r="U416" s="93">
        <f t="shared" si="89"/>
        <v>0</v>
      </c>
      <c r="V416" s="3">
        <v>0</v>
      </c>
    </row>
    <row r="417" spans="21:22" hidden="1">
      <c r="U417" s="93">
        <f t="shared" si="89"/>
        <v>0</v>
      </c>
      <c r="V417" s="3">
        <v>0</v>
      </c>
    </row>
    <row r="418" spans="21:22" hidden="1">
      <c r="U418" s="93">
        <f t="shared" si="89"/>
        <v>0</v>
      </c>
      <c r="V418" s="3">
        <v>0</v>
      </c>
    </row>
    <row r="419" spans="21:22" hidden="1">
      <c r="U419" s="93">
        <f t="shared" si="89"/>
        <v>0</v>
      </c>
      <c r="V419" s="3">
        <v>0</v>
      </c>
    </row>
    <row r="420" spans="21:22" hidden="1">
      <c r="U420" s="93">
        <f t="shared" si="89"/>
        <v>0</v>
      </c>
      <c r="V420" s="3">
        <v>0</v>
      </c>
    </row>
    <row r="421" spans="21:22" hidden="1">
      <c r="U421" s="93">
        <f t="shared" si="89"/>
        <v>0</v>
      </c>
      <c r="V421" s="3">
        <v>0</v>
      </c>
    </row>
    <row r="422" spans="21:22" hidden="1">
      <c r="U422" s="93">
        <f t="shared" si="89"/>
        <v>0</v>
      </c>
      <c r="V422" s="3">
        <v>0</v>
      </c>
    </row>
    <row r="423" spans="21:22" hidden="1">
      <c r="U423" s="93">
        <f t="shared" si="89"/>
        <v>0</v>
      </c>
      <c r="V423" s="3">
        <v>0</v>
      </c>
    </row>
    <row r="424" spans="21:22" hidden="1">
      <c r="U424" s="93">
        <f t="shared" si="89"/>
        <v>0</v>
      </c>
      <c r="V424" s="3">
        <v>0</v>
      </c>
    </row>
    <row r="425" spans="21:22" hidden="1">
      <c r="U425" s="93">
        <f t="shared" si="89"/>
        <v>0</v>
      </c>
      <c r="V425" s="3">
        <v>0</v>
      </c>
    </row>
    <row r="426" spans="21:22" hidden="1">
      <c r="U426" s="93">
        <f t="shared" si="89"/>
        <v>0</v>
      </c>
      <c r="V426" s="3">
        <v>0</v>
      </c>
    </row>
    <row r="427" spans="21:22" hidden="1">
      <c r="U427" s="93">
        <f t="shared" si="89"/>
        <v>0</v>
      </c>
      <c r="V427" s="3">
        <v>0</v>
      </c>
    </row>
    <row r="428" spans="21:22" hidden="1">
      <c r="U428" s="93">
        <f t="shared" si="89"/>
        <v>0</v>
      </c>
      <c r="V428" s="3">
        <v>0</v>
      </c>
    </row>
    <row r="429" spans="21:22" hidden="1">
      <c r="U429" s="93">
        <f t="shared" si="89"/>
        <v>0</v>
      </c>
      <c r="V429" s="3">
        <v>0</v>
      </c>
    </row>
    <row r="430" spans="21:22" hidden="1">
      <c r="U430" s="93">
        <f t="shared" si="89"/>
        <v>0</v>
      </c>
      <c r="V430" s="3">
        <v>0</v>
      </c>
    </row>
    <row r="431" spans="21:22" ht="7.5" hidden="1" customHeight="1">
      <c r="U431" s="93">
        <f t="shared" si="89"/>
        <v>0</v>
      </c>
      <c r="V431" s="3">
        <v>0</v>
      </c>
    </row>
    <row r="432" spans="21:22" ht="13.5" hidden="1" customHeight="1">
      <c r="U432" s="93">
        <f t="shared" si="89"/>
        <v>0</v>
      </c>
      <c r="V432" s="3">
        <v>0</v>
      </c>
    </row>
    <row r="433" spans="21:22" hidden="1">
      <c r="U433" s="93">
        <f t="shared" si="89"/>
        <v>0</v>
      </c>
      <c r="V433" s="3">
        <v>0</v>
      </c>
    </row>
    <row r="434" spans="21:22" hidden="1">
      <c r="U434" s="93">
        <f t="shared" si="89"/>
        <v>0</v>
      </c>
      <c r="V434" s="3">
        <v>0</v>
      </c>
    </row>
    <row r="435" spans="21:22" hidden="1">
      <c r="U435" s="93">
        <f t="shared" si="89"/>
        <v>0</v>
      </c>
      <c r="V435" s="3">
        <v>0</v>
      </c>
    </row>
    <row r="436" spans="21:22" hidden="1">
      <c r="U436" s="93">
        <f t="shared" si="89"/>
        <v>0</v>
      </c>
      <c r="V436" s="3">
        <v>0</v>
      </c>
    </row>
    <row r="437" spans="21:22" hidden="1">
      <c r="U437" s="93">
        <f t="shared" si="89"/>
        <v>0</v>
      </c>
      <c r="V437" s="3">
        <v>0</v>
      </c>
    </row>
    <row r="438" spans="21:22" hidden="1">
      <c r="U438" s="93">
        <f t="shared" si="89"/>
        <v>0</v>
      </c>
      <c r="V438" s="3">
        <v>0</v>
      </c>
    </row>
    <row r="439" spans="21:22" hidden="1">
      <c r="U439" s="93">
        <f t="shared" si="89"/>
        <v>0</v>
      </c>
      <c r="V439" s="3">
        <v>0</v>
      </c>
    </row>
    <row r="440" spans="21:22" hidden="1">
      <c r="U440" s="93">
        <f t="shared" si="89"/>
        <v>0</v>
      </c>
      <c r="V440" s="3">
        <v>0</v>
      </c>
    </row>
    <row r="441" spans="21:22" hidden="1">
      <c r="U441" s="93">
        <f t="shared" si="89"/>
        <v>0</v>
      </c>
      <c r="V441" s="3">
        <v>0</v>
      </c>
    </row>
    <row r="442" spans="21:22" hidden="1">
      <c r="U442" s="93">
        <f t="shared" si="89"/>
        <v>0</v>
      </c>
      <c r="V442" s="3">
        <v>0</v>
      </c>
    </row>
    <row r="443" spans="21:22" hidden="1">
      <c r="U443" s="93">
        <f t="shared" si="89"/>
        <v>0</v>
      </c>
      <c r="V443" s="3">
        <v>0</v>
      </c>
    </row>
    <row r="444" spans="21:22" hidden="1">
      <c r="U444" s="93">
        <f t="shared" si="89"/>
        <v>0</v>
      </c>
      <c r="V444" s="3">
        <v>0</v>
      </c>
    </row>
    <row r="445" spans="21:22" hidden="1">
      <c r="U445" s="93">
        <f t="shared" si="89"/>
        <v>0</v>
      </c>
      <c r="V445" s="3">
        <v>0</v>
      </c>
    </row>
    <row r="446" spans="21:22" hidden="1">
      <c r="U446" s="93">
        <f t="shared" si="89"/>
        <v>0</v>
      </c>
      <c r="V446" s="3">
        <v>0</v>
      </c>
    </row>
    <row r="447" spans="21:22" hidden="1">
      <c r="U447" s="93">
        <f t="shared" si="89"/>
        <v>0</v>
      </c>
      <c r="V447" s="3">
        <v>0</v>
      </c>
    </row>
    <row r="448" spans="21:22" hidden="1">
      <c r="U448" s="93">
        <f t="shared" si="89"/>
        <v>0</v>
      </c>
      <c r="V448" s="3">
        <v>0</v>
      </c>
    </row>
    <row r="449" spans="21:22" hidden="1">
      <c r="U449" s="93">
        <f t="shared" si="89"/>
        <v>0</v>
      </c>
      <c r="V449" s="3">
        <v>0</v>
      </c>
    </row>
    <row r="450" spans="21:22" hidden="1">
      <c r="U450" s="93">
        <f t="shared" si="89"/>
        <v>0</v>
      </c>
      <c r="V450" s="3">
        <v>0</v>
      </c>
    </row>
    <row r="451" spans="21:22" hidden="1">
      <c r="U451" s="93">
        <f t="shared" si="89"/>
        <v>0</v>
      </c>
      <c r="V451" s="3">
        <v>0</v>
      </c>
    </row>
    <row r="452" spans="21:22" hidden="1">
      <c r="U452" s="93">
        <f t="shared" si="89"/>
        <v>0</v>
      </c>
      <c r="V452" s="3">
        <v>0</v>
      </c>
    </row>
    <row r="453" spans="21:22" hidden="1">
      <c r="U453" s="93">
        <f t="shared" si="89"/>
        <v>0</v>
      </c>
      <c r="V453" s="3">
        <v>0</v>
      </c>
    </row>
    <row r="454" spans="21:22" hidden="1">
      <c r="U454" s="93">
        <f t="shared" si="89"/>
        <v>0</v>
      </c>
      <c r="V454" s="3">
        <v>0</v>
      </c>
    </row>
    <row r="455" spans="21:22" hidden="1">
      <c r="U455" s="93">
        <f t="shared" si="89"/>
        <v>0</v>
      </c>
      <c r="V455" s="3">
        <v>0</v>
      </c>
    </row>
    <row r="456" spans="21:22" hidden="1">
      <c r="U456" s="93">
        <f t="shared" si="89"/>
        <v>0</v>
      </c>
      <c r="V456" s="3">
        <v>0</v>
      </c>
    </row>
    <row r="457" spans="21:22" hidden="1">
      <c r="U457" s="93">
        <f t="shared" ref="U457:U470" si="90">IF(NOT(ISBLANK(C457)), 1, 0)</f>
        <v>0</v>
      </c>
      <c r="V457" s="3">
        <v>0</v>
      </c>
    </row>
    <row r="458" spans="21:22" hidden="1">
      <c r="U458" s="93">
        <f t="shared" si="90"/>
        <v>0</v>
      </c>
      <c r="V458" s="3">
        <v>0</v>
      </c>
    </row>
    <row r="459" spans="21:22" hidden="1">
      <c r="U459" s="93">
        <f t="shared" si="90"/>
        <v>0</v>
      </c>
      <c r="V459" s="3">
        <v>0</v>
      </c>
    </row>
    <row r="460" spans="21:22" hidden="1">
      <c r="U460" s="93">
        <f t="shared" si="90"/>
        <v>0</v>
      </c>
      <c r="V460" s="3">
        <v>0</v>
      </c>
    </row>
    <row r="461" spans="21:22" hidden="1">
      <c r="U461" s="93">
        <f t="shared" si="90"/>
        <v>0</v>
      </c>
      <c r="V461" s="3">
        <v>0</v>
      </c>
    </row>
    <row r="462" spans="21:22" hidden="1">
      <c r="U462" s="93">
        <f t="shared" si="90"/>
        <v>0</v>
      </c>
      <c r="V462" s="3">
        <v>0</v>
      </c>
    </row>
    <row r="463" spans="21:22" hidden="1">
      <c r="U463" s="93">
        <f t="shared" si="90"/>
        <v>0</v>
      </c>
      <c r="V463" s="3">
        <v>0</v>
      </c>
    </row>
    <row r="464" spans="21:22" hidden="1">
      <c r="U464" s="93">
        <f t="shared" si="90"/>
        <v>0</v>
      </c>
      <c r="V464" s="3">
        <v>0</v>
      </c>
    </row>
    <row r="465" spans="21:22" hidden="1">
      <c r="U465" s="93">
        <f t="shared" si="90"/>
        <v>0</v>
      </c>
      <c r="V465" s="3">
        <v>0</v>
      </c>
    </row>
    <row r="466" spans="21:22" hidden="1">
      <c r="U466" s="93">
        <f t="shared" si="90"/>
        <v>0</v>
      </c>
      <c r="V466" s="3">
        <v>0</v>
      </c>
    </row>
    <row r="467" spans="21:22" hidden="1">
      <c r="U467" s="93">
        <f t="shared" si="90"/>
        <v>0</v>
      </c>
      <c r="V467" s="3">
        <v>0</v>
      </c>
    </row>
    <row r="468" spans="21:22" hidden="1">
      <c r="U468" s="93">
        <f t="shared" si="90"/>
        <v>0</v>
      </c>
      <c r="V468" s="3">
        <v>0</v>
      </c>
    </row>
    <row r="469" spans="21:22" hidden="1">
      <c r="U469" s="93">
        <f t="shared" si="90"/>
        <v>0</v>
      </c>
      <c r="V469" s="3">
        <v>0</v>
      </c>
    </row>
    <row r="470" spans="21:22" hidden="1">
      <c r="U470" s="93">
        <f t="shared" si="90"/>
        <v>0</v>
      </c>
      <c r="V470" s="3">
        <v>0</v>
      </c>
    </row>
  </sheetData>
  <conditionalFormatting sqref="G105:G106 L195">
    <cfRule type="cellIs" dxfId="79" priority="116" stopIfTrue="1" operator="equal">
      <formula>#REF!</formula>
    </cfRule>
  </conditionalFormatting>
  <conditionalFormatting sqref="G5:K5 L71:S74 G74:S74 G81:S81 G87:S87 G89:P89 G90:S102 G106:S106 G113:S113">
    <cfRule type="cellIs" dxfId="78" priority="24" stopIfTrue="1" operator="equal">
      <formula>#REF!</formula>
    </cfRule>
  </conditionalFormatting>
  <conditionalFormatting sqref="G80:K80 G82:K84 R89:S89">
    <cfRule type="cellIs" dxfId="77" priority="111" stopIfTrue="1" operator="equal">
      <formula>#REF!</formula>
    </cfRule>
  </conditionalFormatting>
  <conditionalFormatting sqref="G90:K101">
    <cfRule type="cellIs" dxfId="76" priority="12" stopIfTrue="1" operator="equal">
      <formula>#REF!</formula>
    </cfRule>
  </conditionalFormatting>
  <conditionalFormatting sqref="G172:S172">
    <cfRule type="cellIs" dxfId="75" priority="30" stopIfTrue="1" operator="equal">
      <formula>#REF!</formula>
    </cfRule>
  </conditionalFormatting>
  <conditionalFormatting sqref="K7">
    <cfRule type="cellIs" dxfId="74" priority="23" stopIfTrue="1" operator="equal">
      <formula>#REF!</formula>
    </cfRule>
  </conditionalFormatting>
  <conditionalFormatting sqref="L5 L7 L57 L121 L194">
    <cfRule type="cellIs" dxfId="73" priority="117" stopIfTrue="1" operator="equal">
      <formula>#REF!</formula>
    </cfRule>
  </conditionalFormatting>
  <conditionalFormatting sqref="L60:S69">
    <cfRule type="cellIs" dxfId="72" priority="10" stopIfTrue="1" operator="equal">
      <formula>#REF!</formula>
    </cfRule>
  </conditionalFormatting>
  <conditionalFormatting sqref="L78:S78 L104:S104">
    <cfRule type="cellIs" dxfId="71" priority="88" stopIfTrue="1" operator="equal">
      <formula>#REF!</formula>
    </cfRule>
  </conditionalFormatting>
  <conditionalFormatting sqref="L90:S93">
    <cfRule type="cellIs" dxfId="70" priority="39" stopIfTrue="1" operator="equal">
      <formula>#REF!</formula>
    </cfRule>
  </conditionalFormatting>
  <conditionalFormatting sqref="L95:S97">
    <cfRule type="cellIs" dxfId="69" priority="113" stopIfTrue="1" operator="equal">
      <formula>#REF!</formula>
    </cfRule>
  </conditionalFormatting>
  <conditionalFormatting sqref="L101:S101">
    <cfRule type="cellIs" dxfId="68" priority="7" stopIfTrue="1" operator="equal">
      <formula>#REF!</formula>
    </cfRule>
  </conditionalFormatting>
  <conditionalFormatting sqref="L110:S111">
    <cfRule type="cellIs" dxfId="67" priority="8" stopIfTrue="1" operator="equal">
      <formula>#REF!</formula>
    </cfRule>
  </conditionalFormatting>
  <conditionalFormatting sqref="Q89:Q92">
    <cfRule type="cellIs" dxfId="66" priority="114" stopIfTrue="1" operator="equal">
      <formula>#REF!</formula>
    </cfRule>
  </conditionalFormatting>
  <conditionalFormatting sqref="U2:V2">
    <cfRule type="cellIs" dxfId="65" priority="115" operator="equal">
      <formula>"Check"</formula>
    </cfRule>
  </conditionalFormatting>
  <pageMargins left="0.74803149606299213" right="0.74803149606299213" top="0.98425196850393704" bottom="0.98425196850393704" header="0.51181102362204722" footer="0.51181102362204722"/>
  <pageSetup orientation="portrait" r:id="rId1"/>
  <headerFooter alignWithMargins="0">
    <oddFooter>&amp;LIB-Competition Preliminary Case &amp;RPage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86654A"/>
  </sheetPr>
  <dimension ref="A1:IY192"/>
  <sheetViews>
    <sheetView showGridLines="0" zoomScale="166" zoomScaleNormal="100" zoomScaleSheetLayoutView="55" workbookViewId="0">
      <pane xSplit="5" ySplit="7" topLeftCell="I8" activePane="bottomRight" state="frozen"/>
      <selection pane="topRight" activeCell="F21" sqref="F21"/>
      <selection pane="bottomLeft" activeCell="F21" sqref="F21"/>
      <selection pane="bottomRight" activeCell="L74" sqref="L74"/>
    </sheetView>
  </sheetViews>
  <sheetFormatPr baseColWidth="10" defaultColWidth="0" defaultRowHeight="13" zeroHeight="1"/>
  <cols>
    <col min="1" max="2" width="2.5" style="3" customWidth="1"/>
    <col min="3" max="3" width="36.5" style="3" customWidth="1"/>
    <col min="4" max="4" width="4.5" style="3" customWidth="1"/>
    <col min="5" max="5" width="8.5" style="3" customWidth="1"/>
    <col min="6" max="7" width="6.5" style="3" customWidth="1"/>
    <col min="8" max="18" width="7" style="3" customWidth="1"/>
    <col min="19" max="19" width="7.5" style="3" customWidth="1"/>
    <col min="20" max="20" width="3.5" style="2" customWidth="1"/>
    <col min="21" max="22" width="4.5" style="2" customWidth="1"/>
    <col min="23" max="23" width="3.5" style="2" customWidth="1"/>
    <col min="24" max="99" width="5.5" style="2" hidden="1" customWidth="1"/>
    <col min="100" max="258" width="5.5" style="3" hidden="1" customWidth="1"/>
    <col min="259" max="259" width="0" style="3" hidden="1" customWidth="1"/>
    <col min="260" max="16384" width="9.1640625" style="3" hidden="1"/>
  </cols>
  <sheetData>
    <row r="1" spans="1:258" s="26" customFormat="1">
      <c r="A1" s="36"/>
      <c r="B1" s="36" t="str">
        <f>'DCF - Assumptions'!$F$8&amp;" | Discounted Cash Flows - Capital Structure"</f>
        <v>Diageo PLC | Discounted Cash Flows - Capital Structure</v>
      </c>
      <c r="C1" s="35"/>
      <c r="U1" s="34" t="str">
        <f>IF(U5=V5,"OK","Check")</f>
        <v>Check</v>
      </c>
      <c r="V1" s="34" t="str">
        <f>IF(U6=V6,"OK","Check")</f>
        <v>OK</v>
      </c>
    </row>
    <row r="2" spans="1:258" ht="2.25" customHeight="1">
      <c r="A2" s="33"/>
      <c r="B2" s="33"/>
      <c r="C2" s="32"/>
      <c r="D2" s="32"/>
      <c r="E2" s="32"/>
      <c r="F2" s="32"/>
      <c r="G2" s="32"/>
      <c r="H2" s="32"/>
      <c r="I2" s="32"/>
      <c r="J2" s="32"/>
      <c r="K2" s="32"/>
      <c r="L2" s="32"/>
      <c r="M2" s="32"/>
      <c r="N2" s="32"/>
      <c r="O2" s="32"/>
      <c r="P2" s="32"/>
      <c r="Q2" s="32"/>
      <c r="R2" s="32"/>
      <c r="S2" s="32"/>
      <c r="T2" s="31"/>
      <c r="U2" s="30"/>
      <c r="V2" s="30"/>
      <c r="W2" s="30"/>
    </row>
    <row r="3" spans="1:258" s="28" customFormat="1" ht="3" customHeight="1">
      <c r="A3" s="29"/>
      <c r="B3" s="29"/>
      <c r="T3" s="27"/>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row>
    <row r="4" spans="1:258" ht="11.25" customHeight="1">
      <c r="A4" s="117"/>
      <c r="B4" s="117"/>
      <c r="T4" s="135"/>
    </row>
    <row r="5" spans="1:258">
      <c r="C5" s="926" t="s">
        <v>354</v>
      </c>
      <c r="D5" s="927"/>
      <c r="E5" s="927"/>
      <c r="F5" s="927"/>
      <c r="G5" s="927"/>
      <c r="H5" s="927"/>
      <c r="I5" s="927"/>
      <c r="J5" s="927"/>
      <c r="K5" s="927"/>
      <c r="L5" s="927"/>
      <c r="M5" s="927"/>
      <c r="N5" s="927"/>
      <c r="O5" s="927"/>
      <c r="P5" s="927"/>
      <c r="Q5" s="927"/>
      <c r="R5" s="927"/>
      <c r="S5" s="927"/>
      <c r="U5" s="93">
        <f>ROWS(C5:C164)</f>
        <v>160</v>
      </c>
      <c r="V5" s="24">
        <v>158</v>
      </c>
    </row>
    <row r="6" spans="1:258" s="2" customFormat="1" ht="13.5" customHeight="1">
      <c r="A6" s="3"/>
      <c r="B6" s="3"/>
      <c r="C6" s="3"/>
      <c r="D6" s="3"/>
      <c r="E6" s="3"/>
      <c r="F6" s="3"/>
      <c r="G6" s="3"/>
      <c r="H6" s="3"/>
      <c r="I6" s="3"/>
      <c r="J6" s="3"/>
      <c r="K6" s="3"/>
      <c r="L6" s="214" t="str">
        <f>'DCF - Assumptions'!$L$6</f>
        <v>Projected Fiscal Years Ending June 31</v>
      </c>
      <c r="M6" s="975"/>
      <c r="N6" s="975"/>
      <c r="O6" s="975"/>
      <c r="P6" s="975"/>
      <c r="Q6" s="975"/>
      <c r="R6" s="975"/>
      <c r="S6" s="975"/>
      <c r="U6" s="93">
        <f>SUM(U20:U164)</f>
        <v>115</v>
      </c>
      <c r="V6" s="24">
        <v>115</v>
      </c>
    </row>
    <row r="7" spans="1:258" s="2" customFormat="1" ht="13.5" customHeight="1" thickBot="1">
      <c r="A7" s="3"/>
      <c r="B7" s="3"/>
      <c r="C7" s="145"/>
      <c r="D7" s="85" t="str">
        <f>'DCF - Assumptions'!D7</f>
        <v>Unit</v>
      </c>
      <c r="E7" s="85" t="str">
        <f>'DCF - Assumptions'!E7</f>
        <v>Type</v>
      </c>
      <c r="F7" s="57"/>
      <c r="G7" s="85">
        <f>'DCF - Financials'!G8</f>
        <v>2019</v>
      </c>
      <c r="H7" s="85">
        <f>'DCF - Financials'!H8</f>
        <v>2020</v>
      </c>
      <c r="I7" s="85">
        <f>'DCF - Financials'!I8</f>
        <v>2021</v>
      </c>
      <c r="J7" s="85">
        <f>'DCF - Financials'!J8</f>
        <v>2022</v>
      </c>
      <c r="K7" s="85">
        <f>'DCF - Financials'!K8</f>
        <v>2023</v>
      </c>
      <c r="L7" s="85">
        <f>'DCF - Financials'!L8</f>
        <v>2024</v>
      </c>
      <c r="M7" s="85">
        <f>'DCF - Financials'!M8</f>
        <v>2025</v>
      </c>
      <c r="N7" s="85">
        <f>'DCF - Financials'!N8</f>
        <v>2026</v>
      </c>
      <c r="O7" s="85">
        <f>'DCF - Financials'!O8</f>
        <v>2027</v>
      </c>
      <c r="P7" s="85">
        <f>'DCF - Financials'!P8</f>
        <v>2028</v>
      </c>
      <c r="Q7" s="85">
        <f>'DCF - Financials'!Q8</f>
        <v>2029</v>
      </c>
      <c r="R7" s="85">
        <f>'DCF - Financials'!R8</f>
        <v>2030</v>
      </c>
      <c r="S7" s="85">
        <f>'DCF - Financials'!S8</f>
        <v>2031</v>
      </c>
      <c r="T7" s="23"/>
      <c r="U7" s="87"/>
      <c r="V7" s="24"/>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c r="IE7" s="23"/>
      <c r="IF7" s="23"/>
      <c r="IG7" s="23"/>
      <c r="IH7" s="23"/>
      <c r="II7" s="23"/>
      <c r="IJ7" s="23"/>
      <c r="IK7" s="23"/>
      <c r="IL7" s="23"/>
      <c r="IM7" s="23"/>
      <c r="IN7" s="23"/>
      <c r="IO7" s="23"/>
      <c r="IP7" s="23"/>
      <c r="IQ7" s="23"/>
      <c r="IR7" s="23"/>
      <c r="IS7" s="23"/>
      <c r="IT7" s="23"/>
      <c r="IU7" s="23"/>
      <c r="IV7" s="23"/>
      <c r="IW7" s="23"/>
      <c r="IX7" s="23"/>
    </row>
    <row r="8" spans="1:258" s="2" customFormat="1" ht="13.5" customHeight="1">
      <c r="A8" s="3"/>
      <c r="B8" s="3"/>
      <c r="C8" s="115" t="s">
        <v>355</v>
      </c>
      <c r="D8" s="23"/>
      <c r="E8" s="23"/>
      <c r="F8" s="3"/>
      <c r="G8" s="23"/>
      <c r="H8" s="23"/>
      <c r="I8" s="23"/>
      <c r="J8" s="23"/>
      <c r="K8" s="23"/>
      <c r="L8" s="23"/>
      <c r="M8" s="23"/>
      <c r="N8" s="23"/>
      <c r="O8" s="23"/>
      <c r="P8" s="23"/>
      <c r="Q8" s="23"/>
      <c r="R8" s="23"/>
      <c r="S8" s="23"/>
      <c r="T8" s="23"/>
      <c r="U8" s="93">
        <f t="shared" ref="U8:U71" si="0">IF(NOT(ISBLANK(C8)), 1, 0)</f>
        <v>1</v>
      </c>
      <c r="V8" s="24">
        <v>1</v>
      </c>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row>
    <row r="9" spans="1:258" ht="13.5" customHeight="1">
      <c r="A9" s="54"/>
      <c r="B9" s="54"/>
      <c r="C9" s="115" t="s">
        <v>356</v>
      </c>
      <c r="U9" s="93">
        <f t="shared" si="0"/>
        <v>1</v>
      </c>
      <c r="V9" s="24">
        <v>1</v>
      </c>
    </row>
    <row r="10" spans="1:258" ht="13.5" customHeight="1">
      <c r="A10" s="54"/>
      <c r="B10" s="54"/>
      <c r="C10" s="296" t="s">
        <v>357</v>
      </c>
      <c r="D10" s="96" t="s">
        <v>165</v>
      </c>
      <c r="E10" s="96" t="s">
        <v>134</v>
      </c>
      <c r="F10" s="96"/>
      <c r="G10" s="1028"/>
      <c r="H10" s="1035">
        <f>G13</f>
        <v>211</v>
      </c>
      <c r="I10" s="1035">
        <f t="shared" ref="I10:S10" si="1">H13</f>
        <v>170</v>
      </c>
      <c r="J10" s="1035">
        <f t="shared" si="1"/>
        <v>112</v>
      </c>
      <c r="K10" s="1035">
        <f t="shared" si="1"/>
        <v>74</v>
      </c>
      <c r="L10" s="1035">
        <f>K13</f>
        <v>36</v>
      </c>
      <c r="M10" s="1035">
        <f t="shared" si="1"/>
        <v>71.95</v>
      </c>
      <c r="N10" s="1035">
        <f t="shared" si="1"/>
        <v>124.25</v>
      </c>
      <c r="O10" s="1035">
        <f t="shared" si="1"/>
        <v>141.04750000000001</v>
      </c>
      <c r="P10" s="1035">
        <f t="shared" si="1"/>
        <v>158.66250000000002</v>
      </c>
      <c r="Q10" s="1035">
        <f t="shared" si="1"/>
        <v>174.502375</v>
      </c>
      <c r="R10" s="1035">
        <f t="shared" si="1"/>
        <v>190.38312499999998</v>
      </c>
      <c r="S10" s="1035">
        <f t="shared" si="1"/>
        <v>206.17511875000002</v>
      </c>
      <c r="U10" s="93">
        <f t="shared" si="0"/>
        <v>1</v>
      </c>
      <c r="V10" s="24">
        <v>1</v>
      </c>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row>
    <row r="11" spans="1:258" ht="13.5" customHeight="1">
      <c r="A11" s="54"/>
      <c r="B11" s="54"/>
      <c r="C11" s="81" t="s">
        <v>358</v>
      </c>
      <c r="D11" s="3" t="s">
        <v>165</v>
      </c>
      <c r="E11" s="3" t="s">
        <v>134</v>
      </c>
      <c r="G11" s="151"/>
      <c r="H11" s="1036">
        <f>MAX(H13-H10,0)</f>
        <v>0</v>
      </c>
      <c r="I11" s="1036">
        <f t="shared" ref="I11" si="2">MAX(I13-I10,0)</f>
        <v>0</v>
      </c>
      <c r="J11" s="1036">
        <f t="shared" ref="J11" si="3">MAX(J13-J10,0)</f>
        <v>0</v>
      </c>
      <c r="K11" s="1036">
        <f t="shared" ref="K11:P11" si="4">MAX(K13-K10,0)</f>
        <v>0</v>
      </c>
      <c r="L11" s="105">
        <f t="shared" si="4"/>
        <v>35.950000000000003</v>
      </c>
      <c r="M11" s="105">
        <f t="shared" si="4"/>
        <v>52.3</v>
      </c>
      <c r="N11" s="105">
        <f t="shared" si="4"/>
        <v>16.797500000000014</v>
      </c>
      <c r="O11" s="105">
        <f t="shared" si="4"/>
        <v>17.615000000000009</v>
      </c>
      <c r="P11" s="105">
        <f t="shared" si="4"/>
        <v>15.839874999999978</v>
      </c>
      <c r="Q11" s="105">
        <f t="shared" ref="Q11" si="5">MAX(Q13-Q10,0)</f>
        <v>15.880749999999978</v>
      </c>
      <c r="R11" s="105">
        <f t="shared" ref="R11" si="6">MAX(R13-R10,0)</f>
        <v>15.791993750000046</v>
      </c>
      <c r="S11" s="105">
        <f t="shared" ref="S11" si="7">MAX(S13-S10,0)</f>
        <v>15.794037499999945</v>
      </c>
      <c r="U11" s="93">
        <f t="shared" si="0"/>
        <v>1</v>
      </c>
      <c r="V11" s="24">
        <v>1</v>
      </c>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row>
    <row r="12" spans="1:258" ht="13.5" customHeight="1">
      <c r="A12" s="54"/>
      <c r="B12" s="54"/>
      <c r="C12" s="81" t="s">
        <v>359</v>
      </c>
      <c r="D12" s="175" t="s">
        <v>165</v>
      </c>
      <c r="E12" s="175" t="s">
        <v>134</v>
      </c>
      <c r="G12" s="1037"/>
      <c r="H12" s="1036">
        <f>MIN(H13-H10,0)</f>
        <v>-41</v>
      </c>
      <c r="I12" s="1036">
        <f t="shared" ref="I12" si="8">MIN(I13-I10,0)</f>
        <v>-58</v>
      </c>
      <c r="J12" s="1036">
        <f t="shared" ref="J12" si="9">MIN(J13-J10,0)</f>
        <v>-38</v>
      </c>
      <c r="K12" s="1036">
        <f t="shared" ref="K12" si="10">MIN(K13-K10,0)</f>
        <v>-38</v>
      </c>
      <c r="L12" s="1071">
        <f>MIN(L13-L10,0)</f>
        <v>0</v>
      </c>
      <c r="M12" s="105">
        <f t="shared" ref="M12" si="11">MIN(M13-M10,0)</f>
        <v>0</v>
      </c>
      <c r="N12" s="105">
        <f t="shared" ref="N12" si="12">MIN(N13-N10,0)</f>
        <v>0</v>
      </c>
      <c r="O12" s="105">
        <f t="shared" ref="O12" si="13">MIN(O13-O10,0)</f>
        <v>0</v>
      </c>
      <c r="P12" s="105">
        <f t="shared" ref="P12" si="14">MIN(P13-P10,0)</f>
        <v>0</v>
      </c>
      <c r="Q12" s="105">
        <f t="shared" ref="Q12" si="15">MIN(Q13-Q10,0)</f>
        <v>0</v>
      </c>
      <c r="R12" s="105">
        <f t="shared" ref="R12" si="16">MIN(R13-R10,0)</f>
        <v>0</v>
      </c>
      <c r="S12" s="105">
        <f t="shared" ref="S12" si="17">MIN(S13-S10,0)</f>
        <v>0</v>
      </c>
      <c r="U12" s="93">
        <f t="shared" si="0"/>
        <v>1</v>
      </c>
      <c r="V12" s="24">
        <v>1</v>
      </c>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row>
    <row r="13" spans="1:258" ht="13.5" customHeight="1">
      <c r="A13" s="54"/>
      <c r="B13" s="54"/>
      <c r="C13" s="103" t="s">
        <v>360</v>
      </c>
      <c r="D13" s="32" t="s">
        <v>165</v>
      </c>
      <c r="E13" s="32" t="s">
        <v>134</v>
      </c>
      <c r="F13" s="32"/>
      <c r="G13" s="102">
        <f>-'DCF - Financials'!G111</f>
        <v>211</v>
      </c>
      <c r="H13" s="102">
        <f>-'DCF - Financials'!H111</f>
        <v>170</v>
      </c>
      <c r="I13" s="102">
        <f>-'DCF - Financials'!I111</f>
        <v>112</v>
      </c>
      <c r="J13" s="102">
        <f>-'DCF - Financials'!J111</f>
        <v>74</v>
      </c>
      <c r="K13" s="102">
        <f>-'DCF - Financials'!K111</f>
        <v>36</v>
      </c>
      <c r="L13" s="101">
        <f>L15*'DCF - Financials'!K110</f>
        <v>71.95</v>
      </c>
      <c r="M13" s="101">
        <f>M15*'DCF - Financials'!L110</f>
        <v>124.25</v>
      </c>
      <c r="N13" s="101">
        <f>N15*'DCF - Financials'!M110</f>
        <v>141.04750000000001</v>
      </c>
      <c r="O13" s="101">
        <f>O15*'DCF - Financials'!N110</f>
        <v>158.66250000000002</v>
      </c>
      <c r="P13" s="101">
        <f>P15*'DCF - Financials'!O110</f>
        <v>174.502375</v>
      </c>
      <c r="Q13" s="101">
        <f>Q15*'DCF - Financials'!P110</f>
        <v>190.38312499999998</v>
      </c>
      <c r="R13" s="101">
        <f>R15*'DCF - Financials'!Q110</f>
        <v>206.17511875000002</v>
      </c>
      <c r="S13" s="101">
        <f>S15*'DCF - Financials'!R110</f>
        <v>221.96915624999997</v>
      </c>
      <c r="U13" s="93">
        <f t="shared" si="0"/>
        <v>1</v>
      </c>
      <c r="V13" s="24">
        <v>1</v>
      </c>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row>
    <row r="14" spans="1:258" ht="13.5" customHeight="1">
      <c r="A14" s="54"/>
      <c r="B14" s="54"/>
      <c r="C14" s="81"/>
      <c r="G14" s="97"/>
      <c r="H14" s="1025"/>
      <c r="I14" s="1025"/>
      <c r="J14" s="1025"/>
      <c r="K14" s="1025"/>
      <c r="L14"/>
      <c r="M14"/>
      <c r="N14"/>
      <c r="O14"/>
      <c r="P14"/>
      <c r="Q14"/>
      <c r="R14"/>
      <c r="S14"/>
      <c r="U14" s="93">
        <f t="shared" si="0"/>
        <v>0</v>
      </c>
      <c r="V14" s="24">
        <v>0</v>
      </c>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row>
    <row r="15" spans="1:258" ht="13.5" customHeight="1">
      <c r="B15" s="20"/>
      <c r="C15" s="81" t="s">
        <v>361</v>
      </c>
      <c r="D15" s="3" t="s">
        <v>166</v>
      </c>
      <c r="E15" s="3" t="s">
        <v>206</v>
      </c>
      <c r="G15" s="106"/>
      <c r="H15" s="106">
        <f>'DCF - Financials'!H111/-'DCF - Financials'!G108</f>
        <v>0.23578363384188628</v>
      </c>
      <c r="I15" s="106">
        <f>'DCF - Financials'!I111/-'DCF - Financials'!H108</f>
        <v>3.552172534094513E-2</v>
      </c>
      <c r="J15" s="106">
        <f>'DCF - Financials'!J111/-'DCF - Financials'!I108</f>
        <v>2.8062191884717484E-2</v>
      </c>
      <c r="K15" s="106">
        <f>'DCF - Financials'!K111/-'DCF - Financials'!J108</f>
        <v>1.6282225237449117E-2</v>
      </c>
      <c r="L15" s="98">
        <v>0.05</v>
      </c>
      <c r="M15" s="98">
        <v>0.05</v>
      </c>
      <c r="N15" s="98">
        <v>0.05</v>
      </c>
      <c r="O15" s="98">
        <v>0.05</v>
      </c>
      <c r="P15" s="98">
        <v>0.05</v>
      </c>
      <c r="Q15" s="98">
        <v>0.05</v>
      </c>
      <c r="R15" s="98">
        <v>0.05</v>
      </c>
      <c r="S15" s="98">
        <v>0.05</v>
      </c>
      <c r="T15" s="94"/>
      <c r="U15" s="93">
        <f t="shared" si="0"/>
        <v>1</v>
      </c>
      <c r="V15" s="24">
        <v>1</v>
      </c>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row>
    <row r="16" spans="1:258" ht="13.5" customHeight="1">
      <c r="B16" s="20"/>
      <c r="C16" s="81"/>
      <c r="G16" s="106"/>
      <c r="H16" s="106"/>
      <c r="I16" s="106"/>
      <c r="J16" s="106"/>
      <c r="K16" s="106"/>
      <c r="L16" s="125"/>
      <c r="M16" s="125"/>
      <c r="N16" s="125"/>
      <c r="O16" s="125"/>
      <c r="P16" s="125"/>
      <c r="Q16" s="125"/>
      <c r="R16" s="125"/>
      <c r="S16" s="125"/>
      <c r="T16" s="94"/>
      <c r="U16" s="93">
        <f t="shared" si="0"/>
        <v>0</v>
      </c>
      <c r="V16" s="24">
        <v>0</v>
      </c>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row>
    <row r="17" spans="1:99" s="32" customFormat="1" ht="13.5" customHeight="1">
      <c r="A17" s="54"/>
      <c r="B17" s="54"/>
      <c r="C17" s="81" t="s">
        <v>362</v>
      </c>
      <c r="D17" s="3"/>
      <c r="E17" s="3"/>
      <c r="F17" s="3"/>
      <c r="G17" s="97">
        <f>G18-G13</f>
        <v>1748</v>
      </c>
      <c r="H17" s="97">
        <f>H18-H13</f>
        <v>1825</v>
      </c>
      <c r="I17" s="97">
        <f t="shared" ref="I17:K17" si="18">I18-I13</f>
        <v>1750</v>
      </c>
      <c r="J17" s="97">
        <f t="shared" si="18"/>
        <v>1448</v>
      </c>
      <c r="K17" s="97">
        <f t="shared" si="18"/>
        <v>1665</v>
      </c>
      <c r="L17" s="105">
        <f>K17</f>
        <v>1665</v>
      </c>
      <c r="M17" s="105">
        <f t="shared" ref="M17:S17" si="19">L17</f>
        <v>1665</v>
      </c>
      <c r="N17" s="105">
        <f t="shared" si="19"/>
        <v>1665</v>
      </c>
      <c r="O17" s="105">
        <f t="shared" si="19"/>
        <v>1665</v>
      </c>
      <c r="P17" s="105">
        <f t="shared" si="19"/>
        <v>1665</v>
      </c>
      <c r="Q17" s="105">
        <f t="shared" si="19"/>
        <v>1665</v>
      </c>
      <c r="R17" s="105">
        <f t="shared" si="19"/>
        <v>1665</v>
      </c>
      <c r="S17" s="105">
        <f t="shared" si="19"/>
        <v>1665</v>
      </c>
      <c r="T17" s="2"/>
      <c r="U17" s="93">
        <f t="shared" si="0"/>
        <v>1</v>
      </c>
      <c r="V17" s="24">
        <v>1</v>
      </c>
      <c r="W17" s="2"/>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row>
    <row r="18" spans="1:99" s="32" customFormat="1" ht="13.5" customHeight="1">
      <c r="A18" s="54"/>
      <c r="B18" s="54"/>
      <c r="C18" s="149" t="s">
        <v>355</v>
      </c>
      <c r="D18" s="78"/>
      <c r="E18" s="78"/>
      <c r="F18" s="78"/>
      <c r="G18" s="148">
        <f>'DCF - Financials'!G145</f>
        <v>1959</v>
      </c>
      <c r="H18" s="148">
        <f>'DCF - Financials'!H145</f>
        <v>1995</v>
      </c>
      <c r="I18" s="148">
        <f>'DCF - Financials'!I145</f>
        <v>1862</v>
      </c>
      <c r="J18" s="148">
        <f>'DCF - Financials'!J145</f>
        <v>1522</v>
      </c>
      <c r="K18" s="148">
        <f>'DCF - Financials'!K145</f>
        <v>1701</v>
      </c>
      <c r="L18" s="147">
        <f>L17+L13</f>
        <v>1736.95</v>
      </c>
      <c r="M18" s="147">
        <f t="shared" ref="M18:S18" si="20">M17+M13</f>
        <v>1789.25</v>
      </c>
      <c r="N18" s="147">
        <f t="shared" si="20"/>
        <v>1806.0475000000001</v>
      </c>
      <c r="O18" s="147">
        <f t="shared" si="20"/>
        <v>1823.6624999999999</v>
      </c>
      <c r="P18" s="147">
        <f t="shared" si="20"/>
        <v>1839.502375</v>
      </c>
      <c r="Q18" s="147">
        <f t="shared" si="20"/>
        <v>1855.3831250000001</v>
      </c>
      <c r="R18" s="147">
        <f t="shared" si="20"/>
        <v>1871.1751187499999</v>
      </c>
      <c r="S18" s="147">
        <f t="shared" si="20"/>
        <v>1886.96915625</v>
      </c>
      <c r="T18" s="2"/>
      <c r="U18" s="93">
        <f t="shared" si="0"/>
        <v>1</v>
      </c>
      <c r="V18" s="24">
        <v>1</v>
      </c>
      <c r="W18" s="2"/>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row>
    <row r="19" spans="1:99" ht="13.5" customHeight="1">
      <c r="A19" s="54"/>
      <c r="B19" s="54"/>
      <c r="C19" s="115"/>
      <c r="D19" s="23"/>
      <c r="E19" s="23"/>
      <c r="F19" s="23"/>
      <c r="G19" s="159"/>
      <c r="H19" s="159"/>
      <c r="I19" s="159"/>
      <c r="J19" s="159"/>
      <c r="K19" s="159"/>
      <c r="L19" s="1174"/>
      <c r="M19" s="1174"/>
      <c r="N19" s="1174"/>
      <c r="O19" s="1174"/>
      <c r="P19" s="1174"/>
      <c r="Q19" s="1174"/>
      <c r="R19" s="1174"/>
      <c r="S19" s="1174"/>
      <c r="U19" s="93">
        <f t="shared" si="0"/>
        <v>0</v>
      </c>
      <c r="V19" s="24">
        <v>0</v>
      </c>
    </row>
    <row r="20" spans="1:99" ht="13.5" customHeight="1">
      <c r="A20" s="54"/>
      <c r="B20" s="54"/>
      <c r="C20" s="115" t="s">
        <v>363</v>
      </c>
      <c r="H20" s="82"/>
      <c r="I20" s="82"/>
      <c r="J20" s="82"/>
      <c r="K20" s="82"/>
      <c r="L20" s="97"/>
      <c r="M20" s="97"/>
      <c r="N20" s="97"/>
      <c r="O20" s="97"/>
      <c r="P20" s="97"/>
      <c r="Q20" s="97"/>
      <c r="R20" s="97"/>
      <c r="S20" s="97"/>
      <c r="U20" s="93">
        <f t="shared" si="0"/>
        <v>1</v>
      </c>
      <c r="V20" s="24">
        <v>1</v>
      </c>
    </row>
    <row r="21" spans="1:99" ht="13.5" customHeight="1">
      <c r="A21" s="54"/>
      <c r="B21" s="54"/>
      <c r="C21" s="81" t="s">
        <v>364</v>
      </c>
      <c r="D21" s="3" t="s">
        <v>165</v>
      </c>
      <c r="E21" s="3" t="s">
        <v>134</v>
      </c>
      <c r="G21" s="6"/>
      <c r="H21" s="97">
        <f t="shared" ref="H21:J21" si="21">SUM(H28,H37)</f>
        <v>10596</v>
      </c>
      <c r="I21" s="97">
        <f t="shared" si="21"/>
        <v>14790</v>
      </c>
      <c r="J21" s="97">
        <f t="shared" si="21"/>
        <v>12865</v>
      </c>
      <c r="K21" s="97">
        <f>SUM(K28,K37)</f>
        <v>14498</v>
      </c>
      <c r="L21" s="105">
        <f>K25</f>
        <v>14801</v>
      </c>
      <c r="M21" s="105">
        <f t="shared" ref="M21:S21" si="22">L25</f>
        <v>18931.78701063713</v>
      </c>
      <c r="N21" s="105">
        <f t="shared" si="22"/>
        <v>18697.025686690835</v>
      </c>
      <c r="O21" s="105">
        <f t="shared" si="22"/>
        <v>21090.636527628765</v>
      </c>
      <c r="P21" s="105">
        <f t="shared" si="22"/>
        <v>21884.49645678154</v>
      </c>
      <c r="Q21" s="105">
        <f t="shared" si="22"/>
        <v>23827.299419053008</v>
      </c>
      <c r="R21" s="105">
        <f t="shared" si="22"/>
        <v>25161.721303953807</v>
      </c>
      <c r="S21" s="105">
        <f t="shared" si="22"/>
        <v>27184.350825241938</v>
      </c>
      <c r="U21" s="93">
        <f t="shared" si="0"/>
        <v>1</v>
      </c>
      <c r="V21" s="24">
        <v>1</v>
      </c>
    </row>
    <row r="22" spans="1:99" ht="13.5" customHeight="1">
      <c r="A22" s="54"/>
      <c r="B22" s="54"/>
      <c r="C22" s="103" t="s">
        <v>365</v>
      </c>
      <c r="D22" s="32" t="s">
        <v>165</v>
      </c>
      <c r="E22" s="32" t="s">
        <v>134</v>
      </c>
      <c r="F22" s="32"/>
      <c r="G22" s="77"/>
      <c r="H22" s="102">
        <f t="shared" ref="H22:S22" si="23">H29+H38+H41+H40</f>
        <v>5188</v>
      </c>
      <c r="I22" s="102">
        <f t="shared" si="23"/>
        <v>1031</v>
      </c>
      <c r="J22" s="102">
        <f t="shared" si="23"/>
        <v>2303</v>
      </c>
      <c r="K22" s="102">
        <f t="shared" si="23"/>
        <v>2232</v>
      </c>
      <c r="L22" s="101">
        <f t="shared" si="23"/>
        <v>5362.7870106371302</v>
      </c>
      <c r="M22" s="101">
        <f t="shared" si="23"/>
        <v>1100.2386760537038</v>
      </c>
      <c r="N22" s="101">
        <f t="shared" si="23"/>
        <v>3750.6108409379308</v>
      </c>
      <c r="O22" s="101">
        <f t="shared" si="23"/>
        <v>2109.8599291527771</v>
      </c>
      <c r="P22" s="101">
        <f t="shared" si="23"/>
        <v>3252.8029622714689</v>
      </c>
      <c r="Q22" s="101">
        <f t="shared" si="23"/>
        <v>2663.9218849007998</v>
      </c>
      <c r="R22" s="101">
        <f t="shared" si="23"/>
        <v>3350.7545212881314</v>
      </c>
      <c r="S22" s="101">
        <f t="shared" si="23"/>
        <v>3305.0158390892211</v>
      </c>
      <c r="U22" s="93">
        <f t="shared" si="0"/>
        <v>1</v>
      </c>
      <c r="V22" s="24">
        <v>1</v>
      </c>
    </row>
    <row r="23" spans="1:99" ht="13.5" customHeight="1">
      <c r="A23" s="54"/>
      <c r="B23" s="54"/>
      <c r="C23" s="296" t="s">
        <v>366</v>
      </c>
      <c r="D23" s="96" t="s">
        <v>165</v>
      </c>
      <c r="E23" s="96" t="s">
        <v>134</v>
      </c>
      <c r="F23" s="96"/>
      <c r="G23" s="6"/>
      <c r="H23" s="297">
        <f t="shared" ref="H23:S23" si="24">H30+H39+H42</f>
        <v>-933</v>
      </c>
      <c r="I23" s="297">
        <f t="shared" si="24"/>
        <v>-1254</v>
      </c>
      <c r="J23" s="297">
        <f t="shared" si="24"/>
        <v>-1521</v>
      </c>
      <c r="K23" s="297">
        <f t="shared" si="24"/>
        <v>-1340</v>
      </c>
      <c r="L23" s="677">
        <f t="shared" si="24"/>
        <v>-1232</v>
      </c>
      <c r="M23" s="677">
        <f t="shared" si="24"/>
        <v>-1335</v>
      </c>
      <c r="N23" s="677">
        <f t="shared" si="24"/>
        <v>-1357</v>
      </c>
      <c r="O23" s="677">
        <f t="shared" si="24"/>
        <v>-1316</v>
      </c>
      <c r="P23" s="677">
        <f t="shared" si="24"/>
        <v>-1310</v>
      </c>
      <c r="Q23" s="677">
        <f t="shared" si="24"/>
        <v>-1329.5</v>
      </c>
      <c r="R23" s="677">
        <f t="shared" si="24"/>
        <v>-1328.125</v>
      </c>
      <c r="S23" s="677">
        <f t="shared" si="24"/>
        <v>-1320.90625</v>
      </c>
      <c r="U23" s="93">
        <f t="shared" si="0"/>
        <v>1</v>
      </c>
      <c r="V23" s="24">
        <v>1</v>
      </c>
    </row>
    <row r="24" spans="1:99" ht="13.5" customHeight="1">
      <c r="B24" s="20"/>
      <c r="C24" s="103" t="s">
        <v>367</v>
      </c>
      <c r="D24" s="32" t="s">
        <v>165</v>
      </c>
      <c r="E24" s="32" t="s">
        <v>134</v>
      </c>
      <c r="F24" s="32"/>
      <c r="G24" s="638"/>
      <c r="H24" s="77">
        <f>H31</f>
        <v>-61</v>
      </c>
      <c r="I24" s="77">
        <f t="shared" ref="I24:J24" si="25">I31</f>
        <v>-1702</v>
      </c>
      <c r="J24" s="77">
        <f t="shared" si="25"/>
        <v>851</v>
      </c>
      <c r="K24" s="77">
        <f>K31</f>
        <v>-589</v>
      </c>
      <c r="L24" s="105">
        <v>0</v>
      </c>
      <c r="M24" s="105">
        <v>0</v>
      </c>
      <c r="N24" s="105">
        <v>0</v>
      </c>
      <c r="O24" s="105">
        <v>0</v>
      </c>
      <c r="P24" s="105">
        <v>0</v>
      </c>
      <c r="Q24" s="105">
        <v>0</v>
      </c>
      <c r="R24" s="105">
        <v>0</v>
      </c>
      <c r="S24" s="105">
        <v>0</v>
      </c>
      <c r="T24" s="94"/>
      <c r="U24" s="93">
        <f t="shared" si="0"/>
        <v>1</v>
      </c>
      <c r="V24" s="24">
        <v>1</v>
      </c>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row>
    <row r="25" spans="1:99" s="2" customFormat="1" ht="13.5" customHeight="1">
      <c r="A25" s="54"/>
      <c r="B25" s="54"/>
      <c r="C25" s="81" t="s">
        <v>368</v>
      </c>
      <c r="D25" s="3" t="s">
        <v>165</v>
      </c>
      <c r="E25" s="3" t="s">
        <v>134</v>
      </c>
      <c r="G25" s="97"/>
      <c r="H25" s="97">
        <f t="shared" ref="H25:S25" si="26">SUM(H21:H24)</f>
        <v>14790</v>
      </c>
      <c r="I25" s="97">
        <f t="shared" si="26"/>
        <v>12865</v>
      </c>
      <c r="J25" s="97">
        <f t="shared" si="26"/>
        <v>14498</v>
      </c>
      <c r="K25" s="97">
        <f t="shared" si="26"/>
        <v>14801</v>
      </c>
      <c r="L25" s="105">
        <f t="shared" si="26"/>
        <v>18931.78701063713</v>
      </c>
      <c r="M25" s="105">
        <f t="shared" si="26"/>
        <v>18697.025686690835</v>
      </c>
      <c r="N25" s="105">
        <f t="shared" si="26"/>
        <v>21090.636527628765</v>
      </c>
      <c r="O25" s="105">
        <f t="shared" si="26"/>
        <v>21884.49645678154</v>
      </c>
      <c r="P25" s="105">
        <f t="shared" si="26"/>
        <v>23827.299419053008</v>
      </c>
      <c r="Q25" s="105">
        <f t="shared" si="26"/>
        <v>25161.721303953807</v>
      </c>
      <c r="R25" s="105">
        <f t="shared" si="26"/>
        <v>27184.350825241938</v>
      </c>
      <c r="S25" s="105">
        <f t="shared" si="26"/>
        <v>29168.460414331159</v>
      </c>
      <c r="U25" s="93">
        <f t="shared" si="0"/>
        <v>1</v>
      </c>
      <c r="V25" s="24">
        <v>1</v>
      </c>
    </row>
    <row r="26" spans="1:99" s="2" customFormat="1" ht="13.5" customHeight="1">
      <c r="A26" s="54"/>
      <c r="B26" s="54"/>
      <c r="C26" s="1015"/>
      <c r="D26" s="3"/>
      <c r="E26" s="3"/>
      <c r="G26" s="97"/>
      <c r="H26" s="97"/>
      <c r="I26" s="97"/>
      <c r="J26" s="97"/>
      <c r="K26" s="97"/>
      <c r="L26"/>
      <c r="M26"/>
      <c r="N26"/>
      <c r="O26"/>
      <c r="P26"/>
      <c r="Q26"/>
      <c r="R26"/>
      <c r="S26"/>
      <c r="U26" s="93">
        <f t="shared" si="0"/>
        <v>0</v>
      </c>
      <c r="V26" s="24">
        <v>0</v>
      </c>
    </row>
    <row r="27" spans="1:99" ht="13.5" customHeight="1">
      <c r="A27" s="54"/>
      <c r="B27" s="54"/>
      <c r="C27" s="115" t="s">
        <v>369</v>
      </c>
      <c r="U27" s="93">
        <f t="shared" si="0"/>
        <v>1</v>
      </c>
      <c r="V27" s="24">
        <v>1</v>
      </c>
    </row>
    <row r="28" spans="1:99" ht="13.5" customHeight="1">
      <c r="A28" s="54"/>
      <c r="B28" s="54"/>
      <c r="C28" s="296" t="s">
        <v>370</v>
      </c>
      <c r="D28" s="96" t="s">
        <v>165</v>
      </c>
      <c r="E28" s="96" t="s">
        <v>134</v>
      </c>
      <c r="F28" s="96"/>
      <c r="G28" s="297"/>
      <c r="H28" s="297">
        <f>G32</f>
        <v>10223</v>
      </c>
      <c r="I28" s="297">
        <f t="shared" ref="I28:S28" si="27">H32</f>
        <v>14530</v>
      </c>
      <c r="J28" s="297">
        <f t="shared" si="27"/>
        <v>12612</v>
      </c>
      <c r="K28" s="297">
        <f t="shared" si="27"/>
        <v>14205</v>
      </c>
      <c r="L28" s="677">
        <f>K32</f>
        <v>14505</v>
      </c>
      <c r="M28" s="677">
        <f t="shared" si="27"/>
        <v>15950.75</v>
      </c>
      <c r="N28" s="677">
        <f t="shared" si="27"/>
        <v>16665.9375</v>
      </c>
      <c r="O28" s="677">
        <f t="shared" si="27"/>
        <v>17613.921875</v>
      </c>
      <c r="P28" s="677">
        <f t="shared" si="27"/>
        <v>18613.40234375</v>
      </c>
      <c r="Q28" s="677">
        <f t="shared" si="27"/>
        <v>19640.5029296875</v>
      </c>
      <c r="R28" s="677">
        <f t="shared" si="27"/>
        <v>20562.941162109375</v>
      </c>
      <c r="S28" s="677">
        <f t="shared" si="27"/>
        <v>21537.192077636719</v>
      </c>
      <c r="U28" s="93">
        <f t="shared" si="0"/>
        <v>1</v>
      </c>
      <c r="V28" s="24">
        <v>1</v>
      </c>
    </row>
    <row r="29" spans="1:99" ht="13.5" customHeight="1">
      <c r="A29" s="54"/>
      <c r="B29" s="54"/>
      <c r="C29" s="103" t="s">
        <v>371</v>
      </c>
      <c r="D29" s="32" t="s">
        <v>165</v>
      </c>
      <c r="E29" s="32" t="s">
        <v>372</v>
      </c>
      <c r="F29" s="32"/>
      <c r="G29" s="102"/>
      <c r="H29" s="102">
        <f>'DCF - Financials'!H95</f>
        <v>5188</v>
      </c>
      <c r="I29" s="102">
        <f>'DCF - Financials'!I95</f>
        <v>1031</v>
      </c>
      <c r="J29" s="102">
        <f>'DCF - Financials'!J95</f>
        <v>2263</v>
      </c>
      <c r="K29" s="102">
        <f>'DCF - Financials'!K95</f>
        <v>2229</v>
      </c>
      <c r="L29" s="158">
        <f t="shared" ref="L29:S29" si="28">AVERAGE(H29:K29)</f>
        <v>2677.75</v>
      </c>
      <c r="M29" s="158">
        <f t="shared" si="28"/>
        <v>2050.1875</v>
      </c>
      <c r="N29" s="158">
        <f>AVERAGE(J29:M29)</f>
        <v>2304.984375</v>
      </c>
      <c r="O29" s="158">
        <f>AVERAGE(K29:N29)</f>
        <v>2315.48046875</v>
      </c>
      <c r="P29" s="158">
        <f t="shared" si="28"/>
        <v>2337.1005859375</v>
      </c>
      <c r="Q29" s="158">
        <f t="shared" si="28"/>
        <v>2251.938232421875</v>
      </c>
      <c r="R29" s="158">
        <f t="shared" si="28"/>
        <v>2302.3759155273438</v>
      </c>
      <c r="S29" s="158">
        <f t="shared" si="28"/>
        <v>2301.7238006591797</v>
      </c>
      <c r="U29" s="93">
        <f t="shared" si="0"/>
        <v>1</v>
      </c>
      <c r="V29" s="24">
        <v>1</v>
      </c>
    </row>
    <row r="30" spans="1:99" ht="13.5" customHeight="1">
      <c r="A30" s="54"/>
      <c r="B30" s="54"/>
      <c r="C30" s="81" t="s">
        <v>373</v>
      </c>
      <c r="D30" s="3" t="s">
        <v>165</v>
      </c>
      <c r="E30" s="3" t="s">
        <v>372</v>
      </c>
      <c r="G30" s="97"/>
      <c r="H30" s="97">
        <f>'DCF - Financials'!H97</f>
        <v>-820</v>
      </c>
      <c r="I30" s="97">
        <f>'DCF - Financials'!I97</f>
        <v>-1247</v>
      </c>
      <c r="J30" s="97">
        <f>'DCF - Financials'!J97</f>
        <v>-1521</v>
      </c>
      <c r="K30" s="97">
        <f>'DCF - Financials'!K97</f>
        <v>-1340</v>
      </c>
      <c r="L30" s="158">
        <f>AVERAGE(H30:K30)</f>
        <v>-1232</v>
      </c>
      <c r="M30" s="158">
        <f t="shared" ref="M30:S30" si="29">AVERAGE(I30:L30)</f>
        <v>-1335</v>
      </c>
      <c r="N30" s="158">
        <f t="shared" si="29"/>
        <v>-1357</v>
      </c>
      <c r="O30" s="158">
        <f t="shared" si="29"/>
        <v>-1316</v>
      </c>
      <c r="P30" s="158">
        <f t="shared" si="29"/>
        <v>-1310</v>
      </c>
      <c r="Q30" s="158">
        <f t="shared" si="29"/>
        <v>-1329.5</v>
      </c>
      <c r="R30" s="158">
        <f t="shared" si="29"/>
        <v>-1328.125</v>
      </c>
      <c r="S30" s="158">
        <f t="shared" si="29"/>
        <v>-1320.90625</v>
      </c>
      <c r="U30" s="93">
        <f t="shared" si="0"/>
        <v>1</v>
      </c>
      <c r="V30" s="24">
        <v>1</v>
      </c>
    </row>
    <row r="31" spans="1:99" ht="13.5" customHeight="1">
      <c r="B31" s="20"/>
      <c r="C31" s="103" t="s">
        <v>367</v>
      </c>
      <c r="D31" s="32" t="s">
        <v>165</v>
      </c>
      <c r="E31" s="32" t="s">
        <v>134</v>
      </c>
      <c r="F31" s="32"/>
      <c r="G31" s="77"/>
      <c r="H31" s="77">
        <f>H32-SUM(H28:H30)</f>
        <v>-61</v>
      </c>
      <c r="I31" s="77">
        <f>I32-SUM(I28:I30)</f>
        <v>-1702</v>
      </c>
      <c r="J31" s="77">
        <f>J32-SUM(J28:J30)</f>
        <v>851</v>
      </c>
      <c r="K31" s="77">
        <f>K32-SUM(K28:K30)</f>
        <v>-589</v>
      </c>
      <c r="L31" s="101">
        <v>0</v>
      </c>
      <c r="M31" s="101">
        <v>0</v>
      </c>
      <c r="N31" s="101">
        <v>0</v>
      </c>
      <c r="O31" s="101">
        <v>0</v>
      </c>
      <c r="P31" s="101">
        <v>0</v>
      </c>
      <c r="Q31" s="101">
        <v>0</v>
      </c>
      <c r="R31" s="101">
        <v>0</v>
      </c>
      <c r="S31" s="101">
        <v>0</v>
      </c>
      <c r="T31" s="94"/>
      <c r="U31" s="93">
        <f t="shared" si="0"/>
        <v>1</v>
      </c>
      <c r="V31" s="24">
        <v>1</v>
      </c>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row>
    <row r="32" spans="1:99" s="32" customFormat="1" ht="13.5" customHeight="1">
      <c r="A32" s="54"/>
      <c r="B32" s="54"/>
      <c r="C32" s="81" t="s">
        <v>374</v>
      </c>
      <c r="D32" s="3" t="s">
        <v>165</v>
      </c>
      <c r="E32" s="3" t="s">
        <v>134</v>
      </c>
      <c r="F32" s="3"/>
      <c r="G32" s="97">
        <f>'DCF - Financials'!G154-G43</f>
        <v>10223</v>
      </c>
      <c r="H32" s="97">
        <f>'DCF - Financials'!H154-H43</f>
        <v>14530</v>
      </c>
      <c r="I32" s="97">
        <f>'DCF - Financials'!I154-I43</f>
        <v>12612</v>
      </c>
      <c r="J32" s="97">
        <f>'DCF - Financials'!J154-J43</f>
        <v>14205</v>
      </c>
      <c r="K32" s="97">
        <f>'DCF - Financials'!K154-K43</f>
        <v>14505</v>
      </c>
      <c r="L32" s="105">
        <f t="shared" ref="L32:S32" si="30">SUM(L28:L31)</f>
        <v>15950.75</v>
      </c>
      <c r="M32" s="105">
        <f t="shared" si="30"/>
        <v>16665.9375</v>
      </c>
      <c r="N32" s="105">
        <f t="shared" si="30"/>
        <v>17613.921875</v>
      </c>
      <c r="O32" s="105">
        <f t="shared" si="30"/>
        <v>18613.40234375</v>
      </c>
      <c r="P32" s="105">
        <f t="shared" si="30"/>
        <v>19640.5029296875</v>
      </c>
      <c r="Q32" s="105">
        <f t="shared" si="30"/>
        <v>20562.941162109375</v>
      </c>
      <c r="R32" s="105">
        <f t="shared" si="30"/>
        <v>21537.192077636719</v>
      </c>
      <c r="S32" s="105">
        <f t="shared" si="30"/>
        <v>22518.009628295898</v>
      </c>
      <c r="T32" s="2"/>
      <c r="U32" s="93">
        <f t="shared" si="0"/>
        <v>1</v>
      </c>
      <c r="V32" s="24">
        <v>1</v>
      </c>
      <c r="W32" s="2"/>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row>
    <row r="33" spans="1:99" ht="13.5" customHeight="1">
      <c r="A33" s="54"/>
      <c r="B33" s="54"/>
      <c r="C33" s="81"/>
      <c r="G33" s="1041"/>
      <c r="H33" s="1034"/>
      <c r="I33" s="1034"/>
      <c r="J33" s="1034"/>
      <c r="K33" s="1034"/>
      <c r="L33" s="97"/>
      <c r="M33" s="97"/>
      <c r="N33" s="97"/>
      <c r="O33" s="97"/>
      <c r="P33" s="97"/>
      <c r="Q33" s="97"/>
      <c r="R33" s="97"/>
      <c r="S33" s="97"/>
      <c r="U33" s="93">
        <f t="shared" si="0"/>
        <v>0</v>
      </c>
      <c r="V33" s="24">
        <v>0</v>
      </c>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row>
    <row r="34" spans="1:99" ht="13.5" customHeight="1">
      <c r="A34" s="54"/>
      <c r="B34" s="54"/>
      <c r="C34" s="81" t="s">
        <v>375</v>
      </c>
      <c r="G34" s="161"/>
      <c r="H34" s="1024"/>
      <c r="I34" s="1024"/>
      <c r="J34" s="1024"/>
      <c r="K34" s="1025"/>
      <c r="L34" s="161"/>
      <c r="M34" s="161"/>
      <c r="N34" s="161"/>
      <c r="O34" s="161"/>
      <c r="P34" s="161"/>
      <c r="Q34" s="161"/>
      <c r="R34" s="161"/>
      <c r="S34" s="161"/>
      <c r="U34" s="93">
        <f t="shared" si="0"/>
        <v>1</v>
      </c>
      <c r="V34" s="24">
        <v>1</v>
      </c>
    </row>
    <row r="35" spans="1:99" ht="13.5" customHeight="1">
      <c r="A35" s="54"/>
      <c r="B35" s="54"/>
      <c r="C35" s="81"/>
      <c r="G35" s="161"/>
      <c r="H35" s="1024"/>
      <c r="I35" s="1024"/>
      <c r="J35" s="1024"/>
      <c r="K35" s="1025"/>
      <c r="L35" s="161"/>
      <c r="M35" s="161"/>
      <c r="N35" s="161"/>
      <c r="O35" s="161"/>
      <c r="P35" s="161"/>
      <c r="Q35" s="161"/>
      <c r="R35" s="161"/>
      <c r="S35" s="161"/>
      <c r="U35" s="93">
        <f t="shared" si="0"/>
        <v>0</v>
      </c>
      <c r="V35" s="24">
        <v>0</v>
      </c>
    </row>
    <row r="36" spans="1:99" ht="13.5" customHeight="1">
      <c r="A36" s="54"/>
      <c r="B36" s="54"/>
      <c r="C36" s="115" t="s">
        <v>376</v>
      </c>
      <c r="F36" s="1010"/>
      <c r="U36" s="93">
        <f t="shared" si="0"/>
        <v>1</v>
      </c>
      <c r="V36" s="24">
        <v>1</v>
      </c>
    </row>
    <row r="37" spans="1:99" ht="13.5" customHeight="1">
      <c r="A37" s="54"/>
      <c r="B37" s="54"/>
      <c r="C37" s="296" t="s">
        <v>377</v>
      </c>
      <c r="D37" s="96" t="s">
        <v>165</v>
      </c>
      <c r="E37" s="96" t="s">
        <v>134</v>
      </c>
      <c r="F37" s="96"/>
      <c r="G37" s="1028"/>
      <c r="H37" s="1035">
        <f>G43</f>
        <v>373</v>
      </c>
      <c r="I37" s="1035">
        <f t="shared" ref="I37:S37" si="31">H43</f>
        <v>260</v>
      </c>
      <c r="J37" s="1035">
        <f t="shared" si="31"/>
        <v>253</v>
      </c>
      <c r="K37" s="1035">
        <f>J43</f>
        <v>293</v>
      </c>
      <c r="L37" s="1035">
        <f t="shared" si="31"/>
        <v>296</v>
      </c>
      <c r="M37" s="1035">
        <f t="shared" si="31"/>
        <v>2981.0370106371302</v>
      </c>
      <c r="N37" s="1035">
        <f t="shared" si="31"/>
        <v>2031.0881866908339</v>
      </c>
      <c r="O37" s="1035">
        <f t="shared" si="31"/>
        <v>3476.7146526287647</v>
      </c>
      <c r="P37" s="1035">
        <f t="shared" si="31"/>
        <v>3271.0941130315418</v>
      </c>
      <c r="Q37" s="1035">
        <f t="shared" si="31"/>
        <v>4186.7964893655108</v>
      </c>
      <c r="R37" s="1035">
        <f t="shared" si="31"/>
        <v>4598.780141844436</v>
      </c>
      <c r="S37" s="1035">
        <f t="shared" si="31"/>
        <v>5647.1587476052237</v>
      </c>
      <c r="U37" s="93">
        <f t="shared" si="0"/>
        <v>1</v>
      </c>
      <c r="V37" s="24">
        <v>1</v>
      </c>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row>
    <row r="38" spans="1:99" ht="13.5" customHeight="1">
      <c r="A38" s="54"/>
      <c r="B38" s="54"/>
      <c r="C38" s="81" t="s">
        <v>358</v>
      </c>
      <c r="D38" s="3" t="s">
        <v>165</v>
      </c>
      <c r="E38" s="3" t="s">
        <v>134</v>
      </c>
      <c r="G38" s="151"/>
      <c r="H38" s="1036">
        <f>MAX(H43-H37,0)</f>
        <v>0</v>
      </c>
      <c r="I38" s="1036">
        <f t="shared" ref="I38" si="32">MAX(I43-I37,0)</f>
        <v>0</v>
      </c>
      <c r="J38" s="1036">
        <f t="shared" ref="J38" si="33">MAX(J43-J37,0)</f>
        <v>40</v>
      </c>
      <c r="K38" s="1036">
        <f t="shared" ref="K38" si="34">MAX(K43-K37,0)</f>
        <v>3</v>
      </c>
      <c r="L38" s="105">
        <v>0</v>
      </c>
      <c r="M38" s="105">
        <v>0</v>
      </c>
      <c r="N38" s="105">
        <v>0</v>
      </c>
      <c r="O38" s="105">
        <v>0</v>
      </c>
      <c r="P38" s="105">
        <v>0</v>
      </c>
      <c r="Q38" s="105">
        <v>0</v>
      </c>
      <c r="R38" s="105">
        <v>0</v>
      </c>
      <c r="S38" s="105">
        <v>0</v>
      </c>
      <c r="U38" s="93">
        <f t="shared" si="0"/>
        <v>1</v>
      </c>
      <c r="V38" s="24">
        <v>1</v>
      </c>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row>
    <row r="39" spans="1:99" ht="13.5" customHeight="1">
      <c r="A39" s="54"/>
      <c r="B39" s="54"/>
      <c r="C39" s="81" t="s">
        <v>359</v>
      </c>
      <c r="D39" s="175" t="s">
        <v>165</v>
      </c>
      <c r="E39" s="175" t="s">
        <v>134</v>
      </c>
      <c r="G39" s="1037"/>
      <c r="H39" s="1036">
        <f>MIN(H43-H37,0)</f>
        <v>-113</v>
      </c>
      <c r="I39" s="1036">
        <f t="shared" ref="I39" si="35">MIN(I43-I37,0)</f>
        <v>-7</v>
      </c>
      <c r="J39" s="1036">
        <f t="shared" ref="J39" si="36">MIN(J43-J37,0)</f>
        <v>0</v>
      </c>
      <c r="K39" s="1036">
        <f t="shared" ref="K39" si="37">MIN(K43-K37,0)</f>
        <v>0</v>
      </c>
      <c r="L39" s="1071">
        <v>0</v>
      </c>
      <c r="M39" s="105">
        <v>0</v>
      </c>
      <c r="N39" s="105">
        <v>0</v>
      </c>
      <c r="O39" s="105">
        <v>0</v>
      </c>
      <c r="P39" s="105">
        <v>0</v>
      </c>
      <c r="Q39" s="105">
        <v>0</v>
      </c>
      <c r="R39" s="105">
        <v>0</v>
      </c>
      <c r="S39" s="105">
        <v>0</v>
      </c>
      <c r="U39" s="93">
        <f t="shared" si="0"/>
        <v>1</v>
      </c>
      <c r="V39" s="24">
        <v>1</v>
      </c>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row>
    <row r="40" spans="1:99" s="23" customFormat="1" ht="13.5" customHeight="1">
      <c r="A40" s="54"/>
      <c r="B40" s="54"/>
      <c r="C40" s="1055" t="s">
        <v>378</v>
      </c>
      <c r="D40" s="32" t="s">
        <v>165</v>
      </c>
      <c r="E40" s="32" t="s">
        <v>134</v>
      </c>
      <c r="F40" s="78"/>
      <c r="G40" s="1056">
        <v>0</v>
      </c>
      <c r="H40" s="1056">
        <v>0</v>
      </c>
      <c r="I40" s="1056">
        <v>0</v>
      </c>
      <c r="J40" s="1056">
        <v>0</v>
      </c>
      <c r="K40" s="1056">
        <v>0</v>
      </c>
      <c r="L40" s="673">
        <f>L137</f>
        <v>0</v>
      </c>
      <c r="M40" s="673">
        <f t="shared" ref="M40:S40" si="38">M137</f>
        <v>0</v>
      </c>
      <c r="N40" s="673">
        <f t="shared" si="38"/>
        <v>0</v>
      </c>
      <c r="O40" s="673">
        <f t="shared" si="38"/>
        <v>0</v>
      </c>
      <c r="P40" s="673">
        <f t="shared" si="38"/>
        <v>0</v>
      </c>
      <c r="Q40" s="673">
        <f t="shared" si="38"/>
        <v>0</v>
      </c>
      <c r="R40" s="673">
        <f t="shared" si="38"/>
        <v>0</v>
      </c>
      <c r="S40" s="673">
        <f t="shared" si="38"/>
        <v>0</v>
      </c>
      <c r="T40" s="41"/>
      <c r="U40" s="93">
        <f t="shared" si="0"/>
        <v>1</v>
      </c>
      <c r="V40" s="24">
        <v>1</v>
      </c>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c r="CU40" s="41"/>
    </row>
    <row r="41" spans="1:99" ht="13.5" customHeight="1">
      <c r="A41" s="54"/>
      <c r="B41" s="54"/>
      <c r="C41" s="81" t="s">
        <v>379</v>
      </c>
      <c r="G41" s="97"/>
      <c r="H41" s="97">
        <v>0</v>
      </c>
      <c r="I41" s="97">
        <v>0</v>
      </c>
      <c r="J41" s="97">
        <v>0</v>
      </c>
      <c r="K41" s="97">
        <v>0</v>
      </c>
      <c r="L41" s="1071">
        <f t="shared" ref="L41" si="39">L113</f>
        <v>2685.0370106371302</v>
      </c>
      <c r="M41" s="105">
        <f t="shared" ref="M41:S41" si="40">M113</f>
        <v>-949.94882394629622</v>
      </c>
      <c r="N41" s="105">
        <f t="shared" si="40"/>
        <v>1445.6264659379308</v>
      </c>
      <c r="O41" s="105">
        <f t="shared" si="40"/>
        <v>-205.62053959722289</v>
      </c>
      <c r="P41" s="105">
        <f t="shared" si="40"/>
        <v>915.70237633396891</v>
      </c>
      <c r="Q41" s="105">
        <f t="shared" si="40"/>
        <v>411.9836524789248</v>
      </c>
      <c r="R41" s="105">
        <f t="shared" si="40"/>
        <v>1048.3786057607877</v>
      </c>
      <c r="S41" s="105">
        <f t="shared" si="40"/>
        <v>1003.2920384300414</v>
      </c>
      <c r="U41" s="93">
        <f t="shared" si="0"/>
        <v>1</v>
      </c>
      <c r="V41" s="24">
        <v>1</v>
      </c>
    </row>
    <row r="42" spans="1:99" ht="13.5" customHeight="1">
      <c r="A42" s="54"/>
      <c r="B42" s="54"/>
      <c r="C42" s="81" t="s">
        <v>380</v>
      </c>
      <c r="D42" s="175" t="s">
        <v>165</v>
      </c>
      <c r="E42" s="175" t="s">
        <v>134</v>
      </c>
      <c r="G42" s="1037"/>
      <c r="H42" s="1036">
        <v>0</v>
      </c>
      <c r="I42" s="1036">
        <v>0</v>
      </c>
      <c r="J42" s="1036">
        <v>0</v>
      </c>
      <c r="K42" s="1036">
        <v>0</v>
      </c>
      <c r="L42" s="1071">
        <f>-MIN(L136,-MIN(L75+L101-SUM(L37:L40)-L13-L32,0))</f>
        <v>0</v>
      </c>
      <c r="M42" s="1071">
        <f t="shared" ref="M42:S42" si="41">-MIN(M136,-MIN(M75+M101-SUM(M37:M40)-M13-M32,0))</f>
        <v>0</v>
      </c>
      <c r="N42" s="1071">
        <f t="shared" si="41"/>
        <v>0</v>
      </c>
      <c r="O42" s="1071">
        <f t="shared" si="41"/>
        <v>0</v>
      </c>
      <c r="P42" s="1071">
        <f t="shared" si="41"/>
        <v>0</v>
      </c>
      <c r="Q42" s="1071">
        <f t="shared" si="41"/>
        <v>0</v>
      </c>
      <c r="R42" s="1071">
        <f t="shared" si="41"/>
        <v>0</v>
      </c>
      <c r="S42" s="1071">
        <f t="shared" si="41"/>
        <v>0</v>
      </c>
      <c r="U42" s="93">
        <f t="shared" si="0"/>
        <v>1</v>
      </c>
      <c r="V42" s="24">
        <v>1</v>
      </c>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row>
    <row r="43" spans="1:99" ht="13.5" customHeight="1">
      <c r="A43" s="54"/>
      <c r="B43" s="54"/>
      <c r="C43" s="103" t="s">
        <v>381</v>
      </c>
      <c r="D43" s="32" t="s">
        <v>165</v>
      </c>
      <c r="E43" s="32" t="s">
        <v>134</v>
      </c>
      <c r="F43" s="32"/>
      <c r="G43" s="1039">
        <f>373</f>
        <v>373</v>
      </c>
      <c r="H43" s="1039">
        <f>260</f>
        <v>260</v>
      </c>
      <c r="I43" s="1039">
        <f>253</f>
        <v>253</v>
      </c>
      <c r="J43" s="1039">
        <f>293</f>
        <v>293</v>
      </c>
      <c r="K43" s="1039">
        <f>296</f>
        <v>296</v>
      </c>
      <c r="L43" s="101">
        <f>SUM(L37:L42)</f>
        <v>2981.0370106371302</v>
      </c>
      <c r="M43" s="101">
        <f t="shared" ref="M43:S43" si="42">SUM(M37:M42)</f>
        <v>2031.0881866908339</v>
      </c>
      <c r="N43" s="101">
        <f t="shared" si="42"/>
        <v>3476.7146526287647</v>
      </c>
      <c r="O43" s="101">
        <f t="shared" si="42"/>
        <v>3271.0941130315418</v>
      </c>
      <c r="P43" s="101">
        <f t="shared" si="42"/>
        <v>4186.7964893655108</v>
      </c>
      <c r="Q43" s="101">
        <f t="shared" si="42"/>
        <v>4598.780141844436</v>
      </c>
      <c r="R43" s="101">
        <f t="shared" si="42"/>
        <v>5647.1587476052237</v>
      </c>
      <c r="S43" s="101">
        <f t="shared" si="42"/>
        <v>6650.4507860352651</v>
      </c>
      <c r="U43" s="93">
        <f t="shared" si="0"/>
        <v>1</v>
      </c>
      <c r="V43" s="24">
        <v>1</v>
      </c>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row>
    <row r="44" spans="1:99" ht="13.5" customHeight="1">
      <c r="A44" s="54"/>
      <c r="B44" s="54"/>
      <c r="C44" s="81"/>
      <c r="G44" s="97"/>
      <c r="H44" s="1025"/>
      <c r="I44" s="1025"/>
      <c r="J44" s="1025"/>
      <c r="K44" s="1025"/>
      <c r="L44"/>
      <c r="M44"/>
      <c r="N44"/>
      <c r="O44"/>
      <c r="P44"/>
      <c r="Q44"/>
      <c r="R44"/>
      <c r="S44"/>
      <c r="U44" s="93">
        <f t="shared" si="0"/>
        <v>0</v>
      </c>
      <c r="V44" s="24">
        <v>0</v>
      </c>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row>
    <row r="45" spans="1:99" ht="13.5" customHeight="1">
      <c r="A45" s="54"/>
      <c r="B45" s="54"/>
      <c r="C45" s="81" t="s">
        <v>382</v>
      </c>
      <c r="D45" s="3" t="s">
        <v>166</v>
      </c>
      <c r="E45" s="3" t="s">
        <v>134</v>
      </c>
      <c r="G45" s="1027"/>
      <c r="H45" s="1027">
        <f>-H46/SUM(H37,H18,H28)</f>
        <v>4.0505122706695255E-2</v>
      </c>
      <c r="I45" s="1027">
        <f>-I46/SUM(I37,I18,I28)</f>
        <v>2.6963728080711024E-2</v>
      </c>
      <c r="J45" s="1027">
        <f>-J46/SUM(J37,J18,J28)</f>
        <v>3.2181830819489818E-2</v>
      </c>
      <c r="K45" s="1027">
        <f>-K46/SUM(K37,K18,K28)</f>
        <v>4.5743564417556642E-2</v>
      </c>
      <c r="L45" s="98">
        <v>4.3999999999999997E-2</v>
      </c>
      <c r="M45" s="98">
        <v>3.5000000000000003E-2</v>
      </c>
      <c r="N45" s="98">
        <v>0.03</v>
      </c>
      <c r="O45" s="98">
        <f>N45</f>
        <v>0.03</v>
      </c>
      <c r="P45" s="98">
        <f t="shared" ref="P45:S45" si="43">O45</f>
        <v>0.03</v>
      </c>
      <c r="Q45" s="98">
        <f t="shared" si="43"/>
        <v>0.03</v>
      </c>
      <c r="R45" s="98">
        <f t="shared" si="43"/>
        <v>0.03</v>
      </c>
      <c r="S45" s="98">
        <f t="shared" si="43"/>
        <v>0.03</v>
      </c>
      <c r="U45" s="93">
        <f t="shared" si="0"/>
        <v>1</v>
      </c>
      <c r="V45" s="24">
        <v>1</v>
      </c>
    </row>
    <row r="46" spans="1:99" ht="13.5" customHeight="1">
      <c r="A46" s="54"/>
      <c r="B46" s="54"/>
      <c r="C46" s="115" t="s">
        <v>383</v>
      </c>
      <c r="D46" s="3" t="s">
        <v>165</v>
      </c>
      <c r="E46" s="3" t="s">
        <v>134</v>
      </c>
      <c r="G46" s="1043"/>
      <c r="H46" s="1038">
        <f>-390-120</f>
        <v>-510</v>
      </c>
      <c r="I46" s="1038">
        <f>-365-84</f>
        <v>-449</v>
      </c>
      <c r="J46" s="1038">
        <f>-371-92</f>
        <v>-463</v>
      </c>
      <c r="K46" s="1034">
        <f>-470-271</f>
        <v>-741</v>
      </c>
      <c r="L46" s="154">
        <f t="shared" ref="L46:S46" si="44">-L45*SUM(L37,L18,L28)</f>
        <v>-727.66980000000001</v>
      </c>
      <c r="M46" s="154">
        <f t="shared" si="44"/>
        <v>-725.23629537229965</v>
      </c>
      <c r="N46" s="154">
        <f t="shared" si="44"/>
        <v>-615.09219560072506</v>
      </c>
      <c r="O46" s="154">
        <f t="shared" si="44"/>
        <v>-687.42897082886293</v>
      </c>
      <c r="P46" s="154">
        <f t="shared" si="44"/>
        <v>-711.71996495344627</v>
      </c>
      <c r="Q46" s="154">
        <f t="shared" si="44"/>
        <v>-770.48047632159034</v>
      </c>
      <c r="R46" s="154">
        <f t="shared" si="44"/>
        <v>-810.98689268111423</v>
      </c>
      <c r="S46" s="154">
        <f t="shared" si="44"/>
        <v>-872.13959944475823</v>
      </c>
      <c r="U46" s="93">
        <f t="shared" si="0"/>
        <v>1</v>
      </c>
      <c r="V46" s="24">
        <v>1</v>
      </c>
    </row>
    <row r="47" spans="1:99" ht="13.5" customHeight="1">
      <c r="A47" s="54"/>
      <c r="B47" s="54"/>
      <c r="C47" s="81"/>
      <c r="G47" s="161"/>
      <c r="H47" s="1024"/>
      <c r="I47" s="1024"/>
      <c r="J47" s="1024"/>
      <c r="K47" s="1025"/>
      <c r="L47" s="161"/>
      <c r="M47" s="161"/>
      <c r="N47" s="161"/>
      <c r="O47" s="161"/>
      <c r="P47" s="161"/>
      <c r="Q47" s="161"/>
      <c r="R47" s="161"/>
      <c r="S47" s="161"/>
      <c r="U47" s="93">
        <f t="shared" si="0"/>
        <v>0</v>
      </c>
      <c r="V47" s="24">
        <v>0</v>
      </c>
    </row>
    <row r="48" spans="1:99" ht="13.5" customHeight="1">
      <c r="A48" s="54"/>
      <c r="B48" s="54"/>
      <c r="C48" s="115" t="s">
        <v>384</v>
      </c>
      <c r="G48" s="161"/>
      <c r="H48" s="1024"/>
      <c r="I48" s="1024"/>
      <c r="J48" s="1024"/>
      <c r="K48" s="1025"/>
      <c r="L48" s="161"/>
      <c r="M48" s="161"/>
      <c r="N48" s="161"/>
      <c r="O48" s="161"/>
      <c r="P48" s="161"/>
      <c r="Q48" s="161"/>
      <c r="R48" s="161"/>
      <c r="S48" s="161"/>
      <c r="U48" s="93">
        <f t="shared" si="0"/>
        <v>1</v>
      </c>
      <c r="V48" s="24">
        <v>1</v>
      </c>
    </row>
    <row r="49" spans="1:99" ht="13.5" customHeight="1">
      <c r="A49" s="54"/>
      <c r="B49" s="54"/>
      <c r="C49" s="115" t="s">
        <v>385</v>
      </c>
      <c r="U49" s="93">
        <f t="shared" si="0"/>
        <v>1</v>
      </c>
      <c r="V49" s="24">
        <v>1</v>
      </c>
    </row>
    <row r="50" spans="1:99" ht="13.5" customHeight="1">
      <c r="A50" s="54"/>
      <c r="B50" s="54"/>
      <c r="C50" s="296" t="s">
        <v>386</v>
      </c>
      <c r="D50" s="96" t="s">
        <v>165</v>
      </c>
      <c r="E50" s="96" t="s">
        <v>134</v>
      </c>
      <c r="F50" s="96"/>
      <c r="G50" s="1028"/>
      <c r="H50" s="1035">
        <f>G53</f>
        <v>128</v>
      </c>
      <c r="I50" s="1035">
        <f t="shared" ref="I50:S50" si="45">H53</f>
        <v>470</v>
      </c>
      <c r="J50" s="1035">
        <f t="shared" si="45"/>
        <v>363</v>
      </c>
      <c r="K50" s="1026">
        <f t="shared" si="45"/>
        <v>475</v>
      </c>
      <c r="L50" s="677">
        <f t="shared" si="45"/>
        <v>448</v>
      </c>
      <c r="M50" s="677">
        <f t="shared" si="45"/>
        <v>456.47790990770295</v>
      </c>
      <c r="N50" s="677">
        <f t="shared" si="45"/>
        <v>479.73187104537294</v>
      </c>
      <c r="O50" s="677">
        <f t="shared" si="45"/>
        <v>503.69080100226398</v>
      </c>
      <c r="P50" s="677">
        <f t="shared" si="45"/>
        <v>529.27925023726038</v>
      </c>
      <c r="Q50" s="677">
        <f t="shared" si="45"/>
        <v>556.8452369357982</v>
      </c>
      <c r="R50" s="677">
        <f t="shared" si="45"/>
        <v>585.96806438452234</v>
      </c>
      <c r="S50" s="677">
        <f t="shared" si="45"/>
        <v>616.88232953264526</v>
      </c>
      <c r="U50" s="93">
        <f t="shared" si="0"/>
        <v>1</v>
      </c>
      <c r="V50" s="24">
        <v>1</v>
      </c>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row>
    <row r="51" spans="1:99" ht="13.5" customHeight="1">
      <c r="A51" s="54"/>
      <c r="B51" s="54"/>
      <c r="C51" s="81" t="s">
        <v>387</v>
      </c>
      <c r="G51" s="151"/>
      <c r="H51" s="1036">
        <f>MAX(H53-H50,0)</f>
        <v>342</v>
      </c>
      <c r="I51" s="1036">
        <f t="shared" ref="I51:S51" si="46">MAX(I53-I50,0)</f>
        <v>0</v>
      </c>
      <c r="J51" s="1036">
        <f t="shared" si="46"/>
        <v>112</v>
      </c>
      <c r="K51" s="1036">
        <f t="shared" si="46"/>
        <v>0</v>
      </c>
      <c r="L51" s="105">
        <f t="shared" si="46"/>
        <v>8.4779099077029514</v>
      </c>
      <c r="M51" s="105">
        <f t="shared" si="46"/>
        <v>23.25396113766999</v>
      </c>
      <c r="N51" s="105">
        <f t="shared" si="46"/>
        <v>23.958929956891041</v>
      </c>
      <c r="O51" s="105">
        <f t="shared" si="46"/>
        <v>25.588449234996403</v>
      </c>
      <c r="P51" s="105">
        <f t="shared" si="46"/>
        <v>27.565986698537813</v>
      </c>
      <c r="Q51" s="105">
        <f t="shared" si="46"/>
        <v>29.122827448724138</v>
      </c>
      <c r="R51" s="105">
        <f t="shared" si="46"/>
        <v>30.914265148122922</v>
      </c>
      <c r="S51" s="105">
        <f t="shared" si="46"/>
        <v>33.014596704791757</v>
      </c>
      <c r="U51" s="93">
        <f t="shared" si="0"/>
        <v>1</v>
      </c>
      <c r="V51" s="24">
        <v>1</v>
      </c>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row>
    <row r="52" spans="1:99" ht="13.5" customHeight="1">
      <c r="A52" s="54"/>
      <c r="B52" s="54"/>
      <c r="C52" s="81" t="s">
        <v>388</v>
      </c>
      <c r="D52" s="175" t="s">
        <v>165</v>
      </c>
      <c r="E52" s="175" t="s">
        <v>134</v>
      </c>
      <c r="G52" s="1037"/>
      <c r="H52" s="1036">
        <f>MIN(H53-H50,0)</f>
        <v>0</v>
      </c>
      <c r="I52" s="1036">
        <f t="shared" ref="I52:S52" si="47">MIN(I53-I50,0)</f>
        <v>-107</v>
      </c>
      <c r="J52" s="1036">
        <f t="shared" si="47"/>
        <v>0</v>
      </c>
      <c r="K52" s="1036">
        <f t="shared" si="47"/>
        <v>-27</v>
      </c>
      <c r="L52" s="105">
        <f t="shared" si="47"/>
        <v>0</v>
      </c>
      <c r="M52" s="105">
        <f t="shared" si="47"/>
        <v>0</v>
      </c>
      <c r="N52" s="105">
        <f t="shared" si="47"/>
        <v>0</v>
      </c>
      <c r="O52" s="105">
        <f t="shared" si="47"/>
        <v>0</v>
      </c>
      <c r="P52" s="105">
        <f t="shared" si="47"/>
        <v>0</v>
      </c>
      <c r="Q52" s="105">
        <f t="shared" si="47"/>
        <v>0</v>
      </c>
      <c r="R52" s="105">
        <f t="shared" si="47"/>
        <v>0</v>
      </c>
      <c r="S52" s="105">
        <f t="shared" si="47"/>
        <v>0</v>
      </c>
      <c r="U52" s="93">
        <f t="shared" si="0"/>
        <v>1</v>
      </c>
      <c r="V52" s="24">
        <v>1</v>
      </c>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row>
    <row r="53" spans="1:99" ht="13.5" customHeight="1">
      <c r="A53" s="54"/>
      <c r="B53" s="54"/>
      <c r="C53" s="103" t="s">
        <v>389</v>
      </c>
      <c r="D53" s="32" t="s">
        <v>165</v>
      </c>
      <c r="E53" s="32" t="s">
        <v>134</v>
      </c>
      <c r="F53" s="32"/>
      <c r="G53" s="1039">
        <v>128</v>
      </c>
      <c r="H53" s="1040">
        <v>470</v>
      </c>
      <c r="I53" s="1040">
        <v>363</v>
      </c>
      <c r="J53" s="1040">
        <v>475</v>
      </c>
      <c r="K53" s="1040">
        <v>448</v>
      </c>
      <c r="L53" s="101">
        <f>L58*'DCF - Financials'!L134</f>
        <v>456.47790990770295</v>
      </c>
      <c r="M53" s="101">
        <f>M58*'DCF - Financials'!M134</f>
        <v>479.73187104537294</v>
      </c>
      <c r="N53" s="101">
        <f>N58*'DCF - Financials'!N134</f>
        <v>503.69080100226398</v>
      </c>
      <c r="O53" s="101">
        <f>O58*'DCF - Financials'!O134</f>
        <v>529.27925023726038</v>
      </c>
      <c r="P53" s="101">
        <f>P58*'DCF - Financials'!P134</f>
        <v>556.8452369357982</v>
      </c>
      <c r="Q53" s="101">
        <f>Q58*'DCF - Financials'!Q134</f>
        <v>585.96806438452234</v>
      </c>
      <c r="R53" s="101">
        <f>R58*'DCF - Financials'!R134</f>
        <v>616.88232953264526</v>
      </c>
      <c r="S53" s="101">
        <f>S58*'DCF - Financials'!S134</f>
        <v>649.89692623743701</v>
      </c>
      <c r="U53" s="93">
        <f t="shared" si="0"/>
        <v>1</v>
      </c>
      <c r="V53" s="24">
        <v>1</v>
      </c>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row>
    <row r="54" spans="1:99" ht="13.5" customHeight="1">
      <c r="A54" s="54"/>
      <c r="B54" s="54"/>
      <c r="C54" s="81"/>
      <c r="G54" s="97"/>
      <c r="H54" s="1025"/>
      <c r="I54" s="1025"/>
      <c r="J54" s="1025"/>
      <c r="K54" s="1025"/>
      <c r="L54"/>
      <c r="M54"/>
      <c r="N54"/>
      <c r="O54"/>
      <c r="P54"/>
      <c r="Q54"/>
      <c r="R54"/>
      <c r="S54"/>
      <c r="U54" s="93">
        <f t="shared" si="0"/>
        <v>0</v>
      </c>
      <c r="V54" s="24">
        <v>0</v>
      </c>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row>
    <row r="55" spans="1:99" ht="13.5" customHeight="1">
      <c r="A55" s="54"/>
      <c r="B55" s="54"/>
      <c r="C55" s="81" t="s">
        <v>382</v>
      </c>
      <c r="D55" s="3" t="s">
        <v>166</v>
      </c>
      <c r="E55" s="3" t="s">
        <v>134</v>
      </c>
      <c r="G55" s="1027"/>
      <c r="H55" s="1027">
        <f t="shared" ref="H55:J55" si="48">-H56/H50</f>
        <v>0.1171875</v>
      </c>
      <c r="I55" s="1027">
        <f t="shared" si="48"/>
        <v>3.4042553191489362E-2</v>
      </c>
      <c r="J55" s="1027">
        <f t="shared" si="48"/>
        <v>3.3057851239669422E-2</v>
      </c>
      <c r="K55" s="1027">
        <f>-K56/K50</f>
        <v>3.1578947368421054E-2</v>
      </c>
      <c r="L55" s="98">
        <f>AVERAGE(I55:K55)</f>
        <v>3.2893117266526613E-2</v>
      </c>
      <c r="M55" s="98">
        <v>3.2893117266526613E-2</v>
      </c>
      <c r="N55" s="98">
        <v>3.2893117266526613E-2</v>
      </c>
      <c r="O55" s="98">
        <v>3.2893117266526613E-2</v>
      </c>
      <c r="P55" s="98">
        <v>3.2893117266526613E-2</v>
      </c>
      <c r="Q55" s="98">
        <v>3.2893117266526613E-2</v>
      </c>
      <c r="R55" s="98">
        <v>3.2893117266526613E-2</v>
      </c>
      <c r="S55" s="98">
        <v>3.2893117266526613E-2</v>
      </c>
      <c r="U55" s="93">
        <f t="shared" si="0"/>
        <v>1</v>
      </c>
      <c r="V55" s="24">
        <v>1</v>
      </c>
    </row>
    <row r="56" spans="1:99" ht="13.5" customHeight="1">
      <c r="A56" s="54"/>
      <c r="B56" s="54"/>
      <c r="C56" s="81" t="s">
        <v>390</v>
      </c>
      <c r="D56" s="3" t="s">
        <v>165</v>
      </c>
      <c r="E56" s="3" t="s">
        <v>134</v>
      </c>
      <c r="G56" s="1043">
        <v>-7</v>
      </c>
      <c r="H56" s="1038">
        <v>-15</v>
      </c>
      <c r="I56" s="1038">
        <v>-16</v>
      </c>
      <c r="J56" s="1038">
        <v>-12</v>
      </c>
      <c r="K56" s="1034">
        <v>-15</v>
      </c>
      <c r="L56" s="154">
        <f>-SUM(L50)*L55</f>
        <v>-14.736116535403923</v>
      </c>
      <c r="M56" s="154">
        <f t="shared" ref="M56:S56" si="49">-SUM(M50)*M55</f>
        <v>-15.014981420173044</v>
      </c>
      <c r="N56" s="154">
        <f t="shared" si="49"/>
        <v>-15.779876690785676</v>
      </c>
      <c r="O56" s="154">
        <f t="shared" si="49"/>
        <v>-16.56796058343819</v>
      </c>
      <c r="P56" s="154">
        <f t="shared" si="49"/>
        <v>-17.409644444793489</v>
      </c>
      <c r="Q56" s="154">
        <f t="shared" si="49"/>
        <v>-18.316375677836007</v>
      </c>
      <c r="R56" s="154">
        <f t="shared" si="49"/>
        <v>-19.274316256239711</v>
      </c>
      <c r="S56" s="154">
        <f t="shared" si="49"/>
        <v>-20.291182804965413</v>
      </c>
      <c r="U56" s="93">
        <f t="shared" si="0"/>
        <v>1</v>
      </c>
      <c r="V56" s="24">
        <v>1</v>
      </c>
    </row>
    <row r="57" spans="1:99" ht="13.5" customHeight="1">
      <c r="A57" s="54"/>
      <c r="B57" s="54"/>
      <c r="C57" s="81"/>
      <c r="G57" s="161"/>
      <c r="H57" s="1024"/>
      <c r="I57" s="1024"/>
      <c r="J57" s="1024"/>
      <c r="K57" s="1025"/>
      <c r="L57" s="161"/>
      <c r="M57" s="161"/>
      <c r="N57" s="161"/>
      <c r="O57" s="161"/>
      <c r="P57" s="161"/>
      <c r="Q57" s="161"/>
      <c r="R57" s="161"/>
      <c r="S57" s="161"/>
      <c r="U57" s="93">
        <f t="shared" si="0"/>
        <v>0</v>
      </c>
      <c r="V57" s="24">
        <v>0</v>
      </c>
    </row>
    <row r="58" spans="1:99" ht="13.5" customHeight="1">
      <c r="B58" s="20"/>
      <c r="C58" s="81" t="s">
        <v>391</v>
      </c>
      <c r="D58" s="3" t="s">
        <v>166</v>
      </c>
      <c r="E58" s="3" t="s">
        <v>206</v>
      </c>
      <c r="G58" s="106">
        <f>G53/'DCF - Financials'!G134</f>
        <v>2.8731762065095399E-2</v>
      </c>
      <c r="H58" s="106">
        <f>H53/'DCF - Financials'!H134</f>
        <v>9.5412099066179451E-2</v>
      </c>
      <c r="I58" s="106">
        <f>I53/'DCF - Financials'!I134</f>
        <v>7.4860796040420702E-2</v>
      </c>
      <c r="J58" s="106">
        <f>J53/'DCF - Financials'!J134</f>
        <v>8.1224350205198359E-2</v>
      </c>
      <c r="K58" s="106">
        <f>K53/'DCF - Financials'!K134</f>
        <v>7.2940410289807883E-2</v>
      </c>
      <c r="L58" s="98">
        <v>7.0633883533340394E-2</v>
      </c>
      <c r="M58" s="98">
        <v>7.0633883533340394E-2</v>
      </c>
      <c r="N58" s="98">
        <v>7.0633883533340394E-2</v>
      </c>
      <c r="O58" s="98">
        <v>7.0633883533340366E-2</v>
      </c>
      <c r="P58" s="98">
        <v>7.0633883533340366E-2</v>
      </c>
      <c r="Q58" s="98">
        <v>7.0633883533340366E-2</v>
      </c>
      <c r="R58" s="98">
        <v>7.0633883533340366E-2</v>
      </c>
      <c r="S58" s="98">
        <v>7.0633883533340366E-2</v>
      </c>
      <c r="T58" s="94"/>
      <c r="U58" s="93">
        <f t="shared" si="0"/>
        <v>1</v>
      </c>
      <c r="V58" s="24">
        <v>1</v>
      </c>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row>
    <row r="59" spans="1:99" ht="13.5" customHeight="1">
      <c r="A59" s="54"/>
      <c r="B59" s="54"/>
      <c r="C59" s="81"/>
      <c r="H59" s="161"/>
      <c r="I59" s="161"/>
      <c r="J59" s="161"/>
      <c r="K59" s="161"/>
      <c r="L59" s="97"/>
      <c r="M59" s="97"/>
      <c r="N59" s="97"/>
      <c r="O59" s="97"/>
      <c r="P59" s="97"/>
      <c r="Q59" s="97"/>
      <c r="R59" s="97"/>
      <c r="S59" s="97"/>
      <c r="U59" s="93">
        <f t="shared" si="0"/>
        <v>0</v>
      </c>
      <c r="V59" s="24">
        <v>0</v>
      </c>
    </row>
    <row r="60" spans="1:99" ht="13.5" customHeight="1">
      <c r="A60" s="54"/>
      <c r="B60" s="54"/>
      <c r="C60" s="103" t="s">
        <v>392</v>
      </c>
      <c r="D60" s="32"/>
      <c r="E60" s="32"/>
      <c r="F60" s="32"/>
      <c r="G60" s="1050">
        <f>G61-G53</f>
        <v>94</v>
      </c>
      <c r="H60" s="1050">
        <f>H61-H53</f>
        <v>-77</v>
      </c>
      <c r="I60" s="1050">
        <f>I61-I53</f>
        <v>21</v>
      </c>
      <c r="J60" s="1050">
        <f>J61-J53</f>
        <v>-95</v>
      </c>
      <c r="K60" s="1050">
        <f>K61-K53</f>
        <v>299</v>
      </c>
      <c r="L60" s="101">
        <f>K60</f>
        <v>299</v>
      </c>
      <c r="M60" s="101">
        <f t="shared" ref="M60:S60" si="50">L60</f>
        <v>299</v>
      </c>
      <c r="N60" s="101">
        <f t="shared" si="50"/>
        <v>299</v>
      </c>
      <c r="O60" s="101">
        <f t="shared" si="50"/>
        <v>299</v>
      </c>
      <c r="P60" s="101">
        <f t="shared" si="50"/>
        <v>299</v>
      </c>
      <c r="Q60" s="101">
        <f t="shared" si="50"/>
        <v>299</v>
      </c>
      <c r="R60" s="101">
        <f t="shared" si="50"/>
        <v>299</v>
      </c>
      <c r="S60" s="101">
        <f t="shared" si="50"/>
        <v>299</v>
      </c>
      <c r="U60" s="93">
        <f t="shared" si="0"/>
        <v>1</v>
      </c>
      <c r="V60" s="24">
        <v>1</v>
      </c>
    </row>
    <row r="61" spans="1:99" ht="13.5" customHeight="1">
      <c r="A61" s="54"/>
      <c r="B61" s="54"/>
      <c r="C61" s="115" t="s">
        <v>393</v>
      </c>
      <c r="G61" s="161">
        <f>'DCF - Financials'!G155</f>
        <v>222</v>
      </c>
      <c r="H61" s="161">
        <f>'DCF - Financials'!H155</f>
        <v>393</v>
      </c>
      <c r="I61" s="161">
        <f>'DCF - Financials'!I155</f>
        <v>384</v>
      </c>
      <c r="J61" s="161">
        <f>'DCF - Financials'!J155</f>
        <v>380</v>
      </c>
      <c r="K61" s="161">
        <f>'DCF - Financials'!K155</f>
        <v>747</v>
      </c>
      <c r="L61" s="154">
        <f t="shared" ref="L61:S61" si="51">L60+L53</f>
        <v>755.47790990770295</v>
      </c>
      <c r="M61" s="154">
        <f t="shared" si="51"/>
        <v>778.73187104537294</v>
      </c>
      <c r="N61" s="154">
        <f t="shared" si="51"/>
        <v>802.69080100226392</v>
      </c>
      <c r="O61" s="154">
        <f t="shared" si="51"/>
        <v>828.27925023726038</v>
      </c>
      <c r="P61" s="154">
        <f t="shared" si="51"/>
        <v>855.8452369357982</v>
      </c>
      <c r="Q61" s="154">
        <f t="shared" si="51"/>
        <v>884.96806438452234</v>
      </c>
      <c r="R61" s="154">
        <f t="shared" si="51"/>
        <v>915.88232953264526</v>
      </c>
      <c r="S61" s="154">
        <f t="shared" si="51"/>
        <v>948.89692623743701</v>
      </c>
      <c r="U61" s="93">
        <f t="shared" si="0"/>
        <v>1</v>
      </c>
      <c r="V61" s="24">
        <v>1</v>
      </c>
    </row>
    <row r="62" spans="1:99" ht="13.5" customHeight="1">
      <c r="A62"/>
      <c r="B62" s="54"/>
      <c r="C62" s="81"/>
      <c r="G62" s="161"/>
      <c r="H62" s="1024"/>
      <c r="I62" s="1024"/>
      <c r="J62" s="1024"/>
      <c r="K62"/>
      <c r="L62"/>
      <c r="M62"/>
      <c r="N62"/>
      <c r="O62"/>
      <c r="P62"/>
      <c r="Q62"/>
      <c r="R62"/>
      <c r="S62"/>
      <c r="T62"/>
      <c r="U62" s="93">
        <f t="shared" si="0"/>
        <v>0</v>
      </c>
      <c r="V62" s="24">
        <v>0</v>
      </c>
    </row>
    <row r="63" spans="1:99" s="2" customFormat="1" ht="13.5" customHeight="1">
      <c r="A63" s="54"/>
      <c r="B63" s="54"/>
      <c r="C63" s="81" t="s">
        <v>394</v>
      </c>
      <c r="D63" s="3" t="s">
        <v>165</v>
      </c>
      <c r="E63" s="3" t="s">
        <v>134</v>
      </c>
      <c r="G63" s="97"/>
      <c r="H63" s="97">
        <f t="shared" ref="H63:S63" si="52">H46</f>
        <v>-510</v>
      </c>
      <c r="I63" s="97">
        <f t="shared" si="52"/>
        <v>-449</v>
      </c>
      <c r="J63" s="97">
        <f t="shared" si="52"/>
        <v>-463</v>
      </c>
      <c r="K63" s="97">
        <f t="shared" si="52"/>
        <v>-741</v>
      </c>
      <c r="L63" s="105">
        <f t="shared" si="52"/>
        <v>-727.66980000000001</v>
      </c>
      <c r="M63" s="105">
        <f t="shared" si="52"/>
        <v>-725.23629537229965</v>
      </c>
      <c r="N63" s="105">
        <f t="shared" si="52"/>
        <v>-615.09219560072506</v>
      </c>
      <c r="O63" s="105">
        <f t="shared" si="52"/>
        <v>-687.42897082886293</v>
      </c>
      <c r="P63" s="105">
        <f t="shared" si="52"/>
        <v>-711.71996495344627</v>
      </c>
      <c r="Q63" s="105">
        <f t="shared" si="52"/>
        <v>-770.48047632159034</v>
      </c>
      <c r="R63" s="105">
        <f t="shared" si="52"/>
        <v>-810.98689268111423</v>
      </c>
      <c r="S63" s="105">
        <f t="shared" si="52"/>
        <v>-872.13959944475823</v>
      </c>
      <c r="U63" s="93">
        <f t="shared" si="0"/>
        <v>1</v>
      </c>
      <c r="V63" s="24">
        <v>1</v>
      </c>
    </row>
    <row r="64" spans="1:99" s="2" customFormat="1" ht="13.5" customHeight="1">
      <c r="A64" s="54"/>
      <c r="B64" s="54"/>
      <c r="C64" s="81" t="s">
        <v>395</v>
      </c>
      <c r="D64" s="3" t="s">
        <v>165</v>
      </c>
      <c r="E64" s="3" t="s">
        <v>134</v>
      </c>
      <c r="G64" s="97"/>
      <c r="H64" s="97">
        <f t="shared" ref="H64:S64" si="53">H56</f>
        <v>-15</v>
      </c>
      <c r="I64" s="97">
        <f t="shared" si="53"/>
        <v>-16</v>
      </c>
      <c r="J64" s="97">
        <f t="shared" si="53"/>
        <v>-12</v>
      </c>
      <c r="K64" s="97">
        <f t="shared" si="53"/>
        <v>-15</v>
      </c>
      <c r="L64" s="105">
        <f t="shared" si="53"/>
        <v>-14.736116535403923</v>
      </c>
      <c r="M64" s="105">
        <f t="shared" si="53"/>
        <v>-15.014981420173044</v>
      </c>
      <c r="N64" s="105">
        <f t="shared" si="53"/>
        <v>-15.779876690785676</v>
      </c>
      <c r="O64" s="105">
        <f t="shared" si="53"/>
        <v>-16.56796058343819</v>
      </c>
      <c r="P64" s="105">
        <f t="shared" si="53"/>
        <v>-17.409644444793489</v>
      </c>
      <c r="Q64" s="105">
        <f t="shared" si="53"/>
        <v>-18.316375677836007</v>
      </c>
      <c r="R64" s="105">
        <f t="shared" si="53"/>
        <v>-19.274316256239711</v>
      </c>
      <c r="S64" s="105">
        <f t="shared" si="53"/>
        <v>-20.291182804965413</v>
      </c>
      <c r="U64" s="93">
        <f t="shared" si="0"/>
        <v>1</v>
      </c>
      <c r="V64" s="24">
        <v>1</v>
      </c>
    </row>
    <row r="65" spans="1:259" ht="13.5" customHeight="1">
      <c r="A65" s="54"/>
      <c r="B65" s="54"/>
      <c r="C65" s="149" t="s">
        <v>396</v>
      </c>
      <c r="D65" s="32" t="s">
        <v>165</v>
      </c>
      <c r="E65" s="32" t="s">
        <v>134</v>
      </c>
      <c r="F65" s="32"/>
      <c r="G65" s="102"/>
      <c r="H65" s="148">
        <f t="shared" ref="H65:S65" si="54">SUM(H63:H64)</f>
        <v>-525</v>
      </c>
      <c r="I65" s="148">
        <f t="shared" si="54"/>
        <v>-465</v>
      </c>
      <c r="J65" s="148">
        <f t="shared" si="54"/>
        <v>-475</v>
      </c>
      <c r="K65" s="148">
        <f t="shared" si="54"/>
        <v>-756</v>
      </c>
      <c r="L65" s="147">
        <f t="shared" si="54"/>
        <v>-742.40591653540389</v>
      </c>
      <c r="M65" s="147">
        <f t="shared" si="54"/>
        <v>-740.25127679247271</v>
      </c>
      <c r="N65" s="147">
        <f t="shared" si="54"/>
        <v>-630.87207229151079</v>
      </c>
      <c r="O65" s="147">
        <f t="shared" si="54"/>
        <v>-703.99693141230114</v>
      </c>
      <c r="P65" s="147">
        <f t="shared" si="54"/>
        <v>-729.12960939823972</v>
      </c>
      <c r="Q65" s="147">
        <f t="shared" si="54"/>
        <v>-788.79685199942639</v>
      </c>
      <c r="R65" s="147">
        <f t="shared" si="54"/>
        <v>-830.2612089373539</v>
      </c>
      <c r="S65" s="147">
        <f t="shared" si="54"/>
        <v>-892.43078224972362</v>
      </c>
      <c r="U65" s="93">
        <f t="shared" si="0"/>
        <v>1</v>
      </c>
      <c r="V65" s="24">
        <v>1</v>
      </c>
    </row>
    <row r="66" spans="1:259" s="2" customFormat="1" ht="13.5" customHeight="1">
      <c r="A66" s="54"/>
      <c r="B66" s="54"/>
      <c r="C66" s="1015"/>
      <c r="D66" s="3"/>
      <c r="E66" s="3"/>
      <c r="G66" s="97"/>
      <c r="H66" s="97"/>
      <c r="I66" s="97"/>
      <c r="J66" s="97"/>
      <c r="K66" s="97"/>
      <c r="L66" s="97"/>
      <c r="M66" s="97"/>
      <c r="N66" s="97"/>
      <c r="O66" s="97"/>
      <c r="P66" s="97"/>
      <c r="Q66" s="97"/>
      <c r="R66" s="97"/>
      <c r="S66" s="97"/>
      <c r="U66" s="93">
        <f t="shared" si="0"/>
        <v>0</v>
      </c>
      <c r="V66" s="24">
        <v>0</v>
      </c>
    </row>
    <row r="67" spans="1:259" ht="13.5" customHeight="1">
      <c r="C67" s="81" t="s">
        <v>397</v>
      </c>
      <c r="L67" s="174"/>
      <c r="M67" s="174"/>
      <c r="N67" s="174"/>
      <c r="O67" s="174"/>
      <c r="P67" s="174"/>
      <c r="Q67" s="174"/>
      <c r="R67" s="174"/>
      <c r="S67" s="174"/>
      <c r="U67" s="93">
        <f t="shared" si="0"/>
        <v>1</v>
      </c>
      <c r="V67" s="24">
        <v>1</v>
      </c>
    </row>
    <row r="68" spans="1:259" ht="13.5" customHeight="1">
      <c r="C68" s="81" t="s">
        <v>398</v>
      </c>
      <c r="L68" s="174"/>
      <c r="M68" s="174"/>
      <c r="N68" s="174"/>
      <c r="O68" s="174"/>
      <c r="P68" s="174"/>
      <c r="Q68" s="174"/>
      <c r="R68" s="174"/>
      <c r="S68" s="174"/>
      <c r="U68" s="93">
        <f t="shared" si="0"/>
        <v>1</v>
      </c>
      <c r="V68" s="24">
        <v>1</v>
      </c>
    </row>
    <row r="69" spans="1:259" ht="13.5" customHeight="1">
      <c r="C69" s="81"/>
      <c r="L69" s="174"/>
      <c r="M69" s="174"/>
      <c r="N69" s="174"/>
      <c r="O69" s="174"/>
      <c r="P69" s="174"/>
      <c r="Q69" s="174"/>
      <c r="R69" s="174"/>
      <c r="S69" s="174"/>
      <c r="U69" s="93">
        <f t="shared" si="0"/>
        <v>0</v>
      </c>
      <c r="V69" s="24">
        <v>0</v>
      </c>
    </row>
    <row r="70" spans="1:259">
      <c r="C70" s="926" t="s">
        <v>399</v>
      </c>
      <c r="D70" s="927"/>
      <c r="E70" s="927"/>
      <c r="F70" s="927"/>
      <c r="G70" s="927"/>
      <c r="H70" s="927"/>
      <c r="I70" s="927"/>
      <c r="J70" s="927"/>
      <c r="K70" s="927"/>
      <c r="L70" s="927"/>
      <c r="M70" s="927"/>
      <c r="N70" s="927"/>
      <c r="O70" s="927"/>
      <c r="P70" s="927"/>
      <c r="Q70" s="927"/>
      <c r="R70" s="927"/>
      <c r="S70" s="927"/>
      <c r="U70" s="93">
        <f t="shared" si="0"/>
        <v>1</v>
      </c>
      <c r="V70" s="24">
        <v>1</v>
      </c>
    </row>
    <row r="71" spans="1:259" s="2" customFormat="1" ht="13.5" customHeight="1">
      <c r="A71" s="3"/>
      <c r="B71" s="3"/>
      <c r="C71" s="3"/>
      <c r="D71" s="3"/>
      <c r="E71" s="3"/>
      <c r="F71" s="3"/>
      <c r="G71" s="3"/>
      <c r="H71" s="3"/>
      <c r="I71" s="3"/>
      <c r="J71" s="3"/>
      <c r="K71" s="3"/>
      <c r="L71" s="214" t="str">
        <f>L6</f>
        <v>Projected Fiscal Years Ending June 31</v>
      </c>
      <c r="M71" s="975"/>
      <c r="N71" s="975"/>
      <c r="O71" s="975"/>
      <c r="P71" s="975"/>
      <c r="Q71" s="975"/>
      <c r="R71" s="975"/>
      <c r="S71" s="975"/>
      <c r="U71" s="93">
        <f t="shared" si="0"/>
        <v>0</v>
      </c>
      <c r="V71" s="24">
        <v>0</v>
      </c>
    </row>
    <row r="72" spans="1:259" s="2" customFormat="1" ht="13.5" customHeight="1" thickBot="1">
      <c r="A72" s="3"/>
      <c r="B72" s="3"/>
      <c r="C72" s="145"/>
      <c r="D72" s="85" t="str">
        <f>+D$7</f>
        <v>Unit</v>
      </c>
      <c r="E72" s="85" t="str">
        <f>+E$7</f>
        <v>Type</v>
      </c>
      <c r="F72" s="57"/>
      <c r="G72" s="85">
        <f t="shared" ref="G72:S72" si="55">+G$7</f>
        <v>2019</v>
      </c>
      <c r="H72" s="85">
        <f t="shared" si="55"/>
        <v>2020</v>
      </c>
      <c r="I72" s="85">
        <f t="shared" si="55"/>
        <v>2021</v>
      </c>
      <c r="J72" s="85">
        <f t="shared" si="55"/>
        <v>2022</v>
      </c>
      <c r="K72" s="85">
        <f t="shared" si="55"/>
        <v>2023</v>
      </c>
      <c r="L72" s="85">
        <f t="shared" si="55"/>
        <v>2024</v>
      </c>
      <c r="M72" s="85">
        <f t="shared" si="55"/>
        <v>2025</v>
      </c>
      <c r="N72" s="85">
        <f t="shared" si="55"/>
        <v>2026</v>
      </c>
      <c r="O72" s="85">
        <f t="shared" si="55"/>
        <v>2027</v>
      </c>
      <c r="P72" s="85">
        <f t="shared" si="55"/>
        <v>2028</v>
      </c>
      <c r="Q72" s="85">
        <f t="shared" si="55"/>
        <v>2029</v>
      </c>
      <c r="R72" s="85">
        <f t="shared" si="55"/>
        <v>2030</v>
      </c>
      <c r="S72" s="85">
        <f t="shared" si="55"/>
        <v>2031</v>
      </c>
      <c r="T72" s="23"/>
      <c r="U72" s="93">
        <f t="shared" ref="U72:U137" si="56">IF(NOT(ISBLANK(C72)), 1, 0)</f>
        <v>0</v>
      </c>
      <c r="V72" s="24">
        <v>0</v>
      </c>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c r="FF72" s="23"/>
      <c r="FG72" s="23"/>
      <c r="FH72" s="23"/>
      <c r="FI72" s="23"/>
      <c r="FJ72" s="23"/>
      <c r="FK72" s="23"/>
      <c r="FL72" s="23"/>
      <c r="FM72" s="23"/>
      <c r="FN72" s="23"/>
      <c r="FO72" s="23"/>
      <c r="FP72" s="23"/>
      <c r="FQ72" s="23"/>
      <c r="FR72" s="23"/>
      <c r="FS72" s="23"/>
      <c r="FT72" s="23"/>
      <c r="FU72" s="23"/>
      <c r="FV72" s="23"/>
      <c r="FW72" s="23"/>
      <c r="FX72" s="23"/>
      <c r="FY72" s="23"/>
      <c r="FZ72" s="23"/>
      <c r="GA72" s="23"/>
      <c r="GB72" s="23"/>
      <c r="GC72" s="23"/>
      <c r="GD72" s="23"/>
      <c r="GE72" s="23"/>
      <c r="GF72" s="23"/>
      <c r="GG72" s="23"/>
      <c r="GH72" s="23"/>
      <c r="GI72" s="23"/>
      <c r="GJ72" s="23"/>
      <c r="GK72" s="23"/>
      <c r="GL72" s="23"/>
      <c r="GM72" s="23"/>
      <c r="GN72" s="23"/>
      <c r="GO72" s="23"/>
      <c r="GP72" s="23"/>
      <c r="GQ72" s="23"/>
      <c r="GR72" s="23"/>
      <c r="GS72" s="23"/>
      <c r="GT72" s="23"/>
      <c r="GU72" s="23"/>
      <c r="GV72" s="23"/>
      <c r="GW72" s="23"/>
      <c r="GX72" s="23"/>
      <c r="GY72" s="23"/>
      <c r="GZ72" s="23"/>
      <c r="HA72" s="23"/>
      <c r="HB72" s="23"/>
      <c r="HC72" s="23"/>
      <c r="HD72" s="23"/>
      <c r="HE72" s="23"/>
      <c r="HF72" s="23"/>
      <c r="HG72" s="23"/>
      <c r="HH72" s="23"/>
      <c r="HI72" s="23"/>
      <c r="HJ72" s="23"/>
      <c r="HK72" s="23"/>
      <c r="HL72" s="23"/>
      <c r="HM72" s="23"/>
      <c r="HN72" s="23"/>
      <c r="HO72" s="23"/>
      <c r="HP72" s="23"/>
      <c r="HQ72" s="23"/>
      <c r="HR72" s="23"/>
      <c r="HS72" s="23"/>
      <c r="HT72" s="23"/>
      <c r="HU72" s="23"/>
      <c r="HV72" s="23"/>
      <c r="HW72" s="23"/>
      <c r="HX72" s="23"/>
      <c r="HY72" s="23"/>
      <c r="HZ72" s="23"/>
      <c r="IA72" s="23"/>
      <c r="IB72" s="23"/>
      <c r="IC72" s="23"/>
      <c r="ID72" s="23"/>
      <c r="IE72" s="23"/>
      <c r="IF72" s="23"/>
      <c r="IG72" s="23"/>
      <c r="IH72" s="23"/>
      <c r="II72" s="23"/>
      <c r="IJ72" s="23"/>
      <c r="IK72" s="23"/>
      <c r="IL72" s="23"/>
      <c r="IM72" s="23"/>
      <c r="IN72" s="23"/>
      <c r="IO72" s="23"/>
      <c r="IP72" s="23"/>
      <c r="IQ72" s="23"/>
      <c r="IR72" s="23"/>
      <c r="IS72" s="23"/>
      <c r="IT72" s="23"/>
      <c r="IU72" s="23"/>
      <c r="IV72" s="23"/>
      <c r="IW72" s="23"/>
      <c r="IX72" s="23"/>
    </row>
    <row r="73" spans="1:259" ht="13.5" customHeight="1">
      <c r="A73" s="54"/>
      <c r="B73" s="54"/>
      <c r="C73" s="115" t="s">
        <v>400</v>
      </c>
      <c r="K73" s="151"/>
      <c r="L73" s="1032"/>
      <c r="M73" s="97"/>
      <c r="N73" s="97"/>
      <c r="O73" s="97"/>
      <c r="P73" s="97"/>
      <c r="Q73" s="97"/>
      <c r="R73" s="97"/>
      <c r="S73" s="97"/>
      <c r="U73" s="93">
        <f t="shared" si="56"/>
        <v>1</v>
      </c>
      <c r="V73" s="24">
        <v>1</v>
      </c>
    </row>
    <row r="74" spans="1:259" s="2" customFormat="1" ht="13.5" customHeight="1">
      <c r="A74" s="54"/>
      <c r="B74" s="54"/>
      <c r="C74" s="81" t="s">
        <v>401</v>
      </c>
      <c r="D74" s="3" t="s">
        <v>151</v>
      </c>
      <c r="E74" s="3" t="s">
        <v>372</v>
      </c>
      <c r="F74" s="3"/>
      <c r="G74" s="162"/>
      <c r="H74" s="1130">
        <f>H93/H95</f>
        <v>3.3384397831722836</v>
      </c>
      <c r="I74" s="1130">
        <f>I93/I95</f>
        <v>2.8458629893238436</v>
      </c>
      <c r="J74" s="1130">
        <f>J93/J95</f>
        <v>2.5900389932647996</v>
      </c>
      <c r="K74" s="1130">
        <f>K93/K95</f>
        <v>2.6350569965306461</v>
      </c>
      <c r="L74" s="746">
        <v>2.8</v>
      </c>
      <c r="M74" s="747">
        <v>2.9</v>
      </c>
      <c r="N74" s="747">
        <v>3</v>
      </c>
      <c r="O74" s="747">
        <v>2.9</v>
      </c>
      <c r="P74" s="747">
        <v>2.9</v>
      </c>
      <c r="Q74" s="747">
        <v>2.9</v>
      </c>
      <c r="R74" s="747">
        <v>2.9</v>
      </c>
      <c r="S74" s="748">
        <v>2.9</v>
      </c>
      <c r="U74" s="93">
        <f t="shared" si="56"/>
        <v>1</v>
      </c>
      <c r="V74" s="24">
        <v>1</v>
      </c>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row>
    <row r="75" spans="1:259" ht="13.5" customHeight="1">
      <c r="A75" s="54"/>
      <c r="B75" s="54"/>
      <c r="C75" s="81" t="s">
        <v>402</v>
      </c>
      <c r="D75" s="3" t="s">
        <v>165</v>
      </c>
      <c r="E75" s="3" t="s">
        <v>403</v>
      </c>
      <c r="F75" s="23"/>
      <c r="G75" s="104"/>
      <c r="H75" s="136">
        <f>'DCF - Financials'!H129</f>
        <v>3323</v>
      </c>
      <c r="I75" s="136">
        <f>'DCF - Financials'!I129</f>
        <v>2749</v>
      </c>
      <c r="J75" s="136">
        <f>'DCF - Financials'!J129</f>
        <v>2285</v>
      </c>
      <c r="K75" s="136">
        <f>'DCF - Financials'!K129</f>
        <v>1439</v>
      </c>
      <c r="L75" s="749">
        <v>2449</v>
      </c>
      <c r="M75" s="158">
        <f>L75+300</f>
        <v>2749</v>
      </c>
      <c r="N75" s="158">
        <f>M75+300</f>
        <v>3049</v>
      </c>
      <c r="O75" s="158">
        <f>N75+300</f>
        <v>3349</v>
      </c>
      <c r="P75" s="158">
        <f>O75+300</f>
        <v>3649</v>
      </c>
      <c r="Q75" s="158">
        <f>P75+300</f>
        <v>3949</v>
      </c>
      <c r="R75" s="158">
        <f>Q75+300</f>
        <v>4249</v>
      </c>
      <c r="S75" s="750">
        <f>R75+300</f>
        <v>4549</v>
      </c>
      <c r="U75" s="93">
        <f t="shared" si="56"/>
        <v>1</v>
      </c>
      <c r="V75" s="24">
        <v>1</v>
      </c>
    </row>
    <row r="76" spans="1:259" ht="13.5" customHeight="1">
      <c r="A76" s="54"/>
      <c r="B76" s="54"/>
      <c r="C76" s="81" t="s">
        <v>404</v>
      </c>
      <c r="D76" s="3" t="s">
        <v>166</v>
      </c>
      <c r="E76" s="3" t="s">
        <v>127</v>
      </c>
      <c r="H76" s="693">
        <v>0</v>
      </c>
      <c r="I76" s="693">
        <v>0</v>
      </c>
      <c r="J76" s="693">
        <v>0</v>
      </c>
      <c r="K76" s="693">
        <v>0</v>
      </c>
      <c r="L76" s="751">
        <v>0</v>
      </c>
      <c r="M76" s="752">
        <v>0</v>
      </c>
      <c r="N76" s="752">
        <v>0</v>
      </c>
      <c r="O76" s="752">
        <v>0</v>
      </c>
      <c r="P76" s="752">
        <v>0</v>
      </c>
      <c r="Q76" s="752">
        <v>0</v>
      </c>
      <c r="R76" s="752">
        <v>0</v>
      </c>
      <c r="S76" s="753">
        <v>0</v>
      </c>
      <c r="U76" s="93">
        <f t="shared" si="56"/>
        <v>1</v>
      </c>
      <c r="V76" s="24">
        <v>1</v>
      </c>
    </row>
    <row r="77" spans="1:259" s="2" customFormat="1" ht="13.5" customHeight="1">
      <c r="A77" s="54"/>
      <c r="B77" s="54"/>
      <c r="C77" s="81" t="s">
        <v>405</v>
      </c>
      <c r="D77" s="3" t="s">
        <v>165</v>
      </c>
      <c r="E77" s="3" t="s">
        <v>134</v>
      </c>
      <c r="F77" s="3"/>
      <c r="G77" s="162"/>
      <c r="H77" s="1130">
        <f t="shared" ref="H77:K77" si="57">IFERROR(IF(OR(H95&lt;0,H93&lt;0),0,H93/H95),0)</f>
        <v>3.3384397831722836</v>
      </c>
      <c r="I77" s="1130">
        <f t="shared" si="57"/>
        <v>2.8458629893238436</v>
      </c>
      <c r="J77" s="1130">
        <f t="shared" si="57"/>
        <v>2.5900389932647996</v>
      </c>
      <c r="K77" s="1130">
        <f t="shared" si="57"/>
        <v>2.6350569965306461</v>
      </c>
      <c r="L77" s="1105">
        <f>IFERROR(IF(OR(L95&lt;0,L93&lt;0),0,L93/L95),0)</f>
        <v>2.8052758984276447</v>
      </c>
      <c r="M77" s="1106">
        <f t="shared" ref="M77:S77" si="58">IFERROR(IF(OR(M95&lt;0,M93&lt;0),0,M93/M95),0)</f>
        <v>2.8999999999999995</v>
      </c>
      <c r="N77" s="1106">
        <f t="shared" si="58"/>
        <v>3</v>
      </c>
      <c r="O77" s="1106">
        <f t="shared" si="58"/>
        <v>2.9</v>
      </c>
      <c r="P77" s="1106">
        <f t="shared" si="58"/>
        <v>2.9</v>
      </c>
      <c r="Q77" s="1106">
        <f t="shared" si="58"/>
        <v>2.9</v>
      </c>
      <c r="R77" s="1106">
        <f t="shared" si="58"/>
        <v>2.9</v>
      </c>
      <c r="S77" s="1107">
        <f t="shared" si="58"/>
        <v>2.9</v>
      </c>
      <c r="U77" s="93">
        <f t="shared" si="56"/>
        <v>1</v>
      </c>
      <c r="V77" s="24">
        <v>1</v>
      </c>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row>
    <row r="78" spans="1:259" s="2" customFormat="1" ht="13.5" customHeight="1">
      <c r="A78" s="54"/>
      <c r="B78" s="54"/>
      <c r="C78" s="81" t="s">
        <v>406</v>
      </c>
      <c r="D78" s="3" t="s">
        <v>165</v>
      </c>
      <c r="E78" s="3" t="s">
        <v>134</v>
      </c>
      <c r="F78" s="3"/>
      <c r="G78" s="139"/>
      <c r="H78" s="685">
        <f>IFERROR(H95/-H96,0)</f>
        <v>8.0819047619047613</v>
      </c>
      <c r="I78" s="685">
        <f t="shared" ref="I78:S78" si="59">IFERROR(I95/-I96,0)</f>
        <v>9.6688172043010745</v>
      </c>
      <c r="J78" s="685">
        <f t="shared" si="59"/>
        <v>11.877894736842105</v>
      </c>
      <c r="K78" s="692">
        <f t="shared" si="59"/>
        <v>8.0066137566137563</v>
      </c>
      <c r="L78" s="689">
        <f t="shared" si="59"/>
        <v>8.1836961185357318</v>
      </c>
      <c r="M78" s="690">
        <f t="shared" si="59"/>
        <v>8.7529063227709969</v>
      </c>
      <c r="N78" s="690">
        <f t="shared" si="59"/>
        <v>10.38166738046769</v>
      </c>
      <c r="O78" s="690">
        <f t="shared" si="59"/>
        <v>10.261618482100175</v>
      </c>
      <c r="P78" s="690">
        <f t="shared" si="59"/>
        <v>10.453421329563275</v>
      </c>
      <c r="Q78" s="690">
        <f t="shared" si="59"/>
        <v>10.260154430283583</v>
      </c>
      <c r="R78" s="690">
        <f t="shared" si="59"/>
        <v>10.351250147689216</v>
      </c>
      <c r="S78" s="691">
        <f t="shared" si="59"/>
        <v>10.307509806710572</v>
      </c>
      <c r="U78" s="93">
        <f t="shared" si="56"/>
        <v>1</v>
      </c>
      <c r="V78" s="24">
        <v>1</v>
      </c>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row>
    <row r="79" spans="1:259" s="2" customFormat="1" ht="13.5" customHeight="1">
      <c r="A79" s="54"/>
      <c r="B79" s="54"/>
      <c r="C79" s="81"/>
      <c r="D79" s="3"/>
      <c r="E79" s="3"/>
      <c r="F79" s="3"/>
      <c r="G79" s="139"/>
      <c r="H79" s="685"/>
      <c r="I79" s="685"/>
      <c r="J79" s="685"/>
      <c r="K79" s="1051"/>
      <c r="L79" s="1051"/>
      <c r="M79" s="1051"/>
      <c r="N79" s="1051"/>
      <c r="O79" s="1051"/>
      <c r="P79" s="1051"/>
      <c r="Q79" s="1051"/>
      <c r="R79" s="1051"/>
      <c r="S79" s="1051"/>
      <c r="U79" s="93">
        <f t="shared" si="56"/>
        <v>0</v>
      </c>
      <c r="V79" s="24">
        <v>0</v>
      </c>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row>
    <row r="80" spans="1:259" s="2" customFormat="1" ht="13.5" customHeight="1">
      <c r="A80" s="54"/>
      <c r="B80" s="54"/>
      <c r="C80" s="81" t="s">
        <v>407</v>
      </c>
      <c r="D80" s="23"/>
      <c r="E80" s="23"/>
      <c r="F80" s="23"/>
      <c r="G80" s="165"/>
      <c r="H80" s="165"/>
      <c r="I80" s="165"/>
      <c r="J80" s="164"/>
      <c r="K80" s="164"/>
      <c r="L80" s="163"/>
      <c r="M80" s="159"/>
      <c r="N80" s="159"/>
      <c r="O80" s="159"/>
      <c r="P80" s="159"/>
      <c r="Q80" s="159"/>
      <c r="R80" s="159"/>
      <c r="S80" s="159"/>
      <c r="U80" s="93">
        <f t="shared" si="56"/>
        <v>1</v>
      </c>
      <c r="V80" s="24">
        <v>1</v>
      </c>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row>
    <row r="81" spans="1:259" s="2" customFormat="1" ht="13.5" customHeight="1">
      <c r="A81" s="54"/>
      <c r="B81" s="54"/>
      <c r="C81" s="81" t="s">
        <v>408</v>
      </c>
      <c r="D81" s="3"/>
      <c r="E81" s="3"/>
      <c r="F81" s="3"/>
      <c r="G81" s="162"/>
      <c r="H81" s="162"/>
      <c r="I81" s="162"/>
      <c r="J81" s="162"/>
      <c r="K81" s="162"/>
      <c r="L81" s="162"/>
      <c r="M81" s="162"/>
      <c r="N81" s="162"/>
      <c r="O81" s="162"/>
      <c r="P81" s="162"/>
      <c r="Q81" s="162"/>
      <c r="R81" s="162"/>
      <c r="S81" s="162"/>
      <c r="U81" s="93">
        <f t="shared" si="56"/>
        <v>1</v>
      </c>
      <c r="V81" s="24">
        <v>1</v>
      </c>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row>
    <row r="82" spans="1:259" s="2" customFormat="1" ht="13.5" customHeight="1">
      <c r="A82" s="54"/>
      <c r="B82" s="54"/>
      <c r="C82" s="81" t="s">
        <v>409</v>
      </c>
      <c r="D82" s="3"/>
      <c r="E82" s="3"/>
      <c r="F82" s="3"/>
      <c r="G82" s="162"/>
      <c r="H82" s="162"/>
      <c r="I82" s="162"/>
      <c r="J82" s="162"/>
      <c r="K82" s="162"/>
      <c r="L82" s="162"/>
      <c r="M82" s="162"/>
      <c r="N82" s="162"/>
      <c r="O82" s="162"/>
      <c r="P82" s="162"/>
      <c r="Q82" s="162"/>
      <c r="R82" s="162"/>
      <c r="S82" s="162"/>
      <c r="U82" s="93">
        <f t="shared" si="56"/>
        <v>1</v>
      </c>
      <c r="V82" s="24">
        <v>1</v>
      </c>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row>
    <row r="83" spans="1:259" s="2" customFormat="1" ht="13.5" customHeight="1">
      <c r="A83" s="54"/>
      <c r="B83" s="54"/>
      <c r="C83" s="81" t="s">
        <v>410</v>
      </c>
      <c r="D83" s="3"/>
      <c r="E83" s="3"/>
      <c r="F83" s="3"/>
      <c r="G83" s="162"/>
      <c r="H83" s="162"/>
      <c r="I83" s="162"/>
      <c r="J83" s="162"/>
      <c r="K83" s="162"/>
      <c r="L83" s="1057"/>
      <c r="M83" s="1057"/>
      <c r="N83" s="1057"/>
      <c r="O83" s="162"/>
      <c r="P83" s="162"/>
      <c r="Q83" s="162"/>
      <c r="R83" s="162"/>
      <c r="S83" s="162"/>
      <c r="U83" s="93">
        <f t="shared" si="56"/>
        <v>1</v>
      </c>
      <c r="V83" s="24">
        <v>1</v>
      </c>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row>
    <row r="84" spans="1:259" s="2" customFormat="1" ht="13.5" customHeight="1">
      <c r="A84" s="54"/>
      <c r="B84" s="54"/>
      <c r="C84" s="81"/>
      <c r="D84" s="3"/>
      <c r="E84" s="3"/>
      <c r="F84" s="3"/>
      <c r="G84" s="162"/>
      <c r="H84" s="162"/>
      <c r="I84" s="162"/>
      <c r="J84" s="162"/>
      <c r="K84" s="162"/>
      <c r="L84" s="1045"/>
      <c r="M84" s="162"/>
      <c r="N84" s="162"/>
      <c r="O84" s="162"/>
      <c r="P84" s="162"/>
      <c r="Q84" s="162"/>
      <c r="R84" s="162"/>
      <c r="S84" s="162"/>
      <c r="U84" s="93">
        <f t="shared" si="56"/>
        <v>0</v>
      </c>
      <c r="V84" s="24">
        <v>0</v>
      </c>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row>
    <row r="85" spans="1:259" s="2" customFormat="1" ht="13.5" customHeight="1">
      <c r="A85" s="54"/>
      <c r="B85" s="54"/>
      <c r="C85" s="115" t="s">
        <v>411</v>
      </c>
      <c r="D85" s="3"/>
      <c r="E85" s="3"/>
      <c r="F85" s="3"/>
      <c r="G85" s="162"/>
      <c r="H85" s="162"/>
      <c r="I85" s="162"/>
      <c r="J85" s="162"/>
      <c r="K85" s="162"/>
      <c r="L85" s="162"/>
      <c r="M85" s="162"/>
      <c r="N85" s="162"/>
      <c r="O85" s="162"/>
      <c r="P85" s="162"/>
      <c r="Q85" s="162"/>
      <c r="R85" s="162"/>
      <c r="S85" s="162"/>
      <c r="U85" s="93">
        <f t="shared" si="56"/>
        <v>1</v>
      </c>
      <c r="V85" s="24">
        <v>1</v>
      </c>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row>
    <row r="86" spans="1:259" ht="13.5" customHeight="1">
      <c r="C86" s="103" t="s">
        <v>412</v>
      </c>
      <c r="D86" s="32" t="s">
        <v>165</v>
      </c>
      <c r="E86" s="32" t="s">
        <v>134</v>
      </c>
      <c r="F86" s="32"/>
      <c r="G86" s="32"/>
      <c r="H86" s="77">
        <f t="shared" ref="H86:S86" si="60">H25</f>
        <v>14790</v>
      </c>
      <c r="I86" s="77">
        <f t="shared" si="60"/>
        <v>12865</v>
      </c>
      <c r="J86" s="77">
        <f t="shared" si="60"/>
        <v>14498</v>
      </c>
      <c r="K86" s="77">
        <f t="shared" si="60"/>
        <v>14801</v>
      </c>
      <c r="L86" s="76">
        <f t="shared" si="60"/>
        <v>18931.78701063713</v>
      </c>
      <c r="M86" s="76">
        <f t="shared" si="60"/>
        <v>18697.025686690835</v>
      </c>
      <c r="N86" s="76">
        <f t="shared" si="60"/>
        <v>21090.636527628765</v>
      </c>
      <c r="O86" s="76">
        <f t="shared" si="60"/>
        <v>21884.49645678154</v>
      </c>
      <c r="P86" s="76">
        <f t="shared" si="60"/>
        <v>23827.299419053008</v>
      </c>
      <c r="Q86" s="76">
        <f t="shared" si="60"/>
        <v>25161.721303953807</v>
      </c>
      <c r="R86" s="76">
        <f t="shared" si="60"/>
        <v>27184.350825241938</v>
      </c>
      <c r="S86" s="76">
        <f t="shared" si="60"/>
        <v>29168.460414331159</v>
      </c>
      <c r="U86" s="93">
        <f t="shared" si="56"/>
        <v>1</v>
      </c>
      <c r="V86" s="24">
        <v>1</v>
      </c>
    </row>
    <row r="87" spans="1:259" ht="13.5" customHeight="1">
      <c r="C87" s="81" t="s">
        <v>413</v>
      </c>
      <c r="D87" s="3" t="s">
        <v>165</v>
      </c>
      <c r="E87" s="3" t="s">
        <v>134</v>
      </c>
      <c r="H87" s="6">
        <f t="shared" ref="H87:S87" si="61">H18</f>
        <v>1995</v>
      </c>
      <c r="I87" s="6">
        <f t="shared" si="61"/>
        <v>1862</v>
      </c>
      <c r="J87" s="6">
        <f t="shared" si="61"/>
        <v>1522</v>
      </c>
      <c r="K87" s="6">
        <f t="shared" si="61"/>
        <v>1701</v>
      </c>
      <c r="L87" s="686">
        <f t="shared" si="61"/>
        <v>1736.95</v>
      </c>
      <c r="M87" s="686">
        <f t="shared" si="61"/>
        <v>1789.25</v>
      </c>
      <c r="N87" s="686">
        <f t="shared" si="61"/>
        <v>1806.0475000000001</v>
      </c>
      <c r="O87" s="686">
        <f t="shared" si="61"/>
        <v>1823.6624999999999</v>
      </c>
      <c r="P87" s="686">
        <f t="shared" si="61"/>
        <v>1839.502375</v>
      </c>
      <c r="Q87" s="686">
        <f t="shared" si="61"/>
        <v>1855.3831250000001</v>
      </c>
      <c r="R87" s="686">
        <f t="shared" si="61"/>
        <v>1871.1751187499999</v>
      </c>
      <c r="S87" s="686">
        <f t="shared" si="61"/>
        <v>1886.96915625</v>
      </c>
      <c r="U87" s="93">
        <f t="shared" si="56"/>
        <v>1</v>
      </c>
      <c r="V87" s="24">
        <v>1</v>
      </c>
    </row>
    <row r="88" spans="1:259" s="2" customFormat="1" ht="13.5" customHeight="1">
      <c r="A88" s="54"/>
      <c r="B88" s="54"/>
      <c r="C88" s="81" t="s">
        <v>385</v>
      </c>
      <c r="D88" s="3" t="s">
        <v>165</v>
      </c>
      <c r="E88" s="3" t="s">
        <v>134</v>
      </c>
      <c r="G88" s="97">
        <f t="shared" ref="G88:S88" si="62">G53</f>
        <v>128</v>
      </c>
      <c r="H88" s="97">
        <f t="shared" si="62"/>
        <v>470</v>
      </c>
      <c r="I88" s="97">
        <f t="shared" si="62"/>
        <v>363</v>
      </c>
      <c r="J88" s="97">
        <f t="shared" si="62"/>
        <v>475</v>
      </c>
      <c r="K88" s="97">
        <f t="shared" si="62"/>
        <v>448</v>
      </c>
      <c r="L88" s="105">
        <f t="shared" si="62"/>
        <v>456.47790990770295</v>
      </c>
      <c r="M88" s="105">
        <f t="shared" si="62"/>
        <v>479.73187104537294</v>
      </c>
      <c r="N88" s="105">
        <f t="shared" si="62"/>
        <v>503.69080100226398</v>
      </c>
      <c r="O88" s="105">
        <f t="shared" si="62"/>
        <v>529.27925023726038</v>
      </c>
      <c r="P88" s="105">
        <f t="shared" si="62"/>
        <v>556.8452369357982</v>
      </c>
      <c r="Q88" s="105">
        <f t="shared" si="62"/>
        <v>585.96806438452234</v>
      </c>
      <c r="R88" s="105">
        <f t="shared" si="62"/>
        <v>616.88232953264526</v>
      </c>
      <c r="S88" s="105">
        <f t="shared" si="62"/>
        <v>649.89692623743701</v>
      </c>
      <c r="U88" s="93">
        <f t="shared" si="56"/>
        <v>1</v>
      </c>
      <c r="V88" s="24">
        <v>1</v>
      </c>
    </row>
    <row r="89" spans="1:259" s="2" customFormat="1" ht="13.5" customHeight="1">
      <c r="A89" s="54"/>
      <c r="B89" s="54"/>
      <c r="C89" s="81" t="s">
        <v>414</v>
      </c>
      <c r="D89" s="3" t="s">
        <v>165</v>
      </c>
      <c r="E89" s="3" t="s">
        <v>134</v>
      </c>
      <c r="G89" s="1041">
        <f>-370-104</f>
        <v>-474</v>
      </c>
      <c r="H89" s="1041">
        <f>-469-28-189</f>
        <v>-686</v>
      </c>
      <c r="I89" s="1041">
        <f>-154-15-63</f>
        <v>-232</v>
      </c>
      <c r="J89" s="1041">
        <f>-367+11+283</f>
        <v>-73</v>
      </c>
      <c r="K89" s="1041">
        <f>-348+1+377</f>
        <v>30</v>
      </c>
      <c r="L89" s="105">
        <f>K89</f>
        <v>30</v>
      </c>
      <c r="M89" s="105">
        <f t="shared" ref="M89:S89" si="63">L89</f>
        <v>30</v>
      </c>
      <c r="N89" s="105">
        <f t="shared" si="63"/>
        <v>30</v>
      </c>
      <c r="O89" s="105">
        <f t="shared" si="63"/>
        <v>30</v>
      </c>
      <c r="P89" s="105">
        <f t="shared" si="63"/>
        <v>30</v>
      </c>
      <c r="Q89" s="105">
        <f t="shared" si="63"/>
        <v>30</v>
      </c>
      <c r="R89" s="105">
        <f t="shared" si="63"/>
        <v>30</v>
      </c>
      <c r="S89" s="105">
        <f t="shared" si="63"/>
        <v>30</v>
      </c>
      <c r="U89" s="93">
        <f t="shared" si="56"/>
        <v>1</v>
      </c>
      <c r="V89" s="24">
        <v>1</v>
      </c>
    </row>
    <row r="90" spans="1:259" ht="13.5" customHeight="1">
      <c r="C90" s="81" t="s">
        <v>415</v>
      </c>
      <c r="D90" s="3" t="s">
        <v>165</v>
      </c>
      <c r="E90" s="3" t="s">
        <v>134</v>
      </c>
      <c r="H90" s="6">
        <f>-'DCF - Financials'!H108</f>
        <v>-3153</v>
      </c>
      <c r="I90" s="6">
        <f>-'DCF - Financials'!I108</f>
        <v>-2637</v>
      </c>
      <c r="J90" s="6">
        <f>-'DCF - Financials'!J108</f>
        <v>-2211</v>
      </c>
      <c r="K90" s="6">
        <f>-'DCF - Financials'!K108</f>
        <v>-1403</v>
      </c>
      <c r="L90" s="1044">
        <f>-'DCF - Financials'!L108</f>
        <v>-2413.0500000000002</v>
      </c>
      <c r="M90" s="686">
        <f>-'DCF - Financials'!M108</f>
        <v>-2696.7000000000003</v>
      </c>
      <c r="N90" s="686">
        <f>-'DCF - Financials'!N108</f>
        <v>-3032.2024999999999</v>
      </c>
      <c r="O90" s="686">
        <f>-'DCF - Financials'!O108</f>
        <v>-3331.3849999999998</v>
      </c>
      <c r="P90" s="686">
        <f>-'DCF - Financials'!P108</f>
        <v>-3633.1601249999994</v>
      </c>
      <c r="Q90" s="686">
        <f>-'DCF - Financials'!Q108</f>
        <v>-3933.1192499999997</v>
      </c>
      <c r="R90" s="686">
        <f>-'DCF - Financials'!R108</f>
        <v>-4233.208006249999</v>
      </c>
      <c r="S90" s="686">
        <f>-'DCF - Financials'!S108</f>
        <v>-4533.2059625000002</v>
      </c>
      <c r="U90" s="93">
        <f t="shared" si="56"/>
        <v>1</v>
      </c>
      <c r="V90" s="24">
        <v>1</v>
      </c>
    </row>
    <row r="91" spans="1:259" s="2" customFormat="1" ht="13.5" customHeight="1">
      <c r="A91" s="54"/>
      <c r="B91" s="54"/>
      <c r="C91" s="687" t="s">
        <v>416</v>
      </c>
      <c r="D91" s="74" t="s">
        <v>165</v>
      </c>
      <c r="E91" s="74" t="s">
        <v>134</v>
      </c>
      <c r="F91" s="74"/>
      <c r="G91" s="688"/>
      <c r="H91" s="688">
        <f>SUM(H86:H90)</f>
        <v>13416</v>
      </c>
      <c r="I91" s="688">
        <f t="shared" ref="I91:S91" si="64">SUM(I86:I90)</f>
        <v>12221</v>
      </c>
      <c r="J91" s="688">
        <f t="shared" si="64"/>
        <v>14211</v>
      </c>
      <c r="K91" s="688">
        <f t="shared" si="64"/>
        <v>15577</v>
      </c>
      <c r="L91" s="1046">
        <f t="shared" si="64"/>
        <v>18742.164920544834</v>
      </c>
      <c r="M91" s="1046">
        <f t="shared" si="64"/>
        <v>18299.307557736207</v>
      </c>
      <c r="N91" s="1046">
        <f t="shared" si="64"/>
        <v>20398.17232863103</v>
      </c>
      <c r="O91" s="1046">
        <f t="shared" si="64"/>
        <v>20936.053207018802</v>
      </c>
      <c r="P91" s="1046">
        <f t="shared" si="64"/>
        <v>22620.486905988808</v>
      </c>
      <c r="Q91" s="1046">
        <f t="shared" si="64"/>
        <v>23699.953243338332</v>
      </c>
      <c r="R91" s="1046">
        <f t="shared" si="64"/>
        <v>25469.200267274584</v>
      </c>
      <c r="S91" s="1046">
        <f t="shared" si="64"/>
        <v>27202.120534318597</v>
      </c>
      <c r="U91" s="93">
        <f t="shared" si="56"/>
        <v>1</v>
      </c>
      <c r="V91" s="24">
        <v>1</v>
      </c>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row>
    <row r="92" spans="1:259" s="2" customFormat="1" ht="13.5" customHeight="1">
      <c r="A92" s="3"/>
      <c r="B92" s="54"/>
      <c r="C92" s="19" t="s">
        <v>417</v>
      </c>
      <c r="D92" s="3" t="s">
        <v>165</v>
      </c>
      <c r="E92" s="3" t="s">
        <v>134</v>
      </c>
      <c r="G92" s="97">
        <f>'DCF - Financials'!G159</f>
        <v>317</v>
      </c>
      <c r="H92" s="97">
        <f>'DCF - Financials'!H159</f>
        <v>749</v>
      </c>
      <c r="I92" s="97">
        <f>'DCF - Financials'!I159</f>
        <v>574</v>
      </c>
      <c r="J92" s="97">
        <f>'DCF - Financials'!J159</f>
        <v>402</v>
      </c>
      <c r="K92" s="97">
        <f>'DCF - Financials'!K159</f>
        <v>373</v>
      </c>
      <c r="L92" s="105">
        <f>'DCF - Financials'!L159</f>
        <v>373</v>
      </c>
      <c r="M92" s="105">
        <f>'DCF - Financials'!M159</f>
        <v>373</v>
      </c>
      <c r="N92" s="105">
        <f>'DCF - Financials'!N159</f>
        <v>373</v>
      </c>
      <c r="O92" s="105">
        <f>'DCF - Financials'!O159</f>
        <v>373</v>
      </c>
      <c r="P92" s="105">
        <f>'DCF - Financials'!P159</f>
        <v>373</v>
      </c>
      <c r="Q92" s="105">
        <f>'DCF - Financials'!Q159</f>
        <v>373</v>
      </c>
      <c r="R92" s="105">
        <f>'DCF - Financials'!R159</f>
        <v>373</v>
      </c>
      <c r="S92" s="105">
        <f>'DCF - Financials'!S159</f>
        <v>373</v>
      </c>
      <c r="U92" s="93">
        <f t="shared" si="56"/>
        <v>1</v>
      </c>
      <c r="V92" s="24">
        <v>1</v>
      </c>
    </row>
    <row r="93" spans="1:259" s="2" customFormat="1" ht="13.5" customHeight="1">
      <c r="A93" s="54"/>
      <c r="B93" s="54"/>
      <c r="C93" s="687" t="s">
        <v>418</v>
      </c>
      <c r="D93" s="74" t="s">
        <v>165</v>
      </c>
      <c r="E93" s="74" t="s">
        <v>134</v>
      </c>
      <c r="F93" s="74"/>
      <c r="G93" s="688"/>
      <c r="H93" s="688">
        <f>SUM(H91:H92)</f>
        <v>14165</v>
      </c>
      <c r="I93" s="688">
        <f t="shared" ref="I93:S93" si="65">SUM(I91:I92)</f>
        <v>12795</v>
      </c>
      <c r="J93" s="688">
        <f t="shared" si="65"/>
        <v>14613</v>
      </c>
      <c r="K93" s="688">
        <f t="shared" si="65"/>
        <v>15950</v>
      </c>
      <c r="L93" s="1046">
        <f>SUM(L91:L92)</f>
        <v>19115.164920544834</v>
      </c>
      <c r="M93" s="1046">
        <f t="shared" si="65"/>
        <v>18672.307557736207</v>
      </c>
      <c r="N93" s="1046">
        <f t="shared" si="65"/>
        <v>20771.17232863103</v>
      </c>
      <c r="O93" s="1046">
        <f t="shared" si="65"/>
        <v>21309.053207018802</v>
      </c>
      <c r="P93" s="1046">
        <f t="shared" si="65"/>
        <v>22993.486905988808</v>
      </c>
      <c r="Q93" s="1046">
        <f t="shared" si="65"/>
        <v>24072.953243338332</v>
      </c>
      <c r="R93" s="1046">
        <f t="shared" si="65"/>
        <v>25842.200267274584</v>
      </c>
      <c r="S93" s="1046">
        <f t="shared" si="65"/>
        <v>27575.120534318597</v>
      </c>
      <c r="U93" s="93">
        <f t="shared" si="56"/>
        <v>1</v>
      </c>
      <c r="V93" s="24">
        <v>1</v>
      </c>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row>
    <row r="94" spans="1:259" s="2" customFormat="1" ht="13.5" customHeight="1">
      <c r="A94" s="54"/>
      <c r="B94" s="54"/>
      <c r="C94" s="81" t="s">
        <v>66</v>
      </c>
      <c r="D94" s="3" t="s">
        <v>165</v>
      </c>
      <c r="E94" s="3" t="s">
        <v>134</v>
      </c>
      <c r="F94" s="3"/>
      <c r="G94" s="139">
        <f>'DCF - Financials'!G49</f>
        <v>4872</v>
      </c>
      <c r="H94" s="139">
        <f>'DCF - Financials'!H49</f>
        <v>4235</v>
      </c>
      <c r="I94" s="139">
        <f>'DCF - Financials'!I49</f>
        <v>4526</v>
      </c>
      <c r="J94" s="139">
        <f>'DCF - Financials'!J49</f>
        <v>5637</v>
      </c>
      <c r="K94" s="139">
        <f>'DCF - Financials'!K49</f>
        <v>6396</v>
      </c>
      <c r="L94" s="171">
        <f>'DCF - Financials'!L49</f>
        <v>6828.7414453014162</v>
      </c>
      <c r="M94" s="171">
        <f>'DCF - Financials'!M49</f>
        <v>6453.7417254671418</v>
      </c>
      <c r="N94" s="171">
        <f>'DCF - Financials'!N49</f>
        <v>6939.503986234462</v>
      </c>
      <c r="O94" s="171">
        <f>'DCF - Financials'!O49</f>
        <v>7364.5173423140604</v>
      </c>
      <c r="P94" s="171">
        <f>'DCF - Financials'!P49</f>
        <v>7946.1982327167962</v>
      </c>
      <c r="Q94" s="171">
        <f>'DCF - Financials'!Q49</f>
        <v>8319.3347354496746</v>
      </c>
      <c r="R94" s="171">
        <f>'DCF - Financials'!R49</f>
        <v>8930.3778566957517</v>
      </c>
      <c r="S94" s="171">
        <f>'DCF - Financials'!S49</f>
        <v>9528.9534360182752</v>
      </c>
      <c r="U94" s="93">
        <f t="shared" si="56"/>
        <v>1</v>
      </c>
      <c r="V94" s="24">
        <v>1</v>
      </c>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row>
    <row r="95" spans="1:259" s="2" customFormat="1" ht="13.5" customHeight="1">
      <c r="A95" s="54"/>
      <c r="B95" s="54"/>
      <c r="C95" s="81" t="s">
        <v>67</v>
      </c>
      <c r="D95" s="3" t="s">
        <v>165</v>
      </c>
      <c r="E95" s="3" t="s">
        <v>134</v>
      </c>
      <c r="F95" s="3"/>
      <c r="G95" s="139">
        <f>'DCF - Financials'!G53</f>
        <v>4721</v>
      </c>
      <c r="H95" s="139">
        <f>'DCF - Financials'!H53</f>
        <v>4243</v>
      </c>
      <c r="I95" s="139">
        <f>'DCF - Financials'!I53</f>
        <v>4496</v>
      </c>
      <c r="J95" s="139">
        <f>'DCF - Financials'!J53</f>
        <v>5642</v>
      </c>
      <c r="K95" s="139">
        <f>'DCF - Financials'!K53</f>
        <v>6053</v>
      </c>
      <c r="L95" s="171">
        <f>'DCF - Financials'!L53</f>
        <v>6814.0053287660121</v>
      </c>
      <c r="M95" s="171">
        <f>'DCF - Financials'!M53</f>
        <v>6438.7267440469686</v>
      </c>
      <c r="N95" s="171">
        <f>'DCF - Financials'!N53</f>
        <v>6923.7241095436766</v>
      </c>
      <c r="O95" s="171">
        <f>'DCF - Financials'!O53</f>
        <v>7347.949381730622</v>
      </c>
      <c r="P95" s="171">
        <f>'DCF - Financials'!P53</f>
        <v>7928.7885882720029</v>
      </c>
      <c r="Q95" s="171">
        <f>'DCF - Financials'!Q53</f>
        <v>8301.0183597718387</v>
      </c>
      <c r="R95" s="171">
        <f>'DCF - Financials'!R53</f>
        <v>8911.1035404395116</v>
      </c>
      <c r="S95" s="171">
        <f>'DCF - Financials'!S53</f>
        <v>9508.6622532133097</v>
      </c>
      <c r="U95" s="93">
        <f t="shared" si="56"/>
        <v>1</v>
      </c>
      <c r="V95" s="24">
        <v>1</v>
      </c>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row>
    <row r="96" spans="1:259" s="2" customFormat="1" ht="13.5" customHeight="1">
      <c r="A96" s="54"/>
      <c r="B96" s="54"/>
      <c r="C96" s="111" t="s">
        <v>419</v>
      </c>
      <c r="D96" s="72" t="s">
        <v>165</v>
      </c>
      <c r="E96" s="72" t="s">
        <v>134</v>
      </c>
      <c r="F96" s="72"/>
      <c r="G96" s="170"/>
      <c r="H96" s="170">
        <f>H65</f>
        <v>-525</v>
      </c>
      <c r="I96" s="170">
        <f>I65</f>
        <v>-465</v>
      </c>
      <c r="J96" s="170">
        <f>J65</f>
        <v>-475</v>
      </c>
      <c r="K96" s="170">
        <f>K65</f>
        <v>-756</v>
      </c>
      <c r="L96" s="169">
        <f t="shared" ref="L96:S96" si="66">IFERROR(-(L28+L32+K18+L18+L37+L43)/2*L45-AVERAGE(L50,L53)*L55,"")</f>
        <v>-832.63176321180515</v>
      </c>
      <c r="M96" s="169">
        <f t="shared" si="66"/>
        <v>-735.6101512587187</v>
      </c>
      <c r="N96" s="169">
        <f t="shared" si="66"/>
        <v>-666.91831435190579</v>
      </c>
      <c r="O96" s="169">
        <f t="shared" si="66"/>
        <v>-716.06144728027027</v>
      </c>
      <c r="P96" s="169">
        <f t="shared" si="66"/>
        <v>-758.48742132383302</v>
      </c>
      <c r="Q96" s="169">
        <f t="shared" si="66"/>
        <v>-809.05393931214007</v>
      </c>
      <c r="R96" s="169">
        <f t="shared" si="66"/>
        <v>-860.87220512478882</v>
      </c>
      <c r="S96" s="169">
        <f t="shared" si="66"/>
        <v>-922.49849202402095</v>
      </c>
      <c r="U96" s="93">
        <f t="shared" si="56"/>
        <v>1</v>
      </c>
      <c r="V96" s="24">
        <v>1</v>
      </c>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row>
    <row r="97" spans="1:259" s="2" customFormat="1" ht="13.5" customHeight="1">
      <c r="A97" s="54"/>
      <c r="B97" s="54"/>
      <c r="C97" s="80"/>
      <c r="D97" s="3"/>
      <c r="E97" s="3"/>
      <c r="F97" s="3"/>
      <c r="G97" s="162"/>
      <c r="H97" s="162"/>
      <c r="I97" s="162"/>
      <c r="J97" s="162"/>
      <c r="K97" s="162"/>
      <c r="L97" s="162"/>
      <c r="M97" s="162"/>
      <c r="N97" s="162"/>
      <c r="O97" s="162"/>
      <c r="P97" s="162"/>
      <c r="Q97" s="162"/>
      <c r="R97" s="162"/>
      <c r="S97" s="162"/>
      <c r="U97" s="93">
        <f t="shared" si="56"/>
        <v>0</v>
      </c>
      <c r="V97" s="24">
        <v>0</v>
      </c>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row>
    <row r="98" spans="1:259" s="2" customFormat="1" ht="13.5" customHeight="1">
      <c r="A98" s="54"/>
      <c r="B98" s="54"/>
      <c r="C98" s="81" t="s">
        <v>420</v>
      </c>
      <c r="D98" s="3"/>
      <c r="E98" s="3"/>
      <c r="F98" s="3"/>
      <c r="G98" s="162"/>
      <c r="H98" s="162"/>
      <c r="I98" s="162"/>
      <c r="J98" s="162"/>
      <c r="K98" s="162"/>
      <c r="L98" s="162"/>
      <c r="M98" s="162"/>
      <c r="N98" s="162"/>
      <c r="O98" s="162"/>
      <c r="P98" s="162"/>
      <c r="Q98" s="162"/>
      <c r="R98" s="162"/>
      <c r="S98" s="162"/>
      <c r="U98" s="93"/>
      <c r="V98" s="24"/>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row>
    <row r="99" spans="1:259" s="2" customFormat="1" ht="13.5" customHeight="1">
      <c r="A99" s="54"/>
      <c r="B99" s="54"/>
      <c r="C99" s="80"/>
      <c r="D99" s="3"/>
      <c r="E99" s="3"/>
      <c r="F99" s="3"/>
      <c r="G99" s="162"/>
      <c r="H99" s="162"/>
      <c r="I99" s="162"/>
      <c r="J99" s="162"/>
      <c r="K99" s="162"/>
      <c r="L99" s="162"/>
      <c r="M99" s="162"/>
      <c r="N99" s="162"/>
      <c r="O99" s="162"/>
      <c r="P99" s="162"/>
      <c r="Q99" s="162"/>
      <c r="R99" s="162"/>
      <c r="S99" s="162"/>
      <c r="U99" s="93"/>
      <c r="V99" s="24"/>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row>
    <row r="100" spans="1:259" s="2" customFormat="1" ht="13.5" customHeight="1">
      <c r="A100" s="54"/>
      <c r="B100" s="54"/>
      <c r="C100" s="81" t="s">
        <v>421</v>
      </c>
      <c r="D100" s="3" t="s">
        <v>165</v>
      </c>
      <c r="E100" s="3" t="s">
        <v>127</v>
      </c>
      <c r="F100" s="3"/>
      <c r="G100" s="3"/>
      <c r="H100" s="3"/>
      <c r="I100" s="3"/>
      <c r="J100" s="58" t="s">
        <v>422</v>
      </c>
      <c r="K100" s="754">
        <v>0</v>
      </c>
      <c r="L100" s="168"/>
      <c r="M100" s="168"/>
      <c r="N100" s="168"/>
      <c r="O100" s="168"/>
      <c r="P100" s="168"/>
      <c r="Q100" s="168"/>
      <c r="R100" s="168"/>
      <c r="S100" s="168"/>
      <c r="U100" s="93">
        <f t="shared" si="56"/>
        <v>1</v>
      </c>
      <c r="V100" s="24">
        <v>1</v>
      </c>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row>
    <row r="101" spans="1:259" s="2" customFormat="1" ht="13.5" customHeight="1">
      <c r="A101" s="54"/>
      <c r="B101" s="54"/>
      <c r="C101" s="103" t="s">
        <v>423</v>
      </c>
      <c r="D101" s="32" t="s">
        <v>165</v>
      </c>
      <c r="E101" s="32" t="s">
        <v>134</v>
      </c>
      <c r="F101" s="32"/>
      <c r="G101" s="129"/>
      <c r="H101" s="129"/>
      <c r="I101" s="129"/>
      <c r="J101" s="167"/>
      <c r="K101" s="167"/>
      <c r="L101" s="101">
        <f t="shared" ref="L101:S101" si="67">IF($K$100&gt;0,MIN(L100,L95*L74),L95*L74)</f>
        <v>19079.214920544833</v>
      </c>
      <c r="M101" s="101">
        <f t="shared" si="67"/>
        <v>18672.307557736207</v>
      </c>
      <c r="N101" s="101">
        <f t="shared" si="67"/>
        <v>20771.17232863103</v>
      </c>
      <c r="O101" s="101">
        <f t="shared" si="67"/>
        <v>21309.053207018802</v>
      </c>
      <c r="P101" s="101">
        <f t="shared" si="67"/>
        <v>22993.486905988808</v>
      </c>
      <c r="Q101" s="101">
        <f t="shared" si="67"/>
        <v>24072.953243338332</v>
      </c>
      <c r="R101" s="101">
        <f t="shared" si="67"/>
        <v>25842.200267274584</v>
      </c>
      <c r="S101" s="101">
        <f t="shared" si="67"/>
        <v>27575.120534318597</v>
      </c>
      <c r="U101" s="93">
        <f t="shared" si="56"/>
        <v>1</v>
      </c>
      <c r="V101" s="24">
        <v>1</v>
      </c>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row>
    <row r="102" spans="1:259" s="2" customFormat="1" ht="13.5" customHeight="1">
      <c r="A102" s="54"/>
      <c r="B102" s="54"/>
      <c r="C102" s="81"/>
      <c r="D102" s="3"/>
      <c r="E102" s="3"/>
      <c r="F102" s="3"/>
      <c r="G102" s="73"/>
      <c r="H102" s="73"/>
      <c r="I102" s="73"/>
      <c r="J102" s="166"/>
      <c r="K102" s="166"/>
      <c r="L102" s="97"/>
      <c r="M102" s="97"/>
      <c r="N102" s="97"/>
      <c r="O102" s="97"/>
      <c r="P102" s="97"/>
      <c r="Q102" s="97"/>
      <c r="R102" s="97"/>
      <c r="S102" s="97"/>
      <c r="U102" s="93">
        <f t="shared" si="56"/>
        <v>0</v>
      </c>
      <c r="V102" s="24">
        <v>0</v>
      </c>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row>
    <row r="103" spans="1:259" s="2" customFormat="1" ht="13.5" customHeight="1">
      <c r="A103" s="54"/>
      <c r="B103" s="54"/>
      <c r="C103" s="115" t="s">
        <v>424</v>
      </c>
      <c r="D103" s="3"/>
      <c r="E103" s="3"/>
      <c r="F103" s="3"/>
      <c r="G103" s="162"/>
      <c r="H103" s="162"/>
      <c r="I103" s="162"/>
      <c r="J103" s="162"/>
      <c r="K103" s="162"/>
      <c r="L103" s="162"/>
      <c r="M103" s="162"/>
      <c r="N103" s="162"/>
      <c r="O103" s="162"/>
      <c r="P103" s="162"/>
      <c r="Q103" s="162"/>
      <c r="R103" s="162"/>
      <c r="S103" s="162"/>
      <c r="U103" s="93">
        <f t="shared" si="56"/>
        <v>1</v>
      </c>
      <c r="V103" s="24">
        <v>1</v>
      </c>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row>
    <row r="104" spans="1:259" ht="13.5" customHeight="1">
      <c r="C104" s="103" t="s">
        <v>425</v>
      </c>
      <c r="D104" s="32" t="s">
        <v>165</v>
      </c>
      <c r="E104" s="32" t="s">
        <v>134</v>
      </c>
      <c r="F104" s="32"/>
      <c r="G104" s="32"/>
      <c r="H104" s="77"/>
      <c r="I104" s="77"/>
      <c r="J104" s="77"/>
      <c r="K104" s="77"/>
      <c r="L104" s="76">
        <f t="shared" ref="L104:S104" si="68">L101-L92-SUM(L88:L89)</f>
        <v>18219.737010637131</v>
      </c>
      <c r="M104" s="76">
        <f t="shared" si="68"/>
        <v>17789.575686690834</v>
      </c>
      <c r="N104" s="76">
        <f t="shared" si="68"/>
        <v>19864.481527628766</v>
      </c>
      <c r="O104" s="76">
        <f t="shared" si="68"/>
        <v>20376.773956781541</v>
      </c>
      <c r="P104" s="76">
        <f t="shared" si="68"/>
        <v>22033.64166905301</v>
      </c>
      <c r="Q104" s="76">
        <f t="shared" si="68"/>
        <v>23083.985178953808</v>
      </c>
      <c r="R104" s="76">
        <f t="shared" si="68"/>
        <v>24822.31793774194</v>
      </c>
      <c r="S104" s="76">
        <f t="shared" si="68"/>
        <v>26522.22360808116</v>
      </c>
      <c r="U104" s="93">
        <f t="shared" si="56"/>
        <v>1</v>
      </c>
      <c r="V104" s="24">
        <v>1</v>
      </c>
    </row>
    <row r="105" spans="1:259" s="2" customFormat="1" ht="13.5" customHeight="1">
      <c r="A105" s="54"/>
      <c r="B105" s="54"/>
      <c r="C105" s="81" t="s">
        <v>426</v>
      </c>
      <c r="D105" s="3" t="s">
        <v>165</v>
      </c>
      <c r="E105" s="3" t="s">
        <v>134</v>
      </c>
      <c r="G105" s="97"/>
      <c r="H105" s="97"/>
      <c r="I105" s="97"/>
      <c r="J105" s="97"/>
      <c r="K105" s="97"/>
      <c r="L105" s="105">
        <f t="shared" ref="L105:S105" si="69">L75</f>
        <v>2449</v>
      </c>
      <c r="M105" s="105">
        <f t="shared" si="69"/>
        <v>2749</v>
      </c>
      <c r="N105" s="105">
        <f t="shared" si="69"/>
        <v>3049</v>
      </c>
      <c r="O105" s="105">
        <f t="shared" si="69"/>
        <v>3349</v>
      </c>
      <c r="P105" s="105">
        <f t="shared" si="69"/>
        <v>3649</v>
      </c>
      <c r="Q105" s="105">
        <f t="shared" si="69"/>
        <v>3949</v>
      </c>
      <c r="R105" s="105">
        <f t="shared" si="69"/>
        <v>4249</v>
      </c>
      <c r="S105" s="105">
        <f t="shared" si="69"/>
        <v>4549</v>
      </c>
      <c r="U105" s="93">
        <f t="shared" si="56"/>
        <v>1</v>
      </c>
      <c r="V105" s="24">
        <v>1</v>
      </c>
    </row>
    <row r="106" spans="1:259" s="2" customFormat="1" ht="13.5" customHeight="1">
      <c r="A106" s="54"/>
      <c r="B106" s="54"/>
      <c r="C106" s="81" t="s">
        <v>427</v>
      </c>
      <c r="D106" s="3" t="s">
        <v>165</v>
      </c>
      <c r="E106" s="3" t="s">
        <v>134</v>
      </c>
      <c r="G106" s="1041"/>
      <c r="H106" s="1041"/>
      <c r="I106" s="1041"/>
      <c r="J106" s="1041"/>
      <c r="K106" s="1041"/>
      <c r="L106" s="105">
        <f>L105+L104</f>
        <v>20668.737010637131</v>
      </c>
      <c r="M106" s="105">
        <f t="shared" ref="M106:S106" si="70">M105+M104</f>
        <v>20538.575686690834</v>
      </c>
      <c r="N106" s="105">
        <f t="shared" si="70"/>
        <v>22913.481527628766</v>
      </c>
      <c r="O106" s="105">
        <f t="shared" si="70"/>
        <v>23725.773956781541</v>
      </c>
      <c r="P106" s="105">
        <f t="shared" si="70"/>
        <v>25682.64166905301</v>
      </c>
      <c r="Q106" s="105">
        <f t="shared" si="70"/>
        <v>27032.985178953808</v>
      </c>
      <c r="R106" s="105">
        <f t="shared" si="70"/>
        <v>29071.31793774194</v>
      </c>
      <c r="S106" s="105">
        <f t="shared" si="70"/>
        <v>31071.22360808116</v>
      </c>
      <c r="U106" s="93">
        <f t="shared" si="56"/>
        <v>1</v>
      </c>
      <c r="V106" s="24">
        <v>1</v>
      </c>
    </row>
    <row r="107" spans="1:259" s="2" customFormat="1" ht="13.5" customHeight="1">
      <c r="A107" s="54"/>
      <c r="B107" s="54"/>
      <c r="C107" s="81" t="s">
        <v>428</v>
      </c>
      <c r="D107" s="3" t="s">
        <v>165</v>
      </c>
      <c r="E107" s="3" t="s">
        <v>134</v>
      </c>
      <c r="G107" s="1041"/>
      <c r="H107" s="1041"/>
      <c r="I107" s="1041"/>
      <c r="J107" s="1041"/>
      <c r="K107" s="1041"/>
      <c r="L107" s="105">
        <f t="shared" ref="L107:S107" si="71">L106-L87</f>
        <v>18931.78701063713</v>
      </c>
      <c r="M107" s="105">
        <f t="shared" si="71"/>
        <v>18749.325686690834</v>
      </c>
      <c r="N107" s="105">
        <f t="shared" si="71"/>
        <v>21107.434027628766</v>
      </c>
      <c r="O107" s="105">
        <f t="shared" si="71"/>
        <v>21902.111456781542</v>
      </c>
      <c r="P107" s="105">
        <f t="shared" si="71"/>
        <v>23843.13929405301</v>
      </c>
      <c r="Q107" s="105">
        <f t="shared" si="71"/>
        <v>25177.602053953808</v>
      </c>
      <c r="R107" s="105">
        <f t="shared" si="71"/>
        <v>27200.142818991939</v>
      </c>
      <c r="S107" s="105">
        <f t="shared" si="71"/>
        <v>29184.254451831159</v>
      </c>
      <c r="U107" s="93">
        <f t="shared" si="56"/>
        <v>1</v>
      </c>
      <c r="V107" s="24">
        <v>1</v>
      </c>
    </row>
    <row r="108" spans="1:259" ht="13.5" customHeight="1">
      <c r="C108" s="81" t="s">
        <v>429</v>
      </c>
      <c r="D108" s="3" t="s">
        <v>165</v>
      </c>
      <c r="E108" s="3" t="s">
        <v>134</v>
      </c>
      <c r="H108" s="6"/>
      <c r="I108" s="6"/>
      <c r="J108" s="6"/>
      <c r="K108" s="6"/>
      <c r="L108" s="1044">
        <f t="shared" ref="L108:S108" si="72">L21</f>
        <v>14801</v>
      </c>
      <c r="M108" s="1044">
        <f t="shared" si="72"/>
        <v>18931.78701063713</v>
      </c>
      <c r="N108" s="1044">
        <f t="shared" si="72"/>
        <v>18697.025686690835</v>
      </c>
      <c r="O108" s="1044">
        <f t="shared" si="72"/>
        <v>21090.636527628765</v>
      </c>
      <c r="P108" s="1044">
        <f t="shared" si="72"/>
        <v>21884.49645678154</v>
      </c>
      <c r="Q108" s="1044">
        <f t="shared" si="72"/>
        <v>23827.299419053008</v>
      </c>
      <c r="R108" s="1044">
        <f t="shared" si="72"/>
        <v>25161.721303953807</v>
      </c>
      <c r="S108" s="1044">
        <f t="shared" si="72"/>
        <v>27184.350825241938</v>
      </c>
      <c r="U108" s="93">
        <f t="shared" si="56"/>
        <v>1</v>
      </c>
      <c r="V108" s="24">
        <v>1</v>
      </c>
    </row>
    <row r="109" spans="1:259" s="2" customFormat="1" ht="13.5" customHeight="1">
      <c r="A109" s="54"/>
      <c r="B109" s="54"/>
      <c r="C109" s="74" t="s">
        <v>430</v>
      </c>
      <c r="D109" s="74" t="s">
        <v>165</v>
      </c>
      <c r="E109" s="74" t="s">
        <v>134</v>
      </c>
      <c r="F109" s="74"/>
      <c r="G109" s="688"/>
      <c r="H109" s="688"/>
      <c r="I109" s="688"/>
      <c r="J109" s="688"/>
      <c r="K109" s="688"/>
      <c r="L109" s="1046">
        <f>L107-L108</f>
        <v>4130.7870106371302</v>
      </c>
      <c r="M109" s="1046">
        <f t="shared" ref="M109:S109" si="73">M107-M108</f>
        <v>-182.46132394629603</v>
      </c>
      <c r="N109" s="1046">
        <f t="shared" si="73"/>
        <v>2410.4083409379309</v>
      </c>
      <c r="O109" s="1046">
        <f t="shared" si="73"/>
        <v>811.47492915277689</v>
      </c>
      <c r="P109" s="1046">
        <f t="shared" si="73"/>
        <v>1958.642837271469</v>
      </c>
      <c r="Q109" s="1046">
        <f t="shared" si="73"/>
        <v>1350.3026349007996</v>
      </c>
      <c r="R109" s="1046">
        <f t="shared" si="73"/>
        <v>2038.4215150381315</v>
      </c>
      <c r="S109" s="1046">
        <f t="shared" si="73"/>
        <v>1999.9036265892209</v>
      </c>
      <c r="U109" s="93">
        <f t="shared" si="56"/>
        <v>1</v>
      </c>
      <c r="V109" s="24">
        <v>1</v>
      </c>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row>
    <row r="110" spans="1:259" s="2" customFormat="1" ht="13.5" customHeight="1">
      <c r="A110" s="3"/>
      <c r="B110" s="54"/>
      <c r="C110" s="19" t="s">
        <v>431</v>
      </c>
      <c r="D110" s="3" t="s">
        <v>165</v>
      </c>
      <c r="E110" s="3" t="s">
        <v>134</v>
      </c>
      <c r="G110" s="97"/>
      <c r="H110" s="97"/>
      <c r="I110" s="97"/>
      <c r="J110" s="97"/>
      <c r="K110" s="97"/>
      <c r="L110" s="105">
        <f>-SUM(L29,L38)</f>
        <v>-2677.75</v>
      </c>
      <c r="M110" s="105">
        <f t="shared" ref="M110:S110" si="74">-SUM(M29,M11,M38)</f>
        <v>-2102.4875000000002</v>
      </c>
      <c r="N110" s="105">
        <f t="shared" si="74"/>
        <v>-2321.7818750000001</v>
      </c>
      <c r="O110" s="105">
        <f t="shared" si="74"/>
        <v>-2333.0954687499998</v>
      </c>
      <c r="P110" s="105">
        <f t="shared" si="74"/>
        <v>-2352.9404609375001</v>
      </c>
      <c r="Q110" s="105">
        <f t="shared" si="74"/>
        <v>-2267.8189824218748</v>
      </c>
      <c r="R110" s="105">
        <f t="shared" si="74"/>
        <v>-2318.1679092773438</v>
      </c>
      <c r="S110" s="105">
        <f t="shared" si="74"/>
        <v>-2317.5178381591795</v>
      </c>
      <c r="U110" s="93">
        <f t="shared" si="56"/>
        <v>1</v>
      </c>
      <c r="V110" s="24">
        <v>1</v>
      </c>
    </row>
    <row r="111" spans="1:259" s="2" customFormat="1" ht="13.5" customHeight="1">
      <c r="A111" s="3"/>
      <c r="B111" s="54"/>
      <c r="C111" s="19" t="s">
        <v>432</v>
      </c>
      <c r="D111" s="3" t="s">
        <v>165</v>
      </c>
      <c r="E111" s="3" t="s">
        <v>134</v>
      </c>
      <c r="G111" s="97"/>
      <c r="H111" s="97"/>
      <c r="I111" s="97"/>
      <c r="J111" s="97"/>
      <c r="K111" s="97"/>
      <c r="L111" s="105">
        <f t="shared" ref="L111:S111" si="75">-SUM(,L39,L30)</f>
        <v>1232</v>
      </c>
      <c r="M111" s="105">
        <f t="shared" si="75"/>
        <v>1335</v>
      </c>
      <c r="N111" s="105">
        <f t="shared" si="75"/>
        <v>1357</v>
      </c>
      <c r="O111" s="105">
        <f t="shared" si="75"/>
        <v>1316</v>
      </c>
      <c r="P111" s="105">
        <f t="shared" si="75"/>
        <v>1310</v>
      </c>
      <c r="Q111" s="105">
        <f t="shared" si="75"/>
        <v>1329.5</v>
      </c>
      <c r="R111" s="105">
        <f t="shared" si="75"/>
        <v>1328.125</v>
      </c>
      <c r="S111" s="105">
        <f t="shared" si="75"/>
        <v>1320.90625</v>
      </c>
      <c r="U111" s="93">
        <f t="shared" si="56"/>
        <v>1</v>
      </c>
      <c r="V111" s="24">
        <v>1</v>
      </c>
    </row>
    <row r="112" spans="1:259" s="2" customFormat="1" ht="13.5" customHeight="1">
      <c r="A112" s="54"/>
      <c r="B112" s="54"/>
      <c r="C112" s="687" t="s">
        <v>433</v>
      </c>
      <c r="D112" s="74" t="s">
        <v>165</v>
      </c>
      <c r="E112" s="74" t="s">
        <v>134</v>
      </c>
      <c r="F112" s="74"/>
      <c r="G112" s="688"/>
      <c r="H112" s="688"/>
      <c r="I112" s="688"/>
      <c r="J112" s="688"/>
      <c r="K112" s="688"/>
      <c r="L112" s="1046">
        <f>L135</f>
        <v>0</v>
      </c>
      <c r="M112" s="1046">
        <f t="shared" ref="M112:S112" si="76">M135</f>
        <v>0</v>
      </c>
      <c r="N112" s="1046">
        <f t="shared" si="76"/>
        <v>0</v>
      </c>
      <c r="O112" s="1046">
        <f t="shared" si="76"/>
        <v>0</v>
      </c>
      <c r="P112" s="1046">
        <f t="shared" si="76"/>
        <v>0</v>
      </c>
      <c r="Q112" s="1046">
        <f t="shared" si="76"/>
        <v>0</v>
      </c>
      <c r="R112" s="1046">
        <f t="shared" si="76"/>
        <v>0</v>
      </c>
      <c r="S112" s="1046">
        <f t="shared" si="76"/>
        <v>0</v>
      </c>
      <c r="U112" s="93">
        <f t="shared" si="56"/>
        <v>1</v>
      </c>
      <c r="V112" s="24">
        <v>1</v>
      </c>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row>
    <row r="113" spans="1:259" s="2" customFormat="1" ht="13.5" customHeight="1">
      <c r="A113" s="54"/>
      <c r="B113" s="54"/>
      <c r="C113" s="81" t="s">
        <v>434</v>
      </c>
      <c r="D113" s="3" t="s">
        <v>165</v>
      </c>
      <c r="E113" s="3" t="s">
        <v>134</v>
      </c>
      <c r="F113" s="3"/>
      <c r="G113"/>
      <c r="H113"/>
      <c r="I113"/>
      <c r="J113"/>
      <c r="K113" s="139"/>
      <c r="L113" s="171">
        <f>SUM(L109:L112)</f>
        <v>2685.0370106371302</v>
      </c>
      <c r="M113" s="171">
        <f t="shared" ref="M113:S113" si="77">SUM(M109:M112)</f>
        <v>-949.94882394629622</v>
      </c>
      <c r="N113" s="171">
        <f t="shared" si="77"/>
        <v>1445.6264659379308</v>
      </c>
      <c r="O113" s="171">
        <f t="shared" si="77"/>
        <v>-205.62053959722289</v>
      </c>
      <c r="P113" s="171">
        <f t="shared" si="77"/>
        <v>915.70237633396891</v>
      </c>
      <c r="Q113" s="171">
        <f t="shared" si="77"/>
        <v>411.9836524789248</v>
      </c>
      <c r="R113" s="171">
        <f t="shared" si="77"/>
        <v>1048.3786057607877</v>
      </c>
      <c r="S113" s="171">
        <f t="shared" si="77"/>
        <v>1003.2920384300414</v>
      </c>
      <c r="U113" s="93">
        <f t="shared" si="56"/>
        <v>1</v>
      </c>
      <c r="V113" s="24">
        <v>1</v>
      </c>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row>
    <row r="114" spans="1:259" s="2" customFormat="1" ht="13.5" customHeight="1">
      <c r="A114" s="54"/>
      <c r="B114" s="54"/>
      <c r="C114" s="81" t="s">
        <v>435</v>
      </c>
      <c r="D114" s="3" t="s">
        <v>165</v>
      </c>
      <c r="E114" s="3" t="s">
        <v>134</v>
      </c>
      <c r="F114" s="3"/>
      <c r="G114"/>
      <c r="H114"/>
      <c r="I114"/>
      <c r="J114"/>
      <c r="K114" s="139"/>
      <c r="L114" s="171">
        <f>L136</f>
        <v>4058.3790850998585</v>
      </c>
      <c r="M114" s="171">
        <f t="shared" ref="M114:S114" si="78">M136</f>
        <v>3336.1323227745079</v>
      </c>
      <c r="N114" s="171">
        <f t="shared" si="78"/>
        <v>3952.1657453855501</v>
      </c>
      <c r="O114" s="171">
        <f t="shared" si="78"/>
        <v>4233.4585578715141</v>
      </c>
      <c r="P114" s="171">
        <f t="shared" si="78"/>
        <v>4663.0317799730292</v>
      </c>
      <c r="Q114" s="171">
        <f t="shared" si="78"/>
        <v>4695.9542758781527</v>
      </c>
      <c r="R114" s="171">
        <f t="shared" si="78"/>
        <v>5109.6456082142931</v>
      </c>
      <c r="S114" s="171">
        <f t="shared" si="78"/>
        <v>5426.6635150330949</v>
      </c>
      <c r="U114" s="93">
        <f t="shared" si="56"/>
        <v>1</v>
      </c>
      <c r="V114" s="24">
        <v>1</v>
      </c>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row>
    <row r="115" spans="1:259" s="2" customFormat="1" ht="13.5" customHeight="1">
      <c r="A115" s="54"/>
      <c r="B115" s="54"/>
      <c r="C115" s="81" t="s">
        <v>436</v>
      </c>
      <c r="D115" s="3" t="s">
        <v>165</v>
      </c>
      <c r="E115" s="3" t="s">
        <v>134</v>
      </c>
      <c r="F115" s="3"/>
      <c r="G115"/>
      <c r="H115"/>
      <c r="I115"/>
      <c r="J115"/>
      <c r="L115" s="171">
        <f t="shared" ref="L115:S115" si="79">L42</f>
        <v>0</v>
      </c>
      <c r="M115" s="171">
        <f t="shared" si="79"/>
        <v>0</v>
      </c>
      <c r="N115" s="171">
        <f t="shared" si="79"/>
        <v>0</v>
      </c>
      <c r="O115" s="171">
        <f t="shared" si="79"/>
        <v>0</v>
      </c>
      <c r="P115" s="171">
        <f t="shared" si="79"/>
        <v>0</v>
      </c>
      <c r="Q115" s="171">
        <f t="shared" si="79"/>
        <v>0</v>
      </c>
      <c r="R115" s="171">
        <f t="shared" si="79"/>
        <v>0</v>
      </c>
      <c r="S115" s="171">
        <f t="shared" si="79"/>
        <v>0</v>
      </c>
      <c r="U115" s="93">
        <f t="shared" si="56"/>
        <v>1</v>
      </c>
      <c r="V115" s="24">
        <v>1</v>
      </c>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row>
    <row r="116" spans="1:259" s="2" customFormat="1" ht="13.5" customHeight="1">
      <c r="A116" s="54"/>
      <c r="B116" s="54"/>
      <c r="C116" s="81" t="s">
        <v>437</v>
      </c>
      <c r="D116" s="3" t="s">
        <v>165</v>
      </c>
      <c r="E116" s="3" t="s">
        <v>134</v>
      </c>
      <c r="F116" s="3"/>
      <c r="G116"/>
      <c r="H116"/>
      <c r="I116"/>
      <c r="J116"/>
      <c r="L116" s="171">
        <f>L114+L113</f>
        <v>6743.4160957369886</v>
      </c>
      <c r="M116" s="171">
        <f t="shared" ref="M116:S116" si="80">M114+M113-M112</f>
        <v>2386.1834988282117</v>
      </c>
      <c r="N116" s="171">
        <f t="shared" si="80"/>
        <v>5397.7922113234808</v>
      </c>
      <c r="O116" s="171">
        <f t="shared" si="80"/>
        <v>4027.8380182742912</v>
      </c>
      <c r="P116" s="171">
        <f t="shared" si="80"/>
        <v>5578.7341563069986</v>
      </c>
      <c r="Q116" s="171">
        <f t="shared" si="80"/>
        <v>5107.9379283570779</v>
      </c>
      <c r="R116" s="171">
        <f t="shared" si="80"/>
        <v>6158.0242139750808</v>
      </c>
      <c r="S116" s="171">
        <f t="shared" si="80"/>
        <v>6429.9555534631363</v>
      </c>
      <c r="U116" s="93">
        <f t="shared" si="56"/>
        <v>1</v>
      </c>
      <c r="V116" s="24">
        <v>1</v>
      </c>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row>
    <row r="117" spans="1:259" s="2" customFormat="1" ht="13.5" customHeight="1">
      <c r="A117" s="54"/>
      <c r="B117" s="54"/>
      <c r="C117" s="81" t="s">
        <v>438</v>
      </c>
      <c r="D117" s="3" t="s">
        <v>165</v>
      </c>
      <c r="E117" s="3" t="s">
        <v>134</v>
      </c>
      <c r="F117" s="1104"/>
      <c r="G117"/>
      <c r="H117"/>
      <c r="I117"/>
      <c r="J117"/>
      <c r="L117" s="1156">
        <f>-L116*L120</f>
        <v>-6743.4160957369886</v>
      </c>
      <c r="M117" s="171">
        <f t="shared" ref="M117:S117" si="81">-M116*M120</f>
        <v>-2386.1834988282117</v>
      </c>
      <c r="N117" s="171">
        <f t="shared" si="81"/>
        <v>-5397.7922113234808</v>
      </c>
      <c r="O117" s="171">
        <f t="shared" si="81"/>
        <v>-4027.8380182742912</v>
      </c>
      <c r="P117" s="171">
        <f t="shared" si="81"/>
        <v>-5578.7341563069986</v>
      </c>
      <c r="Q117" s="171">
        <f t="shared" si="81"/>
        <v>-5107.9379283570779</v>
      </c>
      <c r="R117" s="171">
        <f t="shared" si="81"/>
        <v>-6158.0242139750808</v>
      </c>
      <c r="S117" s="171">
        <f t="shared" si="81"/>
        <v>-6429.9555534631363</v>
      </c>
      <c r="U117" s="93">
        <f t="shared" si="56"/>
        <v>1</v>
      </c>
      <c r="V117" s="24">
        <v>1</v>
      </c>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row>
    <row r="118" spans="1:259" s="2" customFormat="1" ht="13.5" customHeight="1">
      <c r="B118" s="54"/>
      <c r="C118" s="111" t="s">
        <v>439</v>
      </c>
      <c r="D118" s="72" t="s">
        <v>165</v>
      </c>
      <c r="E118" s="72" t="s">
        <v>134</v>
      </c>
      <c r="F118" s="1103"/>
      <c r="G118" s="170"/>
      <c r="H118" s="170"/>
      <c r="I118" s="170"/>
      <c r="J118" s="170"/>
      <c r="K118" s="170"/>
      <c r="L118" s="1157">
        <f>-L116*L121</f>
        <v>0</v>
      </c>
      <c r="M118" s="169">
        <f t="shared" ref="M118:S118" si="82">-M116*M121</f>
        <v>0</v>
      </c>
      <c r="N118" s="169">
        <f t="shared" si="82"/>
        <v>0</v>
      </c>
      <c r="O118" s="169">
        <f t="shared" si="82"/>
        <v>0</v>
      </c>
      <c r="P118" s="169">
        <f t="shared" si="82"/>
        <v>0</v>
      </c>
      <c r="Q118" s="169">
        <f t="shared" si="82"/>
        <v>0</v>
      </c>
      <c r="R118" s="169">
        <f t="shared" si="82"/>
        <v>0</v>
      </c>
      <c r="S118" s="169">
        <f t="shared" si="82"/>
        <v>0</v>
      </c>
      <c r="U118" s="93">
        <f t="shared" si="56"/>
        <v>1</v>
      </c>
      <c r="V118" s="24">
        <v>1</v>
      </c>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row>
    <row r="119" spans="1:259" s="2" customFormat="1" ht="13.5" customHeight="1">
      <c r="A119" s="54"/>
      <c r="B119" s="54"/>
      <c r="C119" s="80"/>
      <c r="D119" s="3"/>
      <c r="E119" s="3"/>
      <c r="F119" s="3"/>
      <c r="G119" s="162"/>
      <c r="H119" s="162"/>
      <c r="I119" s="162"/>
      <c r="J119" s="162"/>
      <c r="K119" s="162"/>
      <c r="L119" s="162"/>
      <c r="M119" s="162"/>
      <c r="N119" s="162"/>
      <c r="O119" s="162"/>
      <c r="P119" s="162"/>
      <c r="Q119" s="162"/>
      <c r="R119" s="162"/>
      <c r="S119" s="162"/>
      <c r="U119" s="93">
        <f t="shared" si="56"/>
        <v>0</v>
      </c>
      <c r="V119" s="24">
        <v>0</v>
      </c>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row>
    <row r="120" spans="1:259" ht="13.5" customHeight="1">
      <c r="A120" s="54"/>
      <c r="B120" s="54"/>
      <c r="C120" s="81" t="s">
        <v>440</v>
      </c>
      <c r="D120" s="3" t="s">
        <v>166</v>
      </c>
      <c r="E120" s="3" t="s">
        <v>127</v>
      </c>
      <c r="G120" s="693"/>
      <c r="H120" s="693"/>
      <c r="I120" s="693"/>
      <c r="J120" s="693"/>
      <c r="K120" s="693"/>
      <c r="L120" s="1162">
        <f t="shared" ref="L120:S120" si="83">1-L121</f>
        <v>1</v>
      </c>
      <c r="M120" s="1162">
        <f t="shared" si="83"/>
        <v>1</v>
      </c>
      <c r="N120" s="1162">
        <f t="shared" si="83"/>
        <v>1</v>
      </c>
      <c r="O120" s="1162">
        <f t="shared" si="83"/>
        <v>1</v>
      </c>
      <c r="P120" s="1162">
        <f t="shared" si="83"/>
        <v>1</v>
      </c>
      <c r="Q120" s="1162">
        <f t="shared" si="83"/>
        <v>1</v>
      </c>
      <c r="R120" s="1162">
        <f t="shared" si="83"/>
        <v>1</v>
      </c>
      <c r="S120" s="1162">
        <f t="shared" si="83"/>
        <v>1</v>
      </c>
      <c r="U120" s="93">
        <f t="shared" si="56"/>
        <v>1</v>
      </c>
      <c r="V120" s="24">
        <v>1</v>
      </c>
    </row>
    <row r="121" spans="1:259" ht="13.5" customHeight="1">
      <c r="A121" s="54"/>
      <c r="B121" s="54"/>
      <c r="C121" s="81" t="s">
        <v>441</v>
      </c>
      <c r="D121" s="3" t="s">
        <v>166</v>
      </c>
      <c r="E121" s="3" t="s">
        <v>134</v>
      </c>
      <c r="G121" s="693"/>
      <c r="H121" s="693"/>
      <c r="I121" s="693"/>
      <c r="J121" s="693"/>
      <c r="K121" s="693"/>
      <c r="L121" s="1155">
        <f t="shared" ref="L121:S121" si="84">L76</f>
        <v>0</v>
      </c>
      <c r="M121" s="1155">
        <f t="shared" si="84"/>
        <v>0</v>
      </c>
      <c r="N121" s="1155">
        <f t="shared" si="84"/>
        <v>0</v>
      </c>
      <c r="O121" s="1155">
        <f t="shared" si="84"/>
        <v>0</v>
      </c>
      <c r="P121" s="1155">
        <f t="shared" si="84"/>
        <v>0</v>
      </c>
      <c r="Q121" s="1155">
        <f t="shared" si="84"/>
        <v>0</v>
      </c>
      <c r="R121" s="1155">
        <f t="shared" si="84"/>
        <v>0</v>
      </c>
      <c r="S121" s="1155">
        <f t="shared" si="84"/>
        <v>0</v>
      </c>
      <c r="U121" s="93">
        <f t="shared" si="56"/>
        <v>1</v>
      </c>
      <c r="V121" s="24">
        <v>1</v>
      </c>
    </row>
    <row r="122" spans="1:259" ht="13.5" customHeight="1">
      <c r="A122" s="54"/>
      <c r="B122" s="54"/>
      <c r="C122" s="81"/>
      <c r="G122" s="693"/>
      <c r="H122" s="693"/>
      <c r="I122" s="693"/>
      <c r="J122" s="693"/>
      <c r="K122" s="693"/>
      <c r="L122" s="693"/>
      <c r="M122" s="693"/>
      <c r="N122" s="693"/>
      <c r="O122" s="693"/>
      <c r="P122" s="693"/>
      <c r="Q122" s="693"/>
      <c r="R122" s="693"/>
      <c r="S122" s="693"/>
      <c r="U122" s="93">
        <f t="shared" si="56"/>
        <v>0</v>
      </c>
      <c r="V122" s="24">
        <v>0</v>
      </c>
    </row>
    <row r="123" spans="1:259">
      <c r="C123" s="926" t="s">
        <v>442</v>
      </c>
      <c r="D123" s="927"/>
      <c r="E123" s="927"/>
      <c r="F123" s="927"/>
      <c r="G123" s="927"/>
      <c r="H123" s="927"/>
      <c r="I123" s="927"/>
      <c r="J123" s="927"/>
      <c r="K123" s="927"/>
      <c r="L123" s="927"/>
      <c r="M123" s="927"/>
      <c r="N123" s="927"/>
      <c r="O123" s="927"/>
      <c r="P123" s="927"/>
      <c r="Q123" s="927"/>
      <c r="R123" s="927"/>
      <c r="S123" s="927"/>
      <c r="U123" s="93">
        <f t="shared" si="56"/>
        <v>1</v>
      </c>
      <c r="V123" s="24">
        <v>1</v>
      </c>
    </row>
    <row r="124" spans="1:259" s="2" customFormat="1" ht="13.5" customHeight="1">
      <c r="A124" s="3"/>
      <c r="B124" s="3"/>
      <c r="C124" s="3"/>
      <c r="D124" s="3"/>
      <c r="E124" s="3"/>
      <c r="F124" s="3"/>
      <c r="G124" s="3"/>
      <c r="H124" s="97"/>
      <c r="I124" s="3"/>
      <c r="J124" s="3"/>
      <c r="K124" s="3"/>
      <c r="L124" s="214" t="str">
        <f>L6</f>
        <v>Projected Fiscal Years Ending June 31</v>
      </c>
      <c r="M124" s="975"/>
      <c r="N124" s="975"/>
      <c r="O124" s="975"/>
      <c r="P124" s="975"/>
      <c r="Q124" s="975"/>
      <c r="R124" s="975"/>
      <c r="S124" s="975"/>
      <c r="U124" s="93">
        <f t="shared" si="56"/>
        <v>0</v>
      </c>
      <c r="V124" s="24">
        <v>0</v>
      </c>
    </row>
    <row r="125" spans="1:259" s="2" customFormat="1" ht="13.5" customHeight="1" thickBot="1">
      <c r="A125" s="3"/>
      <c r="B125" s="3"/>
      <c r="C125" s="145"/>
      <c r="D125" s="85" t="str">
        <f>+D$7</f>
        <v>Unit</v>
      </c>
      <c r="E125" s="85" t="str">
        <f>+E$7</f>
        <v>Type</v>
      </c>
      <c r="F125" s="57"/>
      <c r="G125" s="85">
        <f t="shared" ref="G125:S125" si="85">+G$7</f>
        <v>2019</v>
      </c>
      <c r="H125" s="85">
        <f t="shared" si="85"/>
        <v>2020</v>
      </c>
      <c r="I125" s="85">
        <f t="shared" si="85"/>
        <v>2021</v>
      </c>
      <c r="J125" s="85">
        <f t="shared" si="85"/>
        <v>2022</v>
      </c>
      <c r="K125" s="85">
        <f t="shared" si="85"/>
        <v>2023</v>
      </c>
      <c r="L125" s="85">
        <f t="shared" si="85"/>
        <v>2024</v>
      </c>
      <c r="M125" s="85">
        <f t="shared" si="85"/>
        <v>2025</v>
      </c>
      <c r="N125" s="85">
        <f t="shared" si="85"/>
        <v>2026</v>
      </c>
      <c r="O125" s="85">
        <f t="shared" si="85"/>
        <v>2027</v>
      </c>
      <c r="P125" s="85">
        <f t="shared" si="85"/>
        <v>2028</v>
      </c>
      <c r="Q125" s="85">
        <f t="shared" si="85"/>
        <v>2029</v>
      </c>
      <c r="R125" s="85">
        <f t="shared" si="85"/>
        <v>2030</v>
      </c>
      <c r="S125" s="85">
        <f t="shared" si="85"/>
        <v>2031</v>
      </c>
      <c r="T125" s="23"/>
      <c r="U125" s="93">
        <f t="shared" si="56"/>
        <v>0</v>
      </c>
      <c r="V125" s="24">
        <v>0</v>
      </c>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c r="CA125" s="23"/>
      <c r="CB125" s="23"/>
      <c r="CC125" s="23"/>
      <c r="CD125" s="23"/>
      <c r="CE125" s="23"/>
      <c r="CF125" s="23"/>
      <c r="CG125" s="23"/>
      <c r="CH125" s="23"/>
      <c r="CI125" s="23"/>
      <c r="CJ125" s="23"/>
      <c r="CK125" s="23"/>
      <c r="CL125" s="23"/>
      <c r="CM125" s="23"/>
      <c r="CN125" s="23"/>
      <c r="CO125" s="23"/>
      <c r="CP125" s="23"/>
      <c r="CQ125" s="23"/>
      <c r="CR125" s="23"/>
      <c r="CS125" s="23"/>
      <c r="CT125" s="23"/>
      <c r="CU125" s="23"/>
      <c r="CV125" s="23"/>
      <c r="CW125" s="23"/>
      <c r="CX125" s="23"/>
      <c r="CY125" s="23"/>
      <c r="CZ125" s="23"/>
      <c r="DA125" s="23"/>
      <c r="DB125" s="23"/>
      <c r="DC125" s="23"/>
      <c r="DD125" s="23"/>
      <c r="DE125" s="23"/>
      <c r="DF125" s="23"/>
      <c r="DG125" s="23"/>
      <c r="DH125" s="23"/>
      <c r="DI125" s="23"/>
      <c r="DJ125" s="23"/>
      <c r="DK125" s="23"/>
      <c r="DL125" s="23"/>
      <c r="DM125" s="23"/>
      <c r="DN125" s="23"/>
      <c r="DO125" s="23"/>
      <c r="DP125" s="23"/>
      <c r="DQ125" s="23"/>
      <c r="DR125" s="23"/>
      <c r="DS125" s="23"/>
      <c r="DT125" s="23"/>
      <c r="DU125" s="23"/>
      <c r="DV125" s="23"/>
      <c r="DW125" s="23"/>
      <c r="DX125" s="23"/>
      <c r="DY125" s="23"/>
      <c r="DZ125" s="23"/>
      <c r="EA125" s="23"/>
      <c r="EB125" s="23"/>
      <c r="EC125" s="23"/>
      <c r="ED125" s="23"/>
      <c r="EE125" s="23"/>
      <c r="EF125" s="23"/>
      <c r="EG125" s="23"/>
      <c r="EH125" s="23"/>
      <c r="EI125" s="23"/>
      <c r="EJ125" s="23"/>
      <c r="EK125" s="23"/>
      <c r="EL125" s="23"/>
      <c r="EM125" s="23"/>
      <c r="EN125" s="23"/>
      <c r="EO125" s="23"/>
      <c r="EP125" s="23"/>
      <c r="EQ125" s="23"/>
      <c r="ER125" s="23"/>
      <c r="ES125" s="23"/>
      <c r="ET125" s="23"/>
      <c r="EU125" s="23"/>
      <c r="EV125" s="23"/>
      <c r="EW125" s="23"/>
      <c r="EX125" s="23"/>
      <c r="EY125" s="23"/>
      <c r="EZ125" s="23"/>
      <c r="FA125" s="23"/>
      <c r="FB125" s="23"/>
      <c r="FC125" s="23"/>
      <c r="FD125" s="23"/>
      <c r="FE125" s="23"/>
      <c r="FF125" s="23"/>
      <c r="FG125" s="23"/>
      <c r="FH125" s="23"/>
      <c r="FI125" s="23"/>
      <c r="FJ125" s="23"/>
      <c r="FK125" s="23"/>
      <c r="FL125" s="23"/>
      <c r="FM125" s="23"/>
      <c r="FN125" s="23"/>
      <c r="FO125" s="23"/>
      <c r="FP125" s="23"/>
      <c r="FQ125" s="23"/>
      <c r="FR125" s="23"/>
      <c r="FS125" s="23"/>
      <c r="FT125" s="23"/>
      <c r="FU125" s="23"/>
      <c r="FV125" s="23"/>
      <c r="FW125" s="23"/>
      <c r="FX125" s="23"/>
      <c r="FY125" s="23"/>
      <c r="FZ125" s="23"/>
      <c r="GA125" s="23"/>
      <c r="GB125" s="23"/>
      <c r="GC125" s="23"/>
      <c r="GD125" s="23"/>
      <c r="GE125" s="23"/>
      <c r="GF125" s="23"/>
      <c r="GG125" s="23"/>
      <c r="GH125" s="23"/>
      <c r="GI125" s="23"/>
      <c r="GJ125" s="23"/>
      <c r="GK125" s="23"/>
      <c r="GL125" s="23"/>
      <c r="GM125" s="23"/>
      <c r="GN125" s="23"/>
      <c r="GO125" s="23"/>
      <c r="GP125" s="23"/>
      <c r="GQ125" s="23"/>
      <c r="GR125" s="23"/>
      <c r="GS125" s="23"/>
      <c r="GT125" s="23"/>
      <c r="GU125" s="23"/>
      <c r="GV125" s="23"/>
      <c r="GW125" s="23"/>
      <c r="GX125" s="23"/>
      <c r="GY125" s="23"/>
      <c r="GZ125" s="23"/>
      <c r="HA125" s="23"/>
      <c r="HB125" s="23"/>
      <c r="HC125" s="23"/>
      <c r="HD125" s="23"/>
      <c r="HE125" s="23"/>
      <c r="HF125" s="23"/>
      <c r="HG125" s="23"/>
      <c r="HH125" s="23"/>
      <c r="HI125" s="23"/>
      <c r="HJ125" s="23"/>
      <c r="HK125" s="23"/>
      <c r="HL125" s="23"/>
      <c r="HM125" s="23"/>
      <c r="HN125" s="23"/>
      <c r="HO125" s="23"/>
      <c r="HP125" s="23"/>
      <c r="HQ125" s="23"/>
      <c r="HR125" s="23"/>
      <c r="HS125" s="23"/>
      <c r="HT125" s="23"/>
      <c r="HU125" s="23"/>
      <c r="HV125" s="23"/>
      <c r="HW125" s="23"/>
      <c r="HX125" s="23"/>
      <c r="HY125" s="23"/>
      <c r="HZ125" s="23"/>
      <c r="IA125" s="23"/>
      <c r="IB125" s="23"/>
      <c r="IC125" s="23"/>
      <c r="ID125" s="23"/>
      <c r="IE125" s="23"/>
      <c r="IF125" s="23"/>
      <c r="IG125" s="23"/>
      <c r="IH125" s="23"/>
      <c r="II125" s="23"/>
      <c r="IJ125" s="23"/>
      <c r="IK125" s="23"/>
      <c r="IL125" s="23"/>
      <c r="IM125" s="23"/>
      <c r="IN125" s="23"/>
      <c r="IO125" s="23"/>
      <c r="IP125" s="23"/>
      <c r="IQ125" s="23"/>
      <c r="IR125" s="23"/>
      <c r="IS125" s="23"/>
      <c r="IT125" s="23"/>
      <c r="IU125" s="23"/>
      <c r="IV125" s="23"/>
      <c r="IW125" s="23"/>
      <c r="IX125" s="23"/>
    </row>
    <row r="126" spans="1:259" ht="13.5" customHeight="1">
      <c r="C126" s="115" t="s">
        <v>443</v>
      </c>
      <c r="G126" s="361"/>
      <c r="U126" s="93">
        <f t="shared" si="56"/>
        <v>1</v>
      </c>
      <c r="V126" s="24">
        <v>1</v>
      </c>
    </row>
    <row r="127" spans="1:259" s="23" customFormat="1" ht="13.5" customHeight="1">
      <c r="A127" s="54"/>
      <c r="B127" s="54"/>
      <c r="C127" s="81" t="s">
        <v>444</v>
      </c>
      <c r="D127" s="3" t="s">
        <v>165</v>
      </c>
      <c r="E127" s="3" t="s">
        <v>134</v>
      </c>
      <c r="G127" s="1108"/>
      <c r="H127" s="1108"/>
      <c r="I127" s="1108"/>
      <c r="J127" s="1108"/>
      <c r="K127" s="1108"/>
      <c r="L127" s="97">
        <f>'DCF - Financials'!L87+SUM('DCF - Financials'!L94,'DCF - Financials'!L101)</f>
        <v>3622.6790850998586</v>
      </c>
      <c r="M127" s="97">
        <f>'DCF - Financials'!M87+SUM('DCF - Financials'!M94,'DCF - Financials'!M101)</f>
        <v>2904.594822774508</v>
      </c>
      <c r="N127" s="97">
        <f>'DCF - Financials'!N87+SUM('DCF - Financials'!N94,'DCF - Financials'!N101)</f>
        <v>3339.6838703855497</v>
      </c>
      <c r="O127" s="97">
        <f>'DCF - Financials'!O87+SUM('DCF - Financials'!O94,'DCF - Financials'!O101)</f>
        <v>3533.160589121514</v>
      </c>
      <c r="P127" s="97">
        <f>'DCF - Financials'!P87+SUM('DCF - Financials'!P94,'DCF - Financials'!P101)</f>
        <v>3937.7063190355293</v>
      </c>
      <c r="Q127" s="97">
        <f>'DCF - Financials'!Q87+SUM('DCF - Financials'!Q94,'DCF - Financials'!Q101)</f>
        <v>4073.475168456278</v>
      </c>
      <c r="R127" s="97">
        <f>'DCF - Financials'!R87+SUM('DCF - Financials'!R94,'DCF - Financials'!R101)</f>
        <v>4435.4834489369496</v>
      </c>
      <c r="S127" s="97">
        <f>'DCF - Financials'!S87+SUM('DCF - Financials'!S94,'DCF - Financials'!S101)</f>
        <v>4745.8439206239163</v>
      </c>
      <c r="T127" s="41"/>
      <c r="U127" s="93">
        <f t="shared" si="56"/>
        <v>1</v>
      </c>
      <c r="V127" s="24">
        <v>1</v>
      </c>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c r="CJ127" s="41"/>
      <c r="CK127" s="41"/>
      <c r="CL127" s="41"/>
      <c r="CM127" s="41"/>
      <c r="CN127" s="41"/>
      <c r="CO127" s="41"/>
      <c r="CP127" s="41"/>
      <c r="CQ127" s="41"/>
      <c r="CR127" s="41"/>
      <c r="CS127" s="41"/>
      <c r="CT127" s="41"/>
      <c r="CU127" s="41"/>
    </row>
    <row r="128" spans="1:259" s="23" customFormat="1" ht="13.5" customHeight="1">
      <c r="A128" s="54"/>
      <c r="B128" s="54"/>
      <c r="C128" s="81" t="s">
        <v>445</v>
      </c>
      <c r="D128" s="3" t="s">
        <v>165</v>
      </c>
      <c r="E128" s="3" t="s">
        <v>134</v>
      </c>
      <c r="G128" s="1108"/>
      <c r="H128" s="1108"/>
      <c r="I128" s="1108"/>
      <c r="J128" s="1108"/>
      <c r="K128" s="1108"/>
      <c r="L128" s="97">
        <f t="shared" ref="L128:S129" si="86">L29+L38+L11</f>
        <v>2713.7</v>
      </c>
      <c r="M128" s="97">
        <f t="shared" si="86"/>
        <v>2102.4875000000002</v>
      </c>
      <c r="N128" s="97">
        <f t="shared" si="86"/>
        <v>2321.7818750000001</v>
      </c>
      <c r="O128" s="97">
        <f t="shared" si="86"/>
        <v>2333.0954687499998</v>
      </c>
      <c r="P128" s="97">
        <f t="shared" si="86"/>
        <v>2352.9404609375001</v>
      </c>
      <c r="Q128" s="97">
        <f t="shared" si="86"/>
        <v>2267.8189824218748</v>
      </c>
      <c r="R128" s="97">
        <f t="shared" si="86"/>
        <v>2318.1679092773438</v>
      </c>
      <c r="S128" s="97">
        <f t="shared" si="86"/>
        <v>2317.5178381591795</v>
      </c>
      <c r="T128" s="41"/>
      <c r="U128" s="93">
        <f t="shared" si="56"/>
        <v>1</v>
      </c>
      <c r="V128" s="24">
        <v>1</v>
      </c>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Q128" s="41"/>
      <c r="BR128" s="41"/>
      <c r="BS128" s="41"/>
      <c r="BT128" s="41"/>
      <c r="BU128" s="41"/>
      <c r="BV128" s="41"/>
      <c r="BW128" s="41"/>
      <c r="BX128" s="41"/>
      <c r="BY128" s="41"/>
      <c r="BZ128" s="41"/>
      <c r="CA128" s="41"/>
      <c r="CB128" s="41"/>
      <c r="CC128" s="41"/>
      <c r="CD128" s="41"/>
      <c r="CE128" s="41"/>
      <c r="CF128" s="41"/>
      <c r="CG128" s="41"/>
      <c r="CH128" s="41"/>
      <c r="CI128" s="41"/>
      <c r="CJ128" s="41"/>
      <c r="CK128" s="41"/>
      <c r="CL128" s="41"/>
      <c r="CM128" s="41"/>
      <c r="CN128" s="41"/>
      <c r="CO128" s="41"/>
      <c r="CP128" s="41"/>
      <c r="CQ128" s="41"/>
      <c r="CR128" s="41"/>
      <c r="CS128" s="41"/>
      <c r="CT128" s="41"/>
      <c r="CU128" s="41"/>
    </row>
    <row r="129" spans="1:99" s="23" customFormat="1" ht="13.5" customHeight="1">
      <c r="A129" s="54"/>
      <c r="B129" s="54"/>
      <c r="C129" s="81" t="s">
        <v>446</v>
      </c>
      <c r="D129" s="3" t="s">
        <v>165</v>
      </c>
      <c r="E129" s="3" t="s">
        <v>134</v>
      </c>
      <c r="G129" s="1108"/>
      <c r="H129" s="1108"/>
      <c r="I129" s="1108"/>
      <c r="J129" s="1108"/>
      <c r="K129" s="1108"/>
      <c r="L129" s="97">
        <f t="shared" si="86"/>
        <v>-1232</v>
      </c>
      <c r="M129" s="97">
        <f t="shared" si="86"/>
        <v>-1335</v>
      </c>
      <c r="N129" s="97">
        <f t="shared" si="86"/>
        <v>-1357</v>
      </c>
      <c r="O129" s="97">
        <f t="shared" si="86"/>
        <v>-1316</v>
      </c>
      <c r="P129" s="97">
        <f t="shared" si="86"/>
        <v>-1310</v>
      </c>
      <c r="Q129" s="97">
        <f t="shared" si="86"/>
        <v>-1329.5</v>
      </c>
      <c r="R129" s="97">
        <f t="shared" si="86"/>
        <v>-1328.125</v>
      </c>
      <c r="S129" s="97">
        <f t="shared" si="86"/>
        <v>-1320.90625</v>
      </c>
      <c r="T129" s="41"/>
      <c r="U129" s="93">
        <f t="shared" si="56"/>
        <v>1</v>
      </c>
      <c r="V129" s="24">
        <v>1</v>
      </c>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Q129" s="41"/>
      <c r="BR129" s="41"/>
      <c r="BS129" s="41"/>
      <c r="BT129" s="41"/>
      <c r="BU129" s="41"/>
      <c r="BV129" s="41"/>
      <c r="BW129" s="41"/>
      <c r="BX129" s="41"/>
      <c r="BY129" s="41"/>
      <c r="BZ129" s="41"/>
      <c r="CA129" s="41"/>
      <c r="CB129" s="41"/>
      <c r="CC129" s="41"/>
      <c r="CD129" s="41"/>
      <c r="CE129" s="41"/>
      <c r="CF129" s="41"/>
      <c r="CG129" s="41"/>
      <c r="CH129" s="41"/>
      <c r="CI129" s="41"/>
      <c r="CJ129" s="41"/>
      <c r="CK129" s="41"/>
      <c r="CL129" s="41"/>
      <c r="CM129" s="41"/>
      <c r="CN129" s="41"/>
      <c r="CO129" s="41"/>
      <c r="CP129" s="41"/>
      <c r="CQ129" s="41"/>
      <c r="CR129" s="41"/>
      <c r="CS129" s="41"/>
      <c r="CT129" s="41"/>
      <c r="CU129" s="41"/>
    </row>
    <row r="130" spans="1:99" s="23" customFormat="1" ht="13.5" customHeight="1">
      <c r="A130" s="54"/>
      <c r="B130" s="54"/>
      <c r="C130" s="103" t="s">
        <v>435</v>
      </c>
      <c r="D130" s="32" t="s">
        <v>165</v>
      </c>
      <c r="E130" s="32" t="s">
        <v>134</v>
      </c>
      <c r="F130" s="78"/>
      <c r="G130" s="1158"/>
      <c r="H130" s="1158"/>
      <c r="I130" s="1158"/>
      <c r="J130" s="1158"/>
      <c r="K130" s="1158"/>
      <c r="L130" s="102">
        <f t="shared" ref="L130:S130" si="87">SUM(L127:L129)</f>
        <v>5104.3790850998585</v>
      </c>
      <c r="M130" s="102">
        <f t="shared" si="87"/>
        <v>3672.0823227745077</v>
      </c>
      <c r="N130" s="102">
        <f t="shared" si="87"/>
        <v>4304.4657453855498</v>
      </c>
      <c r="O130" s="102">
        <f t="shared" si="87"/>
        <v>4550.2560578715138</v>
      </c>
      <c r="P130" s="102">
        <f t="shared" si="87"/>
        <v>4980.646779973029</v>
      </c>
      <c r="Q130" s="102">
        <f t="shared" si="87"/>
        <v>5011.7941508781532</v>
      </c>
      <c r="R130" s="102">
        <f t="shared" si="87"/>
        <v>5425.5263582142934</v>
      </c>
      <c r="S130" s="102">
        <f t="shared" si="87"/>
        <v>5742.4555087830959</v>
      </c>
      <c r="T130" s="41"/>
      <c r="U130" s="93">
        <f t="shared" si="56"/>
        <v>1</v>
      </c>
      <c r="V130" s="24">
        <v>1</v>
      </c>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Q130" s="41"/>
      <c r="BR130" s="41"/>
      <c r="BS130" s="41"/>
      <c r="BT130" s="41"/>
      <c r="BU130" s="41"/>
      <c r="BV130" s="41"/>
      <c r="BW130" s="41"/>
      <c r="BX130" s="41"/>
      <c r="BY130" s="41"/>
      <c r="BZ130" s="41"/>
      <c r="CA130" s="41"/>
      <c r="CB130" s="41"/>
      <c r="CC130" s="41"/>
      <c r="CD130" s="41"/>
      <c r="CE130" s="41"/>
      <c r="CF130" s="41"/>
      <c r="CG130" s="41"/>
      <c r="CH130" s="41"/>
      <c r="CI130" s="41"/>
      <c r="CJ130" s="41"/>
      <c r="CK130" s="41"/>
      <c r="CL130" s="41"/>
      <c r="CM130" s="41"/>
      <c r="CN130" s="41"/>
      <c r="CO130" s="41"/>
      <c r="CP130" s="41"/>
      <c r="CQ130" s="41"/>
      <c r="CR130" s="41"/>
      <c r="CS130" s="41"/>
      <c r="CT130" s="41"/>
      <c r="CU130" s="41"/>
    </row>
    <row r="131" spans="1:99" s="23" customFormat="1" ht="13.5" customHeight="1">
      <c r="A131" s="54"/>
      <c r="B131" s="54"/>
      <c r="C131" s="160"/>
      <c r="D131" s="3"/>
      <c r="E131" s="3"/>
      <c r="G131" s="159"/>
      <c r="H131" s="159"/>
      <c r="I131" s="159"/>
      <c r="J131" s="159"/>
      <c r="K131" s="159"/>
      <c r="L131" s="159"/>
      <c r="M131" s="159"/>
      <c r="N131" s="159"/>
      <c r="O131" s="159"/>
      <c r="P131" s="159"/>
      <c r="Q131" s="159"/>
      <c r="R131" s="159"/>
      <c r="S131" s="159"/>
      <c r="T131" s="41"/>
      <c r="U131" s="93">
        <f t="shared" si="56"/>
        <v>0</v>
      </c>
      <c r="V131" s="24">
        <v>0</v>
      </c>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Q131" s="41"/>
      <c r="BR131" s="41"/>
      <c r="BS131" s="41"/>
      <c r="BT131" s="41"/>
      <c r="BU131" s="41"/>
      <c r="BV131" s="41"/>
      <c r="BW131" s="41"/>
      <c r="BX131" s="41"/>
      <c r="BY131" s="41"/>
      <c r="BZ131" s="41"/>
      <c r="CA131" s="41"/>
      <c r="CB131" s="41"/>
      <c r="CC131" s="41"/>
      <c r="CD131" s="41"/>
      <c r="CE131" s="41"/>
      <c r="CF131" s="41"/>
      <c r="CG131" s="41"/>
      <c r="CH131" s="41"/>
      <c r="CI131" s="41"/>
      <c r="CJ131" s="41"/>
      <c r="CK131" s="41"/>
      <c r="CL131" s="41"/>
      <c r="CM131" s="41"/>
      <c r="CN131" s="41"/>
      <c r="CO131" s="41"/>
      <c r="CP131" s="41"/>
      <c r="CQ131" s="41"/>
      <c r="CR131" s="41"/>
      <c r="CS131" s="41"/>
      <c r="CT131" s="41"/>
      <c r="CU131" s="41"/>
    </row>
    <row r="132" spans="1:99" ht="13.5" customHeight="1">
      <c r="A132" s="54"/>
      <c r="B132" s="54"/>
      <c r="C132" s="81" t="s">
        <v>447</v>
      </c>
      <c r="D132" s="3" t="s">
        <v>165</v>
      </c>
      <c r="E132" s="3" t="s">
        <v>134</v>
      </c>
      <c r="F132" s="23"/>
      <c r="G132" s="97"/>
      <c r="H132" s="97"/>
      <c r="I132" s="97"/>
      <c r="J132" s="97"/>
      <c r="K132" s="97"/>
      <c r="L132" s="105">
        <f>'DCF - Financials'!L$105</f>
        <v>1403</v>
      </c>
      <c r="M132" s="105">
        <f>'DCF - Financials'!M$105</f>
        <v>2413.0500000000002</v>
      </c>
      <c r="N132" s="105">
        <f>'DCF - Financials'!N$105</f>
        <v>2696.7000000000003</v>
      </c>
      <c r="O132" s="105">
        <f>'DCF - Financials'!O$105</f>
        <v>3032.2024999999999</v>
      </c>
      <c r="P132" s="105">
        <f>'DCF - Financials'!P$105</f>
        <v>3331.3849999999998</v>
      </c>
      <c r="Q132" s="105">
        <f>'DCF - Financials'!Q$105</f>
        <v>3633.1601249999994</v>
      </c>
      <c r="R132" s="105">
        <f>'DCF - Financials'!R$105</f>
        <v>3933.1192499999997</v>
      </c>
      <c r="S132" s="105">
        <f>'DCF - Financials'!S$105</f>
        <v>4233.208006249999</v>
      </c>
      <c r="U132" s="93">
        <f t="shared" si="56"/>
        <v>1</v>
      </c>
      <c r="V132" s="24">
        <v>1</v>
      </c>
    </row>
    <row r="133" spans="1:99" ht="13.5" customHeight="1">
      <c r="A133" s="54"/>
      <c r="B133" s="54"/>
      <c r="C133" s="81" t="s">
        <v>448</v>
      </c>
      <c r="D133" s="3" t="s">
        <v>165</v>
      </c>
      <c r="E133" s="3" t="s">
        <v>403</v>
      </c>
      <c r="F133" s="23"/>
      <c r="G133" s="104"/>
      <c r="H133" s="104"/>
      <c r="I133" s="104"/>
      <c r="J133" s="104"/>
      <c r="K133" s="104"/>
      <c r="L133" s="97">
        <f>-L75</f>
        <v>-2449</v>
      </c>
      <c r="M133" s="97">
        <f t="shared" ref="M133:S133" si="88">-M75</f>
        <v>-2749</v>
      </c>
      <c r="N133" s="97">
        <f t="shared" si="88"/>
        <v>-3049</v>
      </c>
      <c r="O133" s="97">
        <f t="shared" si="88"/>
        <v>-3349</v>
      </c>
      <c r="P133" s="97">
        <f t="shared" si="88"/>
        <v>-3649</v>
      </c>
      <c r="Q133" s="97">
        <f t="shared" si="88"/>
        <v>-3949</v>
      </c>
      <c r="R133" s="97">
        <f t="shared" si="88"/>
        <v>-4249</v>
      </c>
      <c r="S133" s="97">
        <f t="shared" si="88"/>
        <v>-4549</v>
      </c>
      <c r="U133" s="93">
        <f t="shared" si="56"/>
        <v>1</v>
      </c>
      <c r="V133" s="24">
        <v>1</v>
      </c>
    </row>
    <row r="134" spans="1:99" ht="13.5" customHeight="1">
      <c r="A134" s="54"/>
      <c r="B134" s="54"/>
      <c r="C134" s="103" t="s">
        <v>449</v>
      </c>
      <c r="D134" s="32" t="s">
        <v>165</v>
      </c>
      <c r="E134" s="32" t="s">
        <v>134</v>
      </c>
      <c r="F134" s="32"/>
      <c r="G134" s="157"/>
      <c r="H134" s="157"/>
      <c r="I134" s="157"/>
      <c r="J134" s="157"/>
      <c r="K134" s="157"/>
      <c r="L134" s="101">
        <f t="shared" ref="L134" si="89">SUM(L132:L133)</f>
        <v>-1046</v>
      </c>
      <c r="M134" s="101">
        <f t="shared" ref="M134:S134" si="90">SUM(M132:M133)</f>
        <v>-335.94999999999982</v>
      </c>
      <c r="N134" s="101">
        <f t="shared" si="90"/>
        <v>-352.29999999999973</v>
      </c>
      <c r="O134" s="101">
        <f t="shared" si="90"/>
        <v>-316.79750000000013</v>
      </c>
      <c r="P134" s="101">
        <f t="shared" si="90"/>
        <v>-317.61500000000024</v>
      </c>
      <c r="Q134" s="101">
        <f t="shared" si="90"/>
        <v>-315.83987500000057</v>
      </c>
      <c r="R134" s="101">
        <f t="shared" si="90"/>
        <v>-315.88075000000026</v>
      </c>
      <c r="S134" s="101">
        <f t="shared" si="90"/>
        <v>-315.79199375000098</v>
      </c>
      <c r="U134" s="93">
        <f t="shared" si="56"/>
        <v>1</v>
      </c>
      <c r="V134" s="24">
        <v>1</v>
      </c>
    </row>
    <row r="135" spans="1:99" s="23" customFormat="1" ht="13.5" customHeight="1">
      <c r="A135" s="153"/>
      <c r="B135" s="153"/>
      <c r="C135" s="103" t="s">
        <v>450</v>
      </c>
      <c r="D135" s="32" t="s">
        <v>165</v>
      </c>
      <c r="E135" s="32" t="s">
        <v>134</v>
      </c>
      <c r="F135" s="78"/>
      <c r="G135" s="157"/>
      <c r="H135" s="157"/>
      <c r="I135" s="157"/>
      <c r="J135" s="157"/>
      <c r="K135" s="157"/>
      <c r="L135" s="101">
        <f>MIN(L134+L130,0)</f>
        <v>0</v>
      </c>
      <c r="M135" s="101">
        <f t="shared" ref="M135:S135" si="91">MIN(M134+M130,0)</f>
        <v>0</v>
      </c>
      <c r="N135" s="101">
        <f t="shared" si="91"/>
        <v>0</v>
      </c>
      <c r="O135" s="101">
        <f t="shared" si="91"/>
        <v>0</v>
      </c>
      <c r="P135" s="101">
        <f t="shared" si="91"/>
        <v>0</v>
      </c>
      <c r="Q135" s="101">
        <f t="shared" si="91"/>
        <v>0</v>
      </c>
      <c r="R135" s="101">
        <f t="shared" si="91"/>
        <v>0</v>
      </c>
      <c r="S135" s="101">
        <f t="shared" si="91"/>
        <v>0</v>
      </c>
      <c r="T135" s="41"/>
      <c r="U135" s="93">
        <f t="shared" si="56"/>
        <v>1</v>
      </c>
      <c r="V135" s="24">
        <v>1</v>
      </c>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Q135" s="41"/>
      <c r="BR135" s="41"/>
      <c r="BS135" s="41"/>
      <c r="BT135" s="41"/>
      <c r="BU135" s="41"/>
      <c r="BV135" s="41"/>
      <c r="BW135" s="41"/>
      <c r="BX135" s="41"/>
      <c r="BY135" s="41"/>
      <c r="BZ135" s="41"/>
      <c r="CA135" s="41"/>
      <c r="CB135" s="41"/>
      <c r="CC135" s="41"/>
      <c r="CD135" s="41"/>
      <c r="CE135" s="41"/>
      <c r="CF135" s="41"/>
      <c r="CG135" s="41"/>
      <c r="CH135" s="41"/>
      <c r="CI135" s="41"/>
      <c r="CJ135" s="41"/>
      <c r="CK135" s="41"/>
      <c r="CL135" s="41"/>
      <c r="CM135" s="41"/>
      <c r="CN135" s="41"/>
      <c r="CO135" s="41"/>
      <c r="CP135" s="41"/>
      <c r="CQ135" s="41"/>
      <c r="CR135" s="41"/>
      <c r="CS135" s="41"/>
      <c r="CT135" s="41"/>
      <c r="CU135" s="41"/>
    </row>
    <row r="136" spans="1:99" ht="13.5" customHeight="1">
      <c r="A136" s="54"/>
      <c r="B136" s="54"/>
      <c r="C136" s="81" t="s">
        <v>451</v>
      </c>
      <c r="D136" s="3" t="s">
        <v>165</v>
      </c>
      <c r="E136" s="3" t="s">
        <v>134</v>
      </c>
      <c r="G136" s="136"/>
      <c r="H136" s="136"/>
      <c r="I136" s="136"/>
      <c r="J136" s="136"/>
      <c r="K136" s="136"/>
      <c r="L136" s="105">
        <f>MAX(L130+L134,0)</f>
        <v>4058.3790850998585</v>
      </c>
      <c r="M136" s="105">
        <f t="shared" ref="M136:S136" si="92">MAX(M130+M134,0)</f>
        <v>3336.1323227745079</v>
      </c>
      <c r="N136" s="105">
        <f t="shared" si="92"/>
        <v>3952.1657453855501</v>
      </c>
      <c r="O136" s="105">
        <f t="shared" si="92"/>
        <v>4233.4585578715141</v>
      </c>
      <c r="P136" s="105">
        <f t="shared" si="92"/>
        <v>4663.0317799730292</v>
      </c>
      <c r="Q136" s="105">
        <f t="shared" si="92"/>
        <v>4695.9542758781527</v>
      </c>
      <c r="R136" s="105">
        <f t="shared" si="92"/>
        <v>5109.6456082142931</v>
      </c>
      <c r="S136" s="105">
        <f t="shared" si="92"/>
        <v>5426.6635150330949</v>
      </c>
      <c r="U136" s="93">
        <f t="shared" si="56"/>
        <v>1</v>
      </c>
      <c r="V136" s="24">
        <v>1</v>
      </c>
    </row>
    <row r="137" spans="1:99" s="23" customFormat="1" ht="13.5" customHeight="1">
      <c r="A137" s="54"/>
      <c r="B137" s="54"/>
      <c r="C137" s="156" t="s">
        <v>452</v>
      </c>
      <c r="D137" s="3" t="s">
        <v>165</v>
      </c>
      <c r="E137" s="3" t="s">
        <v>134</v>
      </c>
      <c r="G137" s="155"/>
      <c r="H137" s="155"/>
      <c r="I137" s="155"/>
      <c r="J137" s="155"/>
      <c r="K137" s="155"/>
      <c r="L137" s="154">
        <f t="shared" ref="L137" si="93">-L135</f>
        <v>0</v>
      </c>
      <c r="M137" s="154">
        <f t="shared" ref="M137:S137" si="94">-M135</f>
        <v>0</v>
      </c>
      <c r="N137" s="154">
        <f t="shared" si="94"/>
        <v>0</v>
      </c>
      <c r="O137" s="154">
        <f t="shared" si="94"/>
        <v>0</v>
      </c>
      <c r="P137" s="154">
        <f t="shared" si="94"/>
        <v>0</v>
      </c>
      <c r="Q137" s="154">
        <f t="shared" si="94"/>
        <v>0</v>
      </c>
      <c r="R137" s="154">
        <f t="shared" si="94"/>
        <v>0</v>
      </c>
      <c r="S137" s="154">
        <f t="shared" si="94"/>
        <v>0</v>
      </c>
      <c r="T137" s="41"/>
      <c r="U137" s="93">
        <f t="shared" si="56"/>
        <v>1</v>
      </c>
      <c r="V137" s="24">
        <v>1</v>
      </c>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row>
    <row r="138" spans="1:99" ht="13.5" customHeight="1">
      <c r="A138" s="54"/>
      <c r="B138" s="54"/>
      <c r="C138" s="81" t="s">
        <v>453</v>
      </c>
      <c r="D138" s="3" t="s">
        <v>165</v>
      </c>
      <c r="E138" s="3" t="s">
        <v>134</v>
      </c>
      <c r="F138" s="1010"/>
      <c r="G138" s="136"/>
      <c r="H138" s="136"/>
      <c r="I138" s="136"/>
      <c r="J138" s="136"/>
      <c r="K138" s="136"/>
      <c r="L138" s="105">
        <f t="shared" ref="L138:S138" si="95">L29+L41+L38</f>
        <v>5362.7870106371302</v>
      </c>
      <c r="M138" s="105">
        <f t="shared" si="95"/>
        <v>1100.2386760537038</v>
      </c>
      <c r="N138" s="105">
        <f t="shared" si="95"/>
        <v>3750.6108409379308</v>
      </c>
      <c r="O138" s="105">
        <f t="shared" si="95"/>
        <v>2109.8599291527771</v>
      </c>
      <c r="P138" s="105">
        <f t="shared" si="95"/>
        <v>3252.8029622714689</v>
      </c>
      <c r="Q138" s="105">
        <f t="shared" si="95"/>
        <v>2663.9218849007998</v>
      </c>
      <c r="R138" s="105">
        <f t="shared" si="95"/>
        <v>3350.7545212881314</v>
      </c>
      <c r="S138" s="105">
        <f t="shared" si="95"/>
        <v>3305.0158390892211</v>
      </c>
      <c r="U138" s="93">
        <f t="shared" ref="U138:U175" si="96">IF(NOT(ISBLANK(C138)), 1, 0)</f>
        <v>1</v>
      </c>
      <c r="V138" s="24">
        <v>1</v>
      </c>
    </row>
    <row r="139" spans="1:99" ht="13.5" customHeight="1">
      <c r="A139" s="54"/>
      <c r="B139" s="54"/>
      <c r="C139" s="81" t="s">
        <v>454</v>
      </c>
      <c r="D139" s="3" t="s">
        <v>165</v>
      </c>
      <c r="E139" s="3" t="s">
        <v>134</v>
      </c>
      <c r="G139" s="136"/>
      <c r="H139" s="136"/>
      <c r="I139" s="136"/>
      <c r="J139" s="136"/>
      <c r="K139" s="136"/>
      <c r="L139" s="105">
        <f t="shared" ref="L139:S139" si="97">SUM(L51:L52)</f>
        <v>8.4779099077029514</v>
      </c>
      <c r="M139" s="105">
        <f t="shared" si="97"/>
        <v>23.25396113766999</v>
      </c>
      <c r="N139" s="105">
        <f t="shared" si="97"/>
        <v>23.958929956891041</v>
      </c>
      <c r="O139" s="105">
        <f t="shared" si="97"/>
        <v>25.588449234996403</v>
      </c>
      <c r="P139" s="105">
        <f t="shared" si="97"/>
        <v>27.565986698537813</v>
      </c>
      <c r="Q139" s="105">
        <f t="shared" si="97"/>
        <v>29.122827448724138</v>
      </c>
      <c r="R139" s="105">
        <f t="shared" si="97"/>
        <v>30.914265148122922</v>
      </c>
      <c r="S139" s="105">
        <f t="shared" si="97"/>
        <v>33.014596704791757</v>
      </c>
      <c r="U139" s="93">
        <f t="shared" si="96"/>
        <v>1</v>
      </c>
      <c r="V139" s="24">
        <v>1</v>
      </c>
    </row>
    <row r="140" spans="1:99" s="23" customFormat="1" ht="13.5" customHeight="1">
      <c r="A140" s="153"/>
      <c r="B140" s="153"/>
      <c r="C140" s="149" t="s">
        <v>455</v>
      </c>
      <c r="D140" s="32" t="s">
        <v>165</v>
      </c>
      <c r="E140" s="32" t="s">
        <v>134</v>
      </c>
      <c r="F140" s="1175"/>
      <c r="G140" s="152"/>
      <c r="H140" s="152"/>
      <c r="I140" s="152"/>
      <c r="J140" s="152"/>
      <c r="K140" s="152"/>
      <c r="L140" s="147">
        <f t="shared" ref="L140:S140" si="98">SUM(L135:L139)</f>
        <v>9429.6440056446918</v>
      </c>
      <c r="M140" s="147">
        <f t="shared" si="98"/>
        <v>4459.6249599658813</v>
      </c>
      <c r="N140" s="147">
        <f t="shared" si="98"/>
        <v>7726.7355162803715</v>
      </c>
      <c r="O140" s="147">
        <f t="shared" si="98"/>
        <v>6368.9069362592872</v>
      </c>
      <c r="P140" s="147">
        <f t="shared" si="98"/>
        <v>7943.4007289430365</v>
      </c>
      <c r="Q140" s="147">
        <f t="shared" si="98"/>
        <v>7388.9989882276768</v>
      </c>
      <c r="R140" s="147">
        <f t="shared" si="98"/>
        <v>8491.3143946505479</v>
      </c>
      <c r="S140" s="147">
        <f t="shared" si="98"/>
        <v>8764.693950827108</v>
      </c>
      <c r="T140" s="41"/>
      <c r="U140" s="93">
        <f t="shared" si="96"/>
        <v>1</v>
      </c>
      <c r="V140" s="24">
        <v>1</v>
      </c>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Q140" s="41"/>
      <c r="BR140" s="41"/>
      <c r="BS140" s="41"/>
      <c r="BT140" s="41"/>
      <c r="BU140" s="41"/>
      <c r="BV140" s="41"/>
      <c r="BW140" s="41"/>
      <c r="BX140" s="41"/>
      <c r="BY140" s="41"/>
      <c r="BZ140" s="41"/>
      <c r="CA140" s="41"/>
      <c r="CB140" s="41"/>
      <c r="CC140" s="41"/>
      <c r="CD140" s="41"/>
      <c r="CE140" s="41"/>
      <c r="CF140" s="41"/>
      <c r="CG140" s="41"/>
      <c r="CH140" s="41"/>
      <c r="CI140" s="41"/>
      <c r="CJ140" s="41"/>
      <c r="CK140" s="41"/>
      <c r="CL140" s="41"/>
      <c r="CM140" s="41"/>
      <c r="CN140" s="41"/>
      <c r="CO140" s="41"/>
      <c r="CP140" s="41"/>
      <c r="CQ140" s="41"/>
      <c r="CR140" s="41"/>
      <c r="CS140" s="41"/>
      <c r="CT140" s="41"/>
      <c r="CU140" s="41"/>
    </row>
    <row r="141" spans="1:99" ht="13.5" customHeight="1">
      <c r="A141" s="54"/>
      <c r="B141" s="54"/>
      <c r="C141" s="80"/>
      <c r="K141" s="151"/>
      <c r="L141" s="97"/>
      <c r="M141" s="97"/>
      <c r="N141" s="97"/>
      <c r="O141" s="97"/>
      <c r="P141" s="97"/>
      <c r="Q141" s="97"/>
      <c r="R141" s="97"/>
      <c r="S141" s="97"/>
      <c r="U141" s="93">
        <f t="shared" si="96"/>
        <v>0</v>
      </c>
      <c r="V141" s="24">
        <v>0</v>
      </c>
    </row>
    <row r="142" spans="1:99" ht="13.5" customHeight="1">
      <c r="A142" s="54"/>
      <c r="B142" s="54"/>
      <c r="C142" s="115" t="s">
        <v>456</v>
      </c>
      <c r="D142" s="23"/>
      <c r="E142" s="23"/>
      <c r="F142" s="23"/>
      <c r="G142" s="159"/>
      <c r="H142" s="159"/>
      <c r="I142" s="159"/>
      <c r="J142" s="159"/>
      <c r="K142" s="159"/>
      <c r="L142" s="159"/>
      <c r="M142" s="159"/>
      <c r="N142" s="159"/>
      <c r="O142" s="159"/>
      <c r="P142" s="159"/>
      <c r="Q142" s="159"/>
      <c r="R142" s="159"/>
      <c r="S142" s="159"/>
      <c r="U142" s="93">
        <f t="shared" si="96"/>
        <v>1</v>
      </c>
      <c r="V142" s="24">
        <v>1</v>
      </c>
    </row>
    <row r="143" spans="1:99" ht="13.5" customHeight="1">
      <c r="A143" s="54"/>
      <c r="B143" s="54"/>
      <c r="C143" s="3" t="s">
        <v>457</v>
      </c>
      <c r="G143" s="175">
        <f>G146/'DCF - Financials'!G40</f>
        <v>0.66845140032948924</v>
      </c>
      <c r="H143" s="175">
        <f>H146/'DCF - Financials'!H40</f>
        <v>0.6992353440951572</v>
      </c>
      <c r="I143" s="175">
        <f>I146/'DCF - Financials'!I40</f>
        <v>0.70191897654584223</v>
      </c>
      <c r="J143" s="175">
        <f>J146/'DCF - Financials'!J40</f>
        <v>0.73892473118279567</v>
      </c>
      <c r="K143" s="175">
        <f>K146/'DCF - Financials'!K40</f>
        <v>0.77542932628797889</v>
      </c>
      <c r="L143" s="1063">
        <f>L146/'DCF - Financials'!L40</f>
        <v>0</v>
      </c>
      <c r="M143" s="1063">
        <f>M146/'DCF - Financials'!M40</f>
        <v>0</v>
      </c>
      <c r="N143" s="1063">
        <f>N146/'DCF - Financials'!N40</f>
        <v>0</v>
      </c>
      <c r="O143" s="1063">
        <f>O146/'DCF - Financials'!O40</f>
        <v>0</v>
      </c>
      <c r="P143" s="1063">
        <f>P146/'DCF - Financials'!P40</f>
        <v>0</v>
      </c>
      <c r="Q143" s="1063">
        <f>Q146/'DCF - Financials'!Q40</f>
        <v>0</v>
      </c>
      <c r="R143" s="1063">
        <f>R146/'DCF - Financials'!R40</f>
        <v>0</v>
      </c>
      <c r="S143" s="1063">
        <f>S146/'DCF - Financials'!S40</f>
        <v>0</v>
      </c>
      <c r="U143" s="93">
        <f t="shared" si="96"/>
        <v>1</v>
      </c>
      <c r="V143" s="24">
        <v>1</v>
      </c>
    </row>
    <row r="144" spans="1:99" ht="13.5" customHeight="1">
      <c r="A144" s="54"/>
      <c r="B144" s="54"/>
      <c r="C144" s="81" t="s">
        <v>260</v>
      </c>
      <c r="G144" s="175">
        <f>'DCF - Financials'!G41</f>
        <v>1.3014827018121911</v>
      </c>
      <c r="H144" s="175">
        <f>'DCF - Financials'!H41</f>
        <v>0.59855564995751909</v>
      </c>
      <c r="I144" s="175">
        <f>'DCF - Financials'!I41</f>
        <v>1.1343283582089552</v>
      </c>
      <c r="J144" s="175">
        <f>'DCF - Financials'!J41</f>
        <v>1.3974193548387097</v>
      </c>
      <c r="K144" s="175">
        <f>'DCF - Financials'!K41</f>
        <v>1.6442095992954646</v>
      </c>
      <c r="L144" s="1062">
        <f>'DCF - Financials'!L41</f>
        <v>1.5729158162759698</v>
      </c>
      <c r="M144" s="1062">
        <f>'DCF - Financials'!M41</f>
        <v>1.7425652117738364</v>
      </c>
      <c r="N144" s="1062">
        <f>'DCF - Financials'!N41</f>
        <v>2.0313582424181011</v>
      </c>
      <c r="O144" s="1062">
        <f>'DCF - Financials'!O41</f>
        <v>2.2510065594406425</v>
      </c>
      <c r="P144" s="1062">
        <f>'DCF - Financials'!P41</f>
        <v>2.6619533460968636</v>
      </c>
      <c r="Q144" s="1062">
        <f>'DCF - Financials'!Q41</f>
        <v>3.0882471900266433</v>
      </c>
      <c r="R144" s="1062">
        <f>'DCF - Financials'!R41</f>
        <v>3.7013423463406681</v>
      </c>
      <c r="S144" s="1062">
        <f>'DCF - Financials'!S41</f>
        <v>4.4991125441411102</v>
      </c>
      <c r="U144" s="93">
        <f t="shared" si="96"/>
        <v>1</v>
      </c>
      <c r="V144" s="24">
        <v>1</v>
      </c>
    </row>
    <row r="145" spans="1:259" ht="13.5" customHeight="1">
      <c r="A145" s="54"/>
      <c r="B145" s="54"/>
      <c r="C145" s="81" t="s">
        <v>458</v>
      </c>
      <c r="G145" s="172">
        <f>G144/G143</f>
        <v>1.9470117067159582</v>
      </c>
      <c r="H145" s="172">
        <f t="shared" ref="H145:S145" si="99">H144/H143</f>
        <v>0.85601458080194404</v>
      </c>
      <c r="I145" s="172">
        <f t="shared" si="99"/>
        <v>1.6160388821385174</v>
      </c>
      <c r="J145" s="172">
        <f t="shared" si="99"/>
        <v>1.8911525029103611</v>
      </c>
      <c r="K145" s="172">
        <f t="shared" si="99"/>
        <v>2.1203861442362295</v>
      </c>
      <c r="L145" s="1159" t="e">
        <f t="shared" si="99"/>
        <v>#DIV/0!</v>
      </c>
      <c r="M145" s="1159" t="e">
        <f t="shared" si="99"/>
        <v>#DIV/0!</v>
      </c>
      <c r="N145" s="1159" t="e">
        <f t="shared" si="99"/>
        <v>#DIV/0!</v>
      </c>
      <c r="O145" s="1159" t="e">
        <f t="shared" si="99"/>
        <v>#DIV/0!</v>
      </c>
      <c r="P145" s="1159" t="e">
        <f t="shared" si="99"/>
        <v>#DIV/0!</v>
      </c>
      <c r="Q145" s="1159" t="e">
        <f t="shared" si="99"/>
        <v>#DIV/0!</v>
      </c>
      <c r="R145" s="1159" t="e">
        <f t="shared" si="99"/>
        <v>#DIV/0!</v>
      </c>
      <c r="S145" s="1159" t="e">
        <f t="shared" si="99"/>
        <v>#DIV/0!</v>
      </c>
      <c r="U145" s="93">
        <f t="shared" si="96"/>
        <v>1</v>
      </c>
      <c r="V145" s="24">
        <v>1</v>
      </c>
    </row>
    <row r="146" spans="1:259" ht="13.5" customHeight="1">
      <c r="A146" s="54"/>
      <c r="B146" s="54"/>
      <c r="C146" s="78" t="s">
        <v>459</v>
      </c>
      <c r="D146" s="32"/>
      <c r="E146" s="32"/>
      <c r="F146" s="32"/>
      <c r="G146" s="148">
        <f>-'DCF - Financials'!G102</f>
        <v>1623</v>
      </c>
      <c r="H146" s="148">
        <f>-'DCF - Financials'!H102</f>
        <v>1646</v>
      </c>
      <c r="I146" s="148">
        <f>-'DCF - Financials'!I102</f>
        <v>1646</v>
      </c>
      <c r="J146" s="148">
        <f>-'DCF - Financials'!J102</f>
        <v>1718</v>
      </c>
      <c r="K146" s="148">
        <f>-'DCF - Financials'!K102</f>
        <v>1761</v>
      </c>
      <c r="L146" s="147">
        <f>-L118</f>
        <v>0</v>
      </c>
      <c r="M146" s="147">
        <f t="shared" ref="M146:S146" si="100">-M118</f>
        <v>0</v>
      </c>
      <c r="N146" s="147">
        <f t="shared" si="100"/>
        <v>0</v>
      </c>
      <c r="O146" s="147">
        <f t="shared" si="100"/>
        <v>0</v>
      </c>
      <c r="P146" s="147">
        <f t="shared" si="100"/>
        <v>0</v>
      </c>
      <c r="Q146" s="147">
        <f t="shared" si="100"/>
        <v>0</v>
      </c>
      <c r="R146" s="147">
        <f t="shared" si="100"/>
        <v>0</v>
      </c>
      <c r="S146" s="147">
        <f t="shared" si="100"/>
        <v>0</v>
      </c>
      <c r="U146" s="93">
        <f t="shared" si="96"/>
        <v>1</v>
      </c>
      <c r="V146" s="24">
        <v>1</v>
      </c>
    </row>
    <row r="147" spans="1:259" s="2" customFormat="1" ht="13.5" customHeight="1">
      <c r="A147" s="54"/>
      <c r="B147" s="54"/>
      <c r="C147" s="1033"/>
      <c r="D147" s="3"/>
      <c r="E147" s="3"/>
      <c r="F147" s="146"/>
      <c r="G147" s="146"/>
      <c r="H147" s="146"/>
      <c r="I147" s="146"/>
      <c r="J147" s="146"/>
      <c r="K147" s="146"/>
      <c r="L147" s="146"/>
      <c r="M147" s="146"/>
      <c r="N147" s="146"/>
      <c r="O147" s="3"/>
      <c r="P147" s="3"/>
      <c r="Q147" s="3"/>
      <c r="R147" s="3"/>
      <c r="S147" s="3"/>
      <c r="U147" s="93">
        <f t="shared" si="96"/>
        <v>0</v>
      </c>
      <c r="V147" s="24">
        <v>0</v>
      </c>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row>
    <row r="148" spans="1:259">
      <c r="C148" s="926" t="s">
        <v>460</v>
      </c>
      <c r="D148" s="927"/>
      <c r="E148" s="927"/>
      <c r="F148" s="927"/>
      <c r="G148" s="927"/>
      <c r="H148" s="927"/>
      <c r="I148" s="927"/>
      <c r="J148" s="927"/>
      <c r="K148" s="927"/>
      <c r="L148" s="927"/>
      <c r="M148" s="927"/>
      <c r="N148" s="927"/>
      <c r="O148" s="927"/>
      <c r="P148" s="927"/>
      <c r="Q148" s="927"/>
      <c r="R148" s="927"/>
      <c r="S148" s="927"/>
      <c r="U148" s="93">
        <f t="shared" si="96"/>
        <v>1</v>
      </c>
      <c r="V148" s="24">
        <v>1</v>
      </c>
    </row>
    <row r="149" spans="1:259" s="2" customFormat="1" ht="13.5" customHeight="1">
      <c r="A149" s="3"/>
      <c r="B149" s="3"/>
      <c r="C149" s="361"/>
      <c r="D149" s="3"/>
      <c r="E149" s="3"/>
      <c r="F149" s="3"/>
      <c r="G149" s="3"/>
      <c r="H149" s="3"/>
      <c r="I149" s="3"/>
      <c r="J149" s="3"/>
      <c r="K149" s="3"/>
      <c r="L149" s="214" t="str">
        <f>L6</f>
        <v>Projected Fiscal Years Ending June 31</v>
      </c>
      <c r="M149" s="975"/>
      <c r="N149" s="975"/>
      <c r="O149" s="975"/>
      <c r="P149" s="975"/>
      <c r="Q149" s="975"/>
      <c r="R149" s="975"/>
      <c r="S149" s="975"/>
      <c r="U149" s="93">
        <f t="shared" si="96"/>
        <v>0</v>
      </c>
      <c r="V149" s="24">
        <v>0</v>
      </c>
    </row>
    <row r="150" spans="1:259" s="2" customFormat="1" ht="13.5" customHeight="1" thickBot="1">
      <c r="A150" s="3"/>
      <c r="B150" s="3"/>
      <c r="C150" s="145"/>
      <c r="D150" s="85" t="str">
        <f>+D$7</f>
        <v>Unit</v>
      </c>
      <c r="E150" s="85" t="str">
        <f>+E$7</f>
        <v>Type</v>
      </c>
      <c r="F150" s="57"/>
      <c r="G150" s="85">
        <f t="shared" ref="G150:S150" si="101">+G$7</f>
        <v>2019</v>
      </c>
      <c r="H150" s="85">
        <f t="shared" si="101"/>
        <v>2020</v>
      </c>
      <c r="I150" s="85">
        <f t="shared" si="101"/>
        <v>2021</v>
      </c>
      <c r="J150" s="85">
        <f t="shared" si="101"/>
        <v>2022</v>
      </c>
      <c r="K150" s="85">
        <f t="shared" si="101"/>
        <v>2023</v>
      </c>
      <c r="L150" s="85">
        <f t="shared" si="101"/>
        <v>2024</v>
      </c>
      <c r="M150" s="85">
        <f t="shared" si="101"/>
        <v>2025</v>
      </c>
      <c r="N150" s="85">
        <f t="shared" si="101"/>
        <v>2026</v>
      </c>
      <c r="O150" s="85">
        <f t="shared" si="101"/>
        <v>2027</v>
      </c>
      <c r="P150" s="85">
        <f t="shared" si="101"/>
        <v>2028</v>
      </c>
      <c r="Q150" s="85">
        <f t="shared" si="101"/>
        <v>2029</v>
      </c>
      <c r="R150" s="85">
        <f t="shared" si="101"/>
        <v>2030</v>
      </c>
      <c r="S150" s="85">
        <f t="shared" si="101"/>
        <v>2031</v>
      </c>
      <c r="T150" s="23"/>
      <c r="U150" s="93">
        <f t="shared" si="96"/>
        <v>0</v>
      </c>
      <c r="V150" s="24">
        <v>0</v>
      </c>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3"/>
      <c r="CE150" s="23"/>
      <c r="CF150" s="23"/>
      <c r="CG150" s="23"/>
      <c r="CH150" s="23"/>
      <c r="CI150" s="23"/>
      <c r="CJ150" s="23"/>
      <c r="CK150" s="23"/>
      <c r="CL150" s="23"/>
      <c r="CM150" s="23"/>
      <c r="CN150" s="23"/>
      <c r="CO150" s="23"/>
      <c r="CP150" s="23"/>
      <c r="CQ150" s="23"/>
      <c r="CR150" s="23"/>
      <c r="CS150" s="23"/>
      <c r="CT150" s="23"/>
      <c r="CU150" s="23"/>
      <c r="CV150" s="23"/>
      <c r="CW150" s="23"/>
      <c r="CX150" s="23"/>
      <c r="CY150" s="23"/>
      <c r="CZ150" s="23"/>
      <c r="DA150" s="23"/>
      <c r="DB150" s="23"/>
      <c r="DC150" s="23"/>
      <c r="DD150" s="23"/>
      <c r="DE150" s="23"/>
      <c r="DF150" s="23"/>
      <c r="DG150" s="23"/>
      <c r="DH150" s="23"/>
      <c r="DI150" s="23"/>
      <c r="DJ150" s="23"/>
      <c r="DK150" s="23"/>
      <c r="DL150" s="23"/>
      <c r="DM150" s="23"/>
      <c r="DN150" s="23"/>
      <c r="DO150" s="23"/>
      <c r="DP150" s="23"/>
      <c r="DQ150" s="23"/>
      <c r="DR150" s="23"/>
      <c r="DS150" s="23"/>
      <c r="DT150" s="23"/>
      <c r="DU150" s="23"/>
      <c r="DV150" s="23"/>
      <c r="DW150" s="23"/>
      <c r="DX150" s="23"/>
      <c r="DY150" s="23"/>
      <c r="DZ150" s="23"/>
      <c r="EA150" s="23"/>
      <c r="EB150" s="23"/>
      <c r="EC150" s="23"/>
      <c r="ED150" s="23"/>
      <c r="EE150" s="23"/>
      <c r="EF150" s="23"/>
      <c r="EG150" s="23"/>
      <c r="EH150" s="23"/>
      <c r="EI150" s="23"/>
      <c r="EJ150" s="23"/>
      <c r="EK150" s="23"/>
      <c r="EL150" s="23"/>
      <c r="EM150" s="23"/>
      <c r="EN150" s="23"/>
      <c r="EO150" s="23"/>
      <c r="EP150" s="23"/>
      <c r="EQ150" s="23"/>
      <c r="ER150" s="23"/>
      <c r="ES150" s="23"/>
      <c r="ET150" s="23"/>
      <c r="EU150" s="23"/>
      <c r="EV150" s="23"/>
      <c r="EW150" s="23"/>
      <c r="EX150" s="23"/>
      <c r="EY150" s="23"/>
      <c r="EZ150" s="23"/>
      <c r="FA150" s="23"/>
      <c r="FB150" s="23"/>
      <c r="FC150" s="23"/>
      <c r="FD150" s="23"/>
      <c r="FE150" s="23"/>
      <c r="FF150" s="23"/>
      <c r="FG150" s="23"/>
      <c r="FH150" s="23"/>
      <c r="FI150" s="23"/>
      <c r="FJ150" s="23"/>
      <c r="FK150" s="23"/>
      <c r="FL150" s="23"/>
      <c r="FM150" s="23"/>
      <c r="FN150" s="23"/>
      <c r="FO150" s="23"/>
      <c r="FP150" s="23"/>
      <c r="FQ150" s="23"/>
      <c r="FR150" s="23"/>
      <c r="FS150" s="23"/>
      <c r="FT150" s="23"/>
      <c r="FU150" s="23"/>
      <c r="FV150" s="23"/>
      <c r="FW150" s="23"/>
      <c r="FX150" s="23"/>
      <c r="FY150" s="23"/>
      <c r="FZ150" s="23"/>
      <c r="GA150" s="23"/>
      <c r="GB150" s="23"/>
      <c r="GC150" s="23"/>
      <c r="GD150" s="23"/>
      <c r="GE150" s="23"/>
      <c r="GF150" s="23"/>
      <c r="GG150" s="23"/>
      <c r="GH150" s="23"/>
      <c r="GI150" s="23"/>
      <c r="GJ150" s="23"/>
      <c r="GK150" s="23"/>
      <c r="GL150" s="23"/>
      <c r="GM150" s="23"/>
      <c r="GN150" s="23"/>
      <c r="GO150" s="23"/>
      <c r="GP150" s="23"/>
      <c r="GQ150" s="23"/>
      <c r="GR150" s="23"/>
      <c r="GS150" s="23"/>
      <c r="GT150" s="23"/>
      <c r="GU150" s="23"/>
      <c r="GV150" s="23"/>
      <c r="GW150" s="23"/>
      <c r="GX150" s="23"/>
      <c r="GY150" s="23"/>
      <c r="GZ150" s="23"/>
      <c r="HA150" s="23"/>
      <c r="HB150" s="23"/>
      <c r="HC150" s="23"/>
      <c r="HD150" s="23"/>
      <c r="HE150" s="23"/>
      <c r="HF150" s="23"/>
      <c r="HG150" s="23"/>
      <c r="HH150" s="23"/>
      <c r="HI150" s="23"/>
      <c r="HJ150" s="23"/>
      <c r="HK150" s="23"/>
      <c r="HL150" s="23"/>
      <c r="HM150" s="23"/>
      <c r="HN150" s="23"/>
      <c r="HO150" s="23"/>
      <c r="HP150" s="23"/>
      <c r="HQ150" s="23"/>
      <c r="HR150" s="23"/>
      <c r="HS150" s="23"/>
      <c r="HT150" s="23"/>
      <c r="HU150" s="23"/>
      <c r="HV150" s="23"/>
      <c r="HW150" s="23"/>
      <c r="HX150" s="23"/>
      <c r="HY150" s="23"/>
      <c r="HZ150" s="23"/>
      <c r="IA150" s="23"/>
      <c r="IB150" s="23"/>
      <c r="IC150" s="23"/>
      <c r="ID150" s="23"/>
      <c r="IE150" s="23"/>
      <c r="IF150" s="23"/>
      <c r="IG150" s="23"/>
      <c r="IH150" s="23"/>
      <c r="II150" s="23"/>
      <c r="IJ150" s="23"/>
      <c r="IK150" s="23"/>
      <c r="IL150" s="23"/>
      <c r="IM150" s="23"/>
      <c r="IN150" s="23"/>
      <c r="IO150" s="23"/>
      <c r="IP150" s="23"/>
      <c r="IQ150" s="23"/>
      <c r="IR150" s="23"/>
      <c r="IS150" s="23"/>
      <c r="IT150" s="23"/>
      <c r="IU150" s="23"/>
      <c r="IV150" s="23"/>
      <c r="IW150" s="23"/>
      <c r="IX150" s="23"/>
    </row>
    <row r="151" spans="1:259" s="2" customFormat="1" ht="13.5" customHeight="1">
      <c r="A151" s="54"/>
      <c r="B151" s="54"/>
      <c r="C151" s="81" t="s">
        <v>461</v>
      </c>
      <c r="D151" s="3" t="s">
        <v>165</v>
      </c>
      <c r="E151" s="3" t="s">
        <v>134</v>
      </c>
      <c r="G151" s="144"/>
      <c r="H151" s="678"/>
      <c r="I151" s="678"/>
      <c r="J151" s="678"/>
      <c r="K151" s="678"/>
      <c r="L151" s="1073">
        <f t="shared" ref="L151" si="102">K154</f>
        <v>712</v>
      </c>
      <c r="M151" s="1073">
        <f t="shared" ref="M151" si="103">L154</f>
        <v>712</v>
      </c>
      <c r="N151" s="1073">
        <f t="shared" ref="N151" si="104">M154</f>
        <v>712</v>
      </c>
      <c r="O151" s="1073">
        <f t="shared" ref="O151" si="105">N154</f>
        <v>712</v>
      </c>
      <c r="P151" s="1073">
        <f t="shared" ref="P151" si="106">O154</f>
        <v>712</v>
      </c>
      <c r="Q151" s="1073">
        <f t="shared" ref="Q151" si="107">P154</f>
        <v>712</v>
      </c>
      <c r="R151" s="1073">
        <f t="shared" ref="R151" si="108">Q154</f>
        <v>712</v>
      </c>
      <c r="S151" s="1073">
        <f t="shared" ref="S151" si="109">R154</f>
        <v>712</v>
      </c>
      <c r="U151" s="93">
        <f t="shared" si="96"/>
        <v>1</v>
      </c>
      <c r="V151" s="24">
        <v>1</v>
      </c>
    </row>
    <row r="152" spans="1:259" s="2" customFormat="1" ht="13.5" customHeight="1">
      <c r="A152" s="54"/>
      <c r="B152" s="54"/>
      <c r="C152" s="81" t="s">
        <v>462</v>
      </c>
      <c r="D152" s="3" t="s">
        <v>165</v>
      </c>
      <c r="E152" s="3" t="s">
        <v>372</v>
      </c>
      <c r="G152" s="138"/>
      <c r="H152" s="678"/>
      <c r="I152" s="678"/>
      <c r="J152" s="678"/>
      <c r="K152" s="678"/>
      <c r="L152" s="1047">
        <f>'DCF - Assumptions'!L193</f>
        <v>0</v>
      </c>
      <c r="M152" s="1047">
        <f>'DCF - Assumptions'!M193</f>
        <v>0</v>
      </c>
      <c r="N152" s="1047">
        <f>'DCF - Assumptions'!N193</f>
        <v>0</v>
      </c>
      <c r="O152" s="1047">
        <f>'DCF - Assumptions'!O193</f>
        <v>0</v>
      </c>
      <c r="P152" s="1047">
        <f>'DCF - Assumptions'!P193</f>
        <v>0</v>
      </c>
      <c r="Q152" s="1047">
        <f>'DCF - Assumptions'!Q193</f>
        <v>0</v>
      </c>
      <c r="R152" s="1047">
        <f>'DCF - Assumptions'!R193</f>
        <v>0</v>
      </c>
      <c r="S152" s="1047">
        <f>'DCF - Assumptions'!S193</f>
        <v>0</v>
      </c>
      <c r="U152" s="93">
        <f t="shared" si="96"/>
        <v>1</v>
      </c>
      <c r="V152" s="24">
        <v>1</v>
      </c>
    </row>
    <row r="153" spans="1:259" s="2" customFormat="1" ht="13.5" customHeight="1">
      <c r="A153" s="54"/>
      <c r="B153" s="54"/>
      <c r="C153" s="81" t="s">
        <v>463</v>
      </c>
      <c r="D153" s="3" t="s">
        <v>165</v>
      </c>
      <c r="E153" s="3" t="s">
        <v>134</v>
      </c>
      <c r="G153" s="144"/>
      <c r="H153" s="678"/>
      <c r="I153" s="678"/>
      <c r="J153" s="678"/>
      <c r="K153" s="678"/>
      <c r="L153" s="1073">
        <v>0</v>
      </c>
      <c r="M153" s="1073">
        <v>0</v>
      </c>
      <c r="N153" s="1073">
        <v>0</v>
      </c>
      <c r="O153" s="1073">
        <v>0</v>
      </c>
      <c r="P153" s="1073">
        <v>0</v>
      </c>
      <c r="Q153" s="1073">
        <v>0</v>
      </c>
      <c r="R153" s="1073">
        <v>0</v>
      </c>
      <c r="S153" s="1073">
        <v>0</v>
      </c>
      <c r="U153" s="93">
        <f t="shared" si="96"/>
        <v>1</v>
      </c>
      <c r="V153" s="24">
        <v>1</v>
      </c>
    </row>
    <row r="154" spans="1:259" s="2" customFormat="1" ht="13.5" customHeight="1">
      <c r="A154" s="54"/>
      <c r="B154" s="54"/>
      <c r="C154" s="103" t="s">
        <v>464</v>
      </c>
      <c r="D154" s="32" t="s">
        <v>165</v>
      </c>
      <c r="E154" s="32" t="s">
        <v>134</v>
      </c>
      <c r="F154" s="30"/>
      <c r="G154" s="143"/>
      <c r="H154" s="141"/>
      <c r="I154" s="141"/>
      <c r="J154" s="141"/>
      <c r="K154" s="141">
        <f>'DCF - Financials'!K162</f>
        <v>712</v>
      </c>
      <c r="L154" s="140">
        <f t="shared" ref="L154:S154" si="110">SUM(L151:L153)</f>
        <v>712</v>
      </c>
      <c r="M154" s="140">
        <f t="shared" si="110"/>
        <v>712</v>
      </c>
      <c r="N154" s="140">
        <f t="shared" si="110"/>
        <v>712</v>
      </c>
      <c r="O154" s="140">
        <f t="shared" si="110"/>
        <v>712</v>
      </c>
      <c r="P154" s="140">
        <f t="shared" si="110"/>
        <v>712</v>
      </c>
      <c r="Q154" s="140">
        <f t="shared" si="110"/>
        <v>712</v>
      </c>
      <c r="R154" s="140">
        <f t="shared" si="110"/>
        <v>712</v>
      </c>
      <c r="S154" s="140">
        <f t="shared" si="110"/>
        <v>712</v>
      </c>
      <c r="U154" s="93">
        <f t="shared" si="96"/>
        <v>1</v>
      </c>
      <c r="V154" s="24">
        <v>1</v>
      </c>
    </row>
    <row r="155" spans="1:259" s="2" customFormat="1" ht="13.5" customHeight="1">
      <c r="A155" s="54"/>
      <c r="B155" s="54"/>
      <c r="C155" s="1015"/>
      <c r="D155" s="3"/>
      <c r="E155" s="3"/>
      <c r="F155" s="3"/>
      <c r="G155" s="3"/>
      <c r="H155" s="97"/>
      <c r="I155" s="3"/>
      <c r="J155" s="97"/>
      <c r="K155" s="97"/>
      <c r="L155" s="97"/>
      <c r="M155" s="97"/>
      <c r="N155" s="97"/>
      <c r="O155" s="97"/>
      <c r="P155" s="97"/>
      <c r="Q155" s="97"/>
      <c r="R155" s="97"/>
      <c r="S155" s="97"/>
      <c r="U155" s="93">
        <f t="shared" si="96"/>
        <v>0</v>
      </c>
      <c r="V155" s="24">
        <v>0</v>
      </c>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row>
    <row r="156" spans="1:259" s="2" customFormat="1" ht="13.5" customHeight="1">
      <c r="A156" s="54"/>
      <c r="B156" s="54"/>
      <c r="C156" s="81" t="s">
        <v>347</v>
      </c>
      <c r="D156" s="3" t="s">
        <v>165</v>
      </c>
      <c r="E156" s="3" t="s">
        <v>134</v>
      </c>
      <c r="F156" s="3"/>
      <c r="G156" s="3">
        <f>'DCF - Financials'!G163</f>
        <v>1350</v>
      </c>
      <c r="H156" s="3">
        <f>'DCF - Financials'!H163</f>
        <v>1351</v>
      </c>
      <c r="I156" s="3">
        <f>'DCF - Financials'!I163</f>
        <v>1351</v>
      </c>
      <c r="J156" s="3">
        <f>'DCF - Financials'!J163</f>
        <v>1351</v>
      </c>
      <c r="K156" s="3">
        <f>'DCF - Financials'!K163</f>
        <v>1351</v>
      </c>
      <c r="L156" s="3">
        <f>'DCF - Financials'!L163</f>
        <v>1351</v>
      </c>
      <c r="M156" s="3">
        <f>'DCF - Financials'!M163</f>
        <v>1351</v>
      </c>
      <c r="N156" s="3">
        <f>'DCF - Financials'!N163</f>
        <v>1351</v>
      </c>
      <c r="O156" s="3">
        <f>'DCF - Financials'!O163</f>
        <v>1351</v>
      </c>
      <c r="P156" s="3">
        <f>'DCF - Financials'!P163</f>
        <v>1351</v>
      </c>
      <c r="Q156" s="3">
        <f>'DCF - Financials'!Q163</f>
        <v>1351</v>
      </c>
      <c r="R156" s="3">
        <f>'DCF - Financials'!R163</f>
        <v>1351</v>
      </c>
      <c r="S156" s="3">
        <f>'DCF - Financials'!S163</f>
        <v>1351</v>
      </c>
      <c r="U156" s="93">
        <f t="shared" si="96"/>
        <v>1</v>
      </c>
      <c r="V156" s="24">
        <v>1</v>
      </c>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row>
    <row r="157" spans="1:259" s="2" customFormat="1" ht="13.5" customHeight="1">
      <c r="A157" s="54"/>
      <c r="B157" s="54"/>
      <c r="C157" s="1015"/>
      <c r="D157" s="3"/>
      <c r="E157" s="3"/>
      <c r="F157" s="3"/>
      <c r="G157" s="3"/>
      <c r="H157" s="97"/>
      <c r="I157" s="3"/>
      <c r="J157" s="97"/>
      <c r="K157" s="97"/>
      <c r="L157" s="97"/>
      <c r="M157" s="97"/>
      <c r="N157" s="97"/>
      <c r="O157" s="97"/>
      <c r="P157" s="97"/>
      <c r="Q157" s="97"/>
      <c r="R157" s="97"/>
      <c r="S157" s="97"/>
      <c r="U157" s="93">
        <f t="shared" si="96"/>
        <v>0</v>
      </c>
      <c r="V157" s="24">
        <v>0</v>
      </c>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row>
    <row r="158" spans="1:259" s="2" customFormat="1" ht="13.5" customHeight="1">
      <c r="A158" s="54"/>
      <c r="B158" s="54"/>
      <c r="C158" s="137" t="s">
        <v>465</v>
      </c>
      <c r="D158" s="3" t="s">
        <v>165</v>
      </c>
      <c r="E158" s="3" t="s">
        <v>134</v>
      </c>
      <c r="F158" s="3"/>
      <c r="G158" s="1064"/>
      <c r="H158" s="1064">
        <f>G164</f>
        <v>3886</v>
      </c>
      <c r="I158" s="1064">
        <f t="shared" ref="I158:S158" si="111">H164</f>
        <v>2407</v>
      </c>
      <c r="J158" s="1064">
        <f t="shared" si="111"/>
        <v>3184</v>
      </c>
      <c r="K158" s="1064">
        <f t="shared" si="111"/>
        <v>3550</v>
      </c>
      <c r="L158" s="1047">
        <f t="shared" si="111"/>
        <v>3898</v>
      </c>
      <c r="M158" s="1047">
        <f t="shared" si="111"/>
        <v>447.36171920193465</v>
      </c>
      <c r="N158" s="1047">
        <f t="shared" si="111"/>
        <v>1607.4891310115208</v>
      </c>
      <c r="O158" s="1047">
        <f t="shared" si="111"/>
        <v>57.828706574221542</v>
      </c>
      <c r="P158" s="1047">
        <f t="shared" si="111"/>
        <v>61.804743151059483</v>
      </c>
      <c r="Q158" s="1047">
        <f t="shared" si="111"/>
        <v>-1136.9036482632791</v>
      </c>
      <c r="R158" s="1047">
        <f t="shared" si="111"/>
        <v>-1573.5398514013023</v>
      </c>
      <c r="S158" s="1047">
        <f t="shared" si="111"/>
        <v>-2730.8581377761711</v>
      </c>
      <c r="U158" s="93">
        <f t="shared" si="96"/>
        <v>1</v>
      </c>
      <c r="V158" s="24">
        <v>1</v>
      </c>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row>
    <row r="159" spans="1:259" s="2" customFormat="1" ht="13.5" customHeight="1">
      <c r="A159" s="54"/>
      <c r="B159" s="54"/>
      <c r="C159" s="142" t="s">
        <v>466</v>
      </c>
      <c r="D159" s="32" t="s">
        <v>165</v>
      </c>
      <c r="E159" s="32" t="s">
        <v>134</v>
      </c>
      <c r="F159" s="32"/>
      <c r="G159" s="1065"/>
      <c r="H159" s="1066">
        <f>'DCF - Financials'!H37</f>
        <v>1409</v>
      </c>
      <c r="I159" s="1066">
        <f>'DCF - Financials'!I37</f>
        <v>2660</v>
      </c>
      <c r="J159" s="1066">
        <f>'DCF - Financials'!J37</f>
        <v>3249</v>
      </c>
      <c r="K159" s="1066">
        <f>'DCF - Financials'!K37</f>
        <v>3734</v>
      </c>
      <c r="L159" s="1069">
        <f>'DCF - Financials'!L37</f>
        <v>3292.7778149389228</v>
      </c>
      <c r="M159" s="1069">
        <f>'DCF - Financials'!M37</f>
        <v>3546.3109106377979</v>
      </c>
      <c r="N159" s="1069">
        <f>'DCF - Financials'!N37</f>
        <v>3848.131786886182</v>
      </c>
      <c r="O159" s="1069">
        <f>'DCF - Financials'!O37</f>
        <v>4031.8140548511292</v>
      </c>
      <c r="P159" s="1069">
        <f>'DCF - Financials'!P37</f>
        <v>4380.0257648926599</v>
      </c>
      <c r="Q159" s="1069">
        <f>'DCF - Financials'!Q37</f>
        <v>4671.3017252190548</v>
      </c>
      <c r="R159" s="1069">
        <f>'DCF - Financials'!R37</f>
        <v>5000.7059276002119</v>
      </c>
      <c r="S159" s="1069">
        <f>'DCF - Financials'!S37</f>
        <v>5318.1969068914077</v>
      </c>
      <c r="U159" s="93">
        <f t="shared" si="96"/>
        <v>1</v>
      </c>
      <c r="V159" s="24">
        <v>1</v>
      </c>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row>
    <row r="160" spans="1:259" s="2" customFormat="1" ht="13.5" customHeight="1">
      <c r="A160" s="54"/>
      <c r="B160" s="54"/>
      <c r="C160" s="137" t="s">
        <v>467</v>
      </c>
      <c r="D160" s="3" t="s">
        <v>165</v>
      </c>
      <c r="E160" s="3" t="s">
        <v>134</v>
      </c>
      <c r="F160" s="3"/>
      <c r="G160" s="1075"/>
      <c r="H160" s="1077">
        <v>-11</v>
      </c>
      <c r="I160" s="1077">
        <v>-39</v>
      </c>
      <c r="J160" s="1077">
        <v>777</v>
      </c>
      <c r="K160" s="1077">
        <v>-330</v>
      </c>
      <c r="L160" s="1047">
        <v>0</v>
      </c>
      <c r="M160" s="1047">
        <v>0</v>
      </c>
      <c r="N160" s="1047">
        <v>0</v>
      </c>
      <c r="O160" s="1047">
        <v>0</v>
      </c>
      <c r="P160" s="1047">
        <v>0</v>
      </c>
      <c r="Q160" s="1047">
        <v>0</v>
      </c>
      <c r="R160" s="1047">
        <v>0</v>
      </c>
      <c r="S160" s="1047">
        <v>0</v>
      </c>
      <c r="U160" s="93">
        <f t="shared" si="96"/>
        <v>1</v>
      </c>
      <c r="V160" s="24">
        <v>1</v>
      </c>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row>
    <row r="161" spans="1:259" s="2" customFormat="1" ht="13.5" customHeight="1">
      <c r="A161" s="54"/>
      <c r="B161" s="54"/>
      <c r="C161" s="137" t="s">
        <v>289</v>
      </c>
      <c r="D161" s="3" t="s">
        <v>165</v>
      </c>
      <c r="E161" s="3" t="s">
        <v>134</v>
      </c>
      <c r="F161" s="3"/>
      <c r="G161" s="1075"/>
      <c r="H161" s="1064">
        <f>'DCF - Financials'!H90</f>
        <v>-1282</v>
      </c>
      <c r="I161" s="1064">
        <f>'DCF - Financials'!I90</f>
        <v>-109</v>
      </c>
      <c r="J161" s="1064">
        <f>'DCF - Financials'!J90</f>
        <v>-2284</v>
      </c>
      <c r="K161" s="1064">
        <f>'DCF - Financials'!K90</f>
        <v>-1381</v>
      </c>
      <c r="L161" s="1047">
        <f>'DCF - Financials'!L90</f>
        <v>-6743.4160957369886</v>
      </c>
      <c r="M161" s="1047">
        <f>'DCF - Financials'!M90</f>
        <v>-2386.1834988282117</v>
      </c>
      <c r="N161" s="1047">
        <f>'DCF - Financials'!N90</f>
        <v>-5397.7922113234808</v>
      </c>
      <c r="O161" s="1047">
        <f>'DCF - Financials'!O90</f>
        <v>-4027.8380182742912</v>
      </c>
      <c r="P161" s="1047">
        <f>'DCF - Financials'!P90</f>
        <v>-5578.7341563069986</v>
      </c>
      <c r="Q161" s="1047">
        <f>'DCF - Financials'!Q90</f>
        <v>-5107.9379283570779</v>
      </c>
      <c r="R161" s="1047">
        <f>'DCF - Financials'!R90</f>
        <v>-6158.0242139750808</v>
      </c>
      <c r="S161" s="1047">
        <f>'DCF - Financials'!S90</f>
        <v>-6429.9555534631363</v>
      </c>
      <c r="U161" s="93">
        <f t="shared" si="96"/>
        <v>1</v>
      </c>
      <c r="V161" s="24">
        <v>1</v>
      </c>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row>
    <row r="162" spans="1:259" s="2" customFormat="1" ht="13.5" customHeight="1">
      <c r="A162" s="54"/>
      <c r="B162" s="54"/>
      <c r="C162" s="137" t="s">
        <v>468</v>
      </c>
      <c r="D162" s="3" t="s">
        <v>165</v>
      </c>
      <c r="E162" s="3" t="s">
        <v>403</v>
      </c>
      <c r="F162" s="3"/>
      <c r="G162" s="1067"/>
      <c r="H162" s="139">
        <f t="shared" ref="H162:K162" si="112">-H146</f>
        <v>-1646</v>
      </c>
      <c r="I162" s="139">
        <f t="shared" si="112"/>
        <v>-1646</v>
      </c>
      <c r="J162" s="139">
        <f t="shared" si="112"/>
        <v>-1718</v>
      </c>
      <c r="K162" s="139">
        <f t="shared" si="112"/>
        <v>-1761</v>
      </c>
      <c r="L162" s="1047">
        <f t="shared" ref="L162:S162" si="113">L118</f>
        <v>0</v>
      </c>
      <c r="M162" s="1047">
        <f t="shared" si="113"/>
        <v>0</v>
      </c>
      <c r="N162" s="1047">
        <f t="shared" si="113"/>
        <v>0</v>
      </c>
      <c r="O162" s="1047">
        <f t="shared" si="113"/>
        <v>0</v>
      </c>
      <c r="P162" s="1047">
        <f t="shared" si="113"/>
        <v>0</v>
      </c>
      <c r="Q162" s="1047">
        <f t="shared" si="113"/>
        <v>0</v>
      </c>
      <c r="R162" s="1047">
        <f t="shared" si="113"/>
        <v>0</v>
      </c>
      <c r="S162" s="1047">
        <f t="shared" si="113"/>
        <v>0</v>
      </c>
      <c r="U162" s="93">
        <f t="shared" si="96"/>
        <v>1</v>
      </c>
      <c r="V162" s="24">
        <v>1</v>
      </c>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row>
    <row r="163" spans="1:259" s="2" customFormat="1" ht="13.5" customHeight="1">
      <c r="A163" s="54"/>
      <c r="B163" s="54"/>
      <c r="C163" s="296" t="s">
        <v>469</v>
      </c>
      <c r="D163" s="96" t="s">
        <v>165</v>
      </c>
      <c r="E163" s="96" t="s">
        <v>134</v>
      </c>
      <c r="F163" s="1072"/>
      <c r="G163" s="1067"/>
      <c r="H163" s="1068">
        <f t="shared" ref="H163:J163" si="114">H164-SUM(H158:H162)</f>
        <v>51</v>
      </c>
      <c r="I163" s="1068">
        <f t="shared" si="114"/>
        <v>-89</v>
      </c>
      <c r="J163" s="1068">
        <f t="shared" si="114"/>
        <v>342</v>
      </c>
      <c r="K163" s="1068">
        <f>K164-SUM(K158:K162)</f>
        <v>86</v>
      </c>
      <c r="L163" s="1070">
        <v>0</v>
      </c>
      <c r="M163" s="1070">
        <v>0</v>
      </c>
      <c r="N163" s="1070">
        <v>0</v>
      </c>
      <c r="O163" s="1070">
        <v>0</v>
      </c>
      <c r="P163" s="1070">
        <v>0</v>
      </c>
      <c r="Q163" s="1070">
        <v>0</v>
      </c>
      <c r="R163" s="1070">
        <v>0</v>
      </c>
      <c r="S163" s="1070">
        <v>0</v>
      </c>
      <c r="U163" s="93">
        <f t="shared" si="96"/>
        <v>1</v>
      </c>
      <c r="V163" s="24">
        <v>1</v>
      </c>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row>
    <row r="164" spans="1:259" s="2" customFormat="1" ht="13.5" customHeight="1">
      <c r="A164" s="54"/>
      <c r="B164" s="54"/>
      <c r="C164" s="137" t="s">
        <v>470</v>
      </c>
      <c r="D164" s="3" t="s">
        <v>165</v>
      </c>
      <c r="E164" s="3" t="s">
        <v>134</v>
      </c>
      <c r="F164" s="3"/>
      <c r="G164" s="1065">
        <f>'DCF - Financials'!G165</f>
        <v>3886</v>
      </c>
      <c r="H164" s="136">
        <f>'DCF - Financials'!H165</f>
        <v>2407</v>
      </c>
      <c r="I164" s="136">
        <f>'DCF - Financials'!I165</f>
        <v>3184</v>
      </c>
      <c r="J164" s="136">
        <f>'DCF - Financials'!J165</f>
        <v>3550</v>
      </c>
      <c r="K164" s="136">
        <f>'DCF - Financials'!K165</f>
        <v>3898</v>
      </c>
      <c r="L164" s="1071">
        <f t="shared" ref="L164:S164" si="115">SUM(L158:L163)</f>
        <v>447.36171920193465</v>
      </c>
      <c r="M164" s="1071">
        <f t="shared" si="115"/>
        <v>1607.4891310115208</v>
      </c>
      <c r="N164" s="1071">
        <f t="shared" si="115"/>
        <v>57.828706574221542</v>
      </c>
      <c r="O164" s="1071">
        <f t="shared" si="115"/>
        <v>61.804743151059483</v>
      </c>
      <c r="P164" s="1071">
        <f t="shared" si="115"/>
        <v>-1136.9036482632791</v>
      </c>
      <c r="Q164" s="1071">
        <f t="shared" si="115"/>
        <v>-1573.5398514013023</v>
      </c>
      <c r="R164" s="1071">
        <f t="shared" si="115"/>
        <v>-2730.8581377761711</v>
      </c>
      <c r="S164" s="1071">
        <f t="shared" si="115"/>
        <v>-3842.6167843478997</v>
      </c>
      <c r="U164" s="93">
        <f t="shared" si="96"/>
        <v>1</v>
      </c>
      <c r="V164" s="24">
        <v>1</v>
      </c>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row>
    <row r="165" spans="1:259">
      <c r="C165" s="137" t="s">
        <v>471</v>
      </c>
      <c r="D165" s="3" t="s">
        <v>165</v>
      </c>
      <c r="E165" s="3" t="s">
        <v>134</v>
      </c>
      <c r="G165" s="1064"/>
      <c r="H165" s="1064">
        <f>G168</f>
        <v>2372</v>
      </c>
      <c r="I165" s="1064">
        <f t="shared" ref="I165:S165" si="116">H168</f>
        <v>2272</v>
      </c>
      <c r="J165" s="1064">
        <f t="shared" si="116"/>
        <v>1621</v>
      </c>
      <c r="K165" s="1064">
        <f t="shared" si="116"/>
        <v>2174</v>
      </c>
      <c r="L165" s="1064">
        <f t="shared" si="116"/>
        <v>1861</v>
      </c>
      <c r="M165" s="1064">
        <f t="shared" si="116"/>
        <v>1861</v>
      </c>
      <c r="N165" s="1064">
        <f t="shared" si="116"/>
        <v>1861</v>
      </c>
      <c r="O165" s="1064">
        <f t="shared" si="116"/>
        <v>1861</v>
      </c>
      <c r="P165" s="1064">
        <f t="shared" si="116"/>
        <v>1861</v>
      </c>
      <c r="Q165" s="1064">
        <f t="shared" si="116"/>
        <v>1861</v>
      </c>
      <c r="R165" s="1064">
        <f t="shared" si="116"/>
        <v>1861</v>
      </c>
      <c r="S165" s="1064">
        <f t="shared" si="116"/>
        <v>1861</v>
      </c>
      <c r="U165" s="93">
        <f t="shared" si="96"/>
        <v>1</v>
      </c>
      <c r="V165" s="24">
        <v>1</v>
      </c>
    </row>
    <row r="166" spans="1:259">
      <c r="C166" s="142" t="s">
        <v>472</v>
      </c>
      <c r="D166" s="32" t="s">
        <v>165</v>
      </c>
      <c r="E166" s="32" t="s">
        <v>134</v>
      </c>
      <c r="F166" s="32"/>
      <c r="G166" s="1065"/>
      <c r="H166" s="1076">
        <v>-116</v>
      </c>
      <c r="I166" s="1076">
        <v>-652</v>
      </c>
      <c r="J166" s="1076">
        <v>535</v>
      </c>
      <c r="K166" s="1076">
        <v>-324</v>
      </c>
      <c r="L166" s="1069">
        <v>0</v>
      </c>
      <c r="M166" s="1069">
        <v>0</v>
      </c>
      <c r="N166" s="1069">
        <v>0</v>
      </c>
      <c r="O166" s="1069">
        <v>0</v>
      </c>
      <c r="P166" s="1069">
        <v>0</v>
      </c>
      <c r="Q166" s="1069">
        <v>0</v>
      </c>
      <c r="R166" s="1069">
        <v>0</v>
      </c>
      <c r="S166" s="1069">
        <v>0</v>
      </c>
      <c r="U166" s="93">
        <f t="shared" si="96"/>
        <v>1</v>
      </c>
      <c r="V166" s="24">
        <v>1</v>
      </c>
    </row>
    <row r="167" spans="1:259" s="2" customFormat="1" ht="13.5" customHeight="1">
      <c r="A167" s="54"/>
      <c r="B167" s="54"/>
      <c r="C167" s="296" t="s">
        <v>473</v>
      </c>
      <c r="D167" s="96" t="s">
        <v>165</v>
      </c>
      <c r="E167" s="96" t="s">
        <v>134</v>
      </c>
      <c r="F167" s="1072"/>
      <c r="G167" s="1129"/>
      <c r="H167" s="1068">
        <f>H168-SUM(H165:H166)</f>
        <v>16</v>
      </c>
      <c r="I167" s="1068">
        <f t="shared" ref="I167:K167" si="117">I168-SUM(I165:I166)</f>
        <v>1</v>
      </c>
      <c r="J167" s="1068">
        <f t="shared" si="117"/>
        <v>18</v>
      </c>
      <c r="K167" s="1068">
        <f t="shared" si="117"/>
        <v>11</v>
      </c>
      <c r="L167" s="1070">
        <v>0</v>
      </c>
      <c r="M167" s="1070">
        <v>0</v>
      </c>
      <c r="N167" s="1070">
        <v>0</v>
      </c>
      <c r="O167" s="1070">
        <v>0</v>
      </c>
      <c r="P167" s="1070">
        <v>0</v>
      </c>
      <c r="Q167" s="1070">
        <v>0</v>
      </c>
      <c r="R167" s="1070">
        <v>0</v>
      </c>
      <c r="S167" s="1070">
        <v>0</v>
      </c>
      <c r="U167" s="93">
        <f t="shared" si="96"/>
        <v>1</v>
      </c>
      <c r="V167" s="24">
        <v>1</v>
      </c>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row>
    <row r="168" spans="1:259">
      <c r="C168" s="137" t="s">
        <v>474</v>
      </c>
      <c r="D168" s="3" t="s">
        <v>165</v>
      </c>
      <c r="E168" s="3" t="s">
        <v>134</v>
      </c>
      <c r="G168" s="1064">
        <f>'DCF - Financials'!G164</f>
        <v>2372</v>
      </c>
      <c r="H168" s="1064">
        <f>'DCF - Financials'!H164</f>
        <v>2272</v>
      </c>
      <c r="I168" s="1064">
        <f>'DCF - Financials'!I164</f>
        <v>1621</v>
      </c>
      <c r="J168" s="1064">
        <f>'DCF - Financials'!J164</f>
        <v>2174</v>
      </c>
      <c r="K168" s="1064">
        <f>'DCF - Financials'!K164</f>
        <v>1861</v>
      </c>
      <c r="L168" s="1069">
        <f>SUM(L165:L167)</f>
        <v>1861</v>
      </c>
      <c r="M168" s="1069">
        <f t="shared" ref="M168:S168" si="118">SUM(M165:M167)</f>
        <v>1861</v>
      </c>
      <c r="N168" s="1069">
        <f t="shared" si="118"/>
        <v>1861</v>
      </c>
      <c r="O168" s="1069">
        <f t="shared" si="118"/>
        <v>1861</v>
      </c>
      <c r="P168" s="1069">
        <f t="shared" si="118"/>
        <v>1861</v>
      </c>
      <c r="Q168" s="1069">
        <f t="shared" si="118"/>
        <v>1861</v>
      </c>
      <c r="R168" s="1069">
        <f t="shared" si="118"/>
        <v>1861</v>
      </c>
      <c r="S168" s="1069">
        <f t="shared" si="118"/>
        <v>1861</v>
      </c>
      <c r="U168" s="93">
        <f t="shared" si="96"/>
        <v>1</v>
      </c>
      <c r="V168" s="24">
        <v>1</v>
      </c>
    </row>
    <row r="169" spans="1:259">
      <c r="U169" s="93">
        <f t="shared" si="96"/>
        <v>0</v>
      </c>
      <c r="V169" s="24">
        <v>0</v>
      </c>
    </row>
    <row r="170" spans="1:259">
      <c r="C170" s="137" t="s">
        <v>475</v>
      </c>
      <c r="D170" s="3" t="s">
        <v>165</v>
      </c>
      <c r="E170" s="3" t="s">
        <v>134</v>
      </c>
      <c r="G170" s="1064"/>
      <c r="H170" s="1064">
        <f>G175</f>
        <v>1795</v>
      </c>
      <c r="I170" s="1064">
        <f t="shared" ref="I170:S170" si="119">H175</f>
        <v>1668</v>
      </c>
      <c r="J170" s="1064">
        <f t="shared" si="119"/>
        <v>1534</v>
      </c>
      <c r="K170" s="1064">
        <f t="shared" si="119"/>
        <v>1716</v>
      </c>
      <c r="L170" s="1064">
        <f t="shared" si="119"/>
        <v>1470</v>
      </c>
      <c r="M170" s="1064">
        <f t="shared" si="119"/>
        <v>1401.2187707761236</v>
      </c>
      <c r="N170" s="1064">
        <f t="shared" si="119"/>
        <v>1334.6102943809467</v>
      </c>
      <c r="O170" s="1064">
        <f t="shared" si="119"/>
        <v>1270.5883921796499</v>
      </c>
      <c r="P170" s="1064">
        <f t="shared" si="119"/>
        <v>1208.1406283219198</v>
      </c>
      <c r="Q170" s="1064">
        <f t="shared" si="119"/>
        <v>1148.677003382596</v>
      </c>
      <c r="R170" s="1064">
        <f t="shared" si="119"/>
        <v>1091.7095837808311</v>
      </c>
      <c r="S170" s="1064">
        <f t="shared" si="119"/>
        <v>1037.5651246708169</v>
      </c>
      <c r="U170" s="93">
        <f t="shared" si="96"/>
        <v>1</v>
      </c>
      <c r="V170" s="24">
        <v>1</v>
      </c>
    </row>
    <row r="171" spans="1:259">
      <c r="C171" s="142" t="s">
        <v>476</v>
      </c>
      <c r="D171" s="32"/>
      <c r="E171" s="32"/>
      <c r="F171" s="32"/>
      <c r="G171" s="1066"/>
      <c r="H171" s="1066">
        <f>'DCF - Financials'!H38</f>
        <v>45</v>
      </c>
      <c r="I171" s="1066">
        <f>'DCF - Financials'!I38</f>
        <v>139</v>
      </c>
      <c r="J171" s="1066">
        <f>'DCF - Financials'!J38</f>
        <v>89</v>
      </c>
      <c r="K171" s="1066">
        <f>'DCF - Financials'!K38</f>
        <v>32</v>
      </c>
      <c r="L171" s="1069">
        <f>'DCF - Financials'!L38</f>
        <v>28.218770776123598</v>
      </c>
      <c r="M171" s="1069">
        <f>'DCF - Financials'!M38</f>
        <v>30.391523604823121</v>
      </c>
      <c r="N171" s="1069">
        <f>'DCF - Financials'!N38</f>
        <v>32.978097798703217</v>
      </c>
      <c r="O171" s="1069">
        <f>'DCF - Financials'!O38</f>
        <v>34.552236142269983</v>
      </c>
      <c r="P171" s="1069">
        <f>'DCF - Financials'!P38</f>
        <v>37.536375060676249</v>
      </c>
      <c r="Q171" s="1069">
        <f>'DCF - Financials'!Q38</f>
        <v>40.032580398235069</v>
      </c>
      <c r="R171" s="1069">
        <f>'DCF - Financials'!R38</f>
        <v>42.85554088998574</v>
      </c>
      <c r="S171" s="1069">
        <f>'DCF - Financials'!S38</f>
        <v>45.576406272234877</v>
      </c>
      <c r="U171" s="93">
        <f t="shared" si="96"/>
        <v>1</v>
      </c>
      <c r="V171" s="24">
        <v>1</v>
      </c>
    </row>
    <row r="172" spans="1:259">
      <c r="C172" s="137" t="s">
        <v>477</v>
      </c>
      <c r="D172" s="3" t="s">
        <v>165</v>
      </c>
      <c r="E172" s="3" t="s">
        <v>134</v>
      </c>
      <c r="G172" s="1075"/>
      <c r="H172" s="1064">
        <f>'DCF - Financials'!H43-'DCF - Capital Structure'!H166-'DCF - Capital Structure'!H160</f>
        <v>-37</v>
      </c>
      <c r="I172" s="1064">
        <f>'DCF - Financials'!I43-'DCF - Capital Structure'!I166-'DCF - Capital Structure'!I160</f>
        <v>-174</v>
      </c>
      <c r="J172" s="1064">
        <f>'DCF - Financials'!J43-'DCF - Capital Structure'!J166-'DCF - Capital Structure'!J160</f>
        <v>170</v>
      </c>
      <c r="K172" s="1064">
        <f>'DCF - Financials'!K43-'DCF - Capital Structure'!K166-'DCF - Capital Structure'!K160</f>
        <v>-148</v>
      </c>
      <c r="L172" s="1047">
        <v>0</v>
      </c>
      <c r="M172" s="1047">
        <v>0</v>
      </c>
      <c r="N172" s="1047">
        <v>0</v>
      </c>
      <c r="O172" s="1047">
        <v>0</v>
      </c>
      <c r="P172" s="1047">
        <v>0</v>
      </c>
      <c r="Q172" s="1047">
        <v>0</v>
      </c>
      <c r="R172" s="1047">
        <v>0</v>
      </c>
      <c r="S172" s="1047">
        <v>0</v>
      </c>
      <c r="U172" s="93">
        <f t="shared" si="96"/>
        <v>1</v>
      </c>
      <c r="V172" s="24">
        <v>1</v>
      </c>
    </row>
    <row r="173" spans="1:259">
      <c r="C173" s="137" t="s">
        <v>478</v>
      </c>
      <c r="D173" s="3" t="s">
        <v>165</v>
      </c>
      <c r="E173" s="3" t="s">
        <v>134</v>
      </c>
      <c r="G173" s="1075"/>
      <c r="H173" s="1064">
        <f t="shared" ref="H173:J173" si="120">H175-H174-SUM(H170:H172)</f>
        <v>-24</v>
      </c>
      <c r="I173" s="1064">
        <f t="shared" si="120"/>
        <v>-22</v>
      </c>
      <c r="J173" s="1064">
        <f t="shared" si="120"/>
        <v>4</v>
      </c>
      <c r="K173" s="1064">
        <f>K175-K174-SUM(K170:K172)</f>
        <v>-33</v>
      </c>
      <c r="L173" s="1047">
        <v>0</v>
      </c>
      <c r="M173" s="1047">
        <v>0</v>
      </c>
      <c r="N173" s="1047">
        <v>0</v>
      </c>
      <c r="O173" s="1047">
        <v>0</v>
      </c>
      <c r="P173" s="1047">
        <v>0</v>
      </c>
      <c r="Q173" s="1047">
        <v>0</v>
      </c>
      <c r="R173" s="1047">
        <v>0</v>
      </c>
      <c r="S173" s="1047">
        <v>0</v>
      </c>
      <c r="U173" s="93">
        <f t="shared" si="96"/>
        <v>1</v>
      </c>
      <c r="V173" s="24">
        <v>1</v>
      </c>
    </row>
    <row r="174" spans="1:259" s="2" customFormat="1" ht="13.5" customHeight="1">
      <c r="A174" s="54"/>
      <c r="B174" s="54"/>
      <c r="C174" s="296" t="s">
        <v>293</v>
      </c>
      <c r="D174" s="96" t="s">
        <v>165</v>
      </c>
      <c r="E174" s="96" t="s">
        <v>134</v>
      </c>
      <c r="F174" s="1072"/>
      <c r="G174" s="1129"/>
      <c r="H174" s="1068">
        <f>'DCF - Financials'!H94</f>
        <v>-111</v>
      </c>
      <c r="I174" s="1068">
        <f>'DCF - Financials'!I94</f>
        <v>-77</v>
      </c>
      <c r="J174" s="1068">
        <f>'DCF - Financials'!J94</f>
        <v>-81</v>
      </c>
      <c r="K174" s="1068">
        <f>'DCF - Financials'!K94</f>
        <v>-97</v>
      </c>
      <c r="L174" s="1070">
        <f>'DCF - Financials'!L94</f>
        <v>-97</v>
      </c>
      <c r="M174" s="1070">
        <f>'DCF - Financials'!M94</f>
        <v>-97</v>
      </c>
      <c r="N174" s="1070">
        <f>'DCF - Financials'!N94</f>
        <v>-97</v>
      </c>
      <c r="O174" s="1070">
        <f>'DCF - Financials'!O94</f>
        <v>-97</v>
      </c>
      <c r="P174" s="1070">
        <f>'DCF - Financials'!P94</f>
        <v>-97</v>
      </c>
      <c r="Q174" s="1070">
        <f>'DCF - Financials'!Q94</f>
        <v>-97</v>
      </c>
      <c r="R174" s="1070">
        <f>'DCF - Financials'!R94</f>
        <v>-97</v>
      </c>
      <c r="S174" s="1070">
        <f>'DCF - Financials'!S94</f>
        <v>-97</v>
      </c>
      <c r="U174" s="93">
        <f t="shared" si="96"/>
        <v>1</v>
      </c>
      <c r="V174" s="24">
        <v>1</v>
      </c>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row>
    <row r="175" spans="1:259">
      <c r="C175" s="320" t="s">
        <v>479</v>
      </c>
      <c r="D175" s="23" t="s">
        <v>165</v>
      </c>
      <c r="E175" s="23" t="s">
        <v>134</v>
      </c>
      <c r="F175" s="23"/>
      <c r="G175" s="1296">
        <f>'DCF - Financials'!G167</f>
        <v>1795</v>
      </c>
      <c r="H175" s="1296">
        <f>'DCF - Financials'!H167</f>
        <v>1668</v>
      </c>
      <c r="I175" s="1296">
        <f>'DCF - Financials'!I167</f>
        <v>1534</v>
      </c>
      <c r="J175" s="1296">
        <f>'DCF - Financials'!J167</f>
        <v>1716</v>
      </c>
      <c r="K175" s="1296">
        <f>'DCF - Financials'!K167</f>
        <v>1470</v>
      </c>
      <c r="L175" s="1297">
        <f>SUM(L170:L174)</f>
        <v>1401.2187707761236</v>
      </c>
      <c r="M175" s="1297">
        <f t="shared" ref="M175" si="121">SUM(M170:M174)</f>
        <v>1334.6102943809467</v>
      </c>
      <c r="N175" s="1297">
        <f t="shared" ref="N175" si="122">SUM(N170:N174)</f>
        <v>1270.5883921796499</v>
      </c>
      <c r="O175" s="1297">
        <f t="shared" ref="O175" si="123">SUM(O170:O174)</f>
        <v>1208.1406283219198</v>
      </c>
      <c r="P175" s="1297">
        <f t="shared" ref="P175" si="124">SUM(P170:P174)</f>
        <v>1148.677003382596</v>
      </c>
      <c r="Q175" s="1297">
        <f t="shared" ref="Q175" si="125">SUM(Q170:Q174)</f>
        <v>1091.7095837808311</v>
      </c>
      <c r="R175" s="1297">
        <f t="shared" ref="R175" si="126">SUM(R170:R174)</f>
        <v>1037.5651246708169</v>
      </c>
      <c r="S175" s="1297">
        <f t="shared" ref="S175" si="127">SUM(S170:S174)</f>
        <v>986.14153094305175</v>
      </c>
      <c r="U175" s="93">
        <f t="shared" si="96"/>
        <v>1</v>
      </c>
      <c r="V175" s="24">
        <v>1</v>
      </c>
    </row>
    <row r="176" spans="1:259"/>
    <row r="183" spans="3:3" ht="15" hidden="1">
      <c r="C183" s="1031"/>
    </row>
    <row r="184" spans="3:3" ht="15" hidden="1">
      <c r="C184" s="1031"/>
    </row>
    <row r="185" spans="3:3" ht="15" hidden="1">
      <c r="C185"/>
    </row>
    <row r="186" spans="3:3" ht="15" hidden="1">
      <c r="C186" s="1031"/>
    </row>
    <row r="189" spans="3:3" ht="15" hidden="1">
      <c r="C189" s="1031"/>
    </row>
    <row r="190" spans="3:3" ht="15" hidden="1">
      <c r="C190" s="1031"/>
    </row>
    <row r="191" spans="3:3" ht="15" hidden="1">
      <c r="C191"/>
    </row>
    <row r="192" spans="3:3" ht="15" hidden="1">
      <c r="C192" s="1031"/>
    </row>
  </sheetData>
  <conditionalFormatting sqref="L6">
    <cfRule type="cellIs" dxfId="64" priority="4" stopIfTrue="1" operator="equal">
      <formula>#REF!</formula>
    </cfRule>
  </conditionalFormatting>
  <conditionalFormatting sqref="U1:V1 T4">
    <cfRule type="cellIs" dxfId="63" priority="5" operator="equal">
      <formula>"Check"</formula>
    </cfRule>
  </conditionalFormatting>
  <pageMargins left="0.74803149606299213" right="0.74803149606299213" top="0.98425196850393704" bottom="0.98425196850393704" header="0.51181102362204722" footer="0.51181102362204722"/>
  <pageSetup orientation="portrait" horizontalDpi="0" verticalDpi="0" r:id="rId1"/>
  <headerFooter alignWithMargins="0">
    <oddFooter>&amp;LIB-Competition Preliminary Case&amp;RPage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tabColor rgb="FF86654A"/>
  </sheetPr>
  <dimension ref="A1:CV48"/>
  <sheetViews>
    <sheetView showGridLines="0" topLeftCell="A8" zoomScale="162" zoomScaleNormal="100" zoomScaleSheetLayoutView="100" workbookViewId="0">
      <selection activeCell="S20" sqref="S20"/>
    </sheetView>
  </sheetViews>
  <sheetFormatPr baseColWidth="10" defaultColWidth="0" defaultRowHeight="13" zeroHeight="1"/>
  <cols>
    <col min="1" max="1" width="2.5" style="2" customWidth="1"/>
    <col min="2" max="2" width="0.5" style="2" customWidth="1"/>
    <col min="3" max="3" width="35.5" style="2" customWidth="1"/>
    <col min="4" max="4" width="12.5" style="2" customWidth="1"/>
    <col min="5" max="6" width="1.5" style="2" customWidth="1"/>
    <col min="7" max="19" width="6.5" style="2" customWidth="1"/>
    <col min="20" max="20" width="3.1640625" style="2" customWidth="1"/>
    <col min="21" max="21" width="4.5" style="2" customWidth="1"/>
    <col min="22" max="22" width="3.5" style="2" customWidth="1"/>
    <col min="23" max="23" width="2.5" style="2" customWidth="1"/>
    <col min="24" max="24" width="0" style="2" hidden="1" customWidth="1"/>
    <col min="25" max="16384" width="9.5" style="2" hidden="1"/>
  </cols>
  <sheetData>
    <row r="1" spans="1:100" s="26" customFormat="1">
      <c r="A1" s="36"/>
      <c r="B1" s="36" t="str">
        <f>'DCF - Assumptions'!$F$8&amp;" | Discounted Cash Flows - Valuation"</f>
        <v>Diageo PLC | Discounted Cash Flows - Valuation</v>
      </c>
      <c r="C1" s="35"/>
      <c r="U1" s="34" t="str">
        <f>IF(U5=V5,"OK","Check")</f>
        <v>OK</v>
      </c>
      <c r="V1" s="34" t="str">
        <f>IF(U6=V6,"OK","Check")</f>
        <v>OK</v>
      </c>
    </row>
    <row r="2" spans="1:100" s="32" customFormat="1" ht="2.25" customHeight="1">
      <c r="A2" s="33"/>
      <c r="B2" s="33"/>
      <c r="T2" s="31"/>
      <c r="U2" s="30"/>
      <c r="V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row>
    <row r="3" spans="1:100" s="28" customFormat="1" ht="3" customHeight="1">
      <c r="A3" s="29"/>
      <c r="B3" s="29"/>
      <c r="T3" s="27"/>
      <c r="U3" s="26"/>
      <c r="V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row>
    <row r="4" spans="1:100" s="3" customFormat="1" ht="16" collapsed="1">
      <c r="A4" s="195"/>
      <c r="B4" s="195"/>
      <c r="P4" s="2"/>
      <c r="Q4" s="2"/>
      <c r="R4" s="2"/>
      <c r="S4" s="2"/>
      <c r="T4" s="135"/>
    </row>
    <row r="5" spans="1:100">
      <c r="C5" s="926" t="s">
        <v>480</v>
      </c>
      <c r="D5" s="927"/>
      <c r="E5" s="927"/>
      <c r="F5" s="927"/>
      <c r="G5" s="927"/>
      <c r="H5" s="927"/>
      <c r="I5" s="927"/>
      <c r="J5" s="927"/>
      <c r="K5" s="927"/>
      <c r="L5" s="927"/>
      <c r="M5" s="927"/>
      <c r="N5" s="927"/>
      <c r="O5" s="927"/>
      <c r="P5" s="927"/>
      <c r="Q5" s="927"/>
      <c r="R5" s="927"/>
      <c r="S5" s="927"/>
      <c r="T5" s="19"/>
      <c r="U5" s="42">
        <f>ROWS(C5:C46)</f>
        <v>42</v>
      </c>
      <c r="V5" s="24">
        <v>42</v>
      </c>
    </row>
    <row r="6" spans="1:100" ht="13.5" customHeight="1">
      <c r="C6" s="179"/>
      <c r="D6" s="179"/>
      <c r="E6" s="7"/>
      <c r="F6" s="7"/>
      <c r="G6" s="7"/>
      <c r="H6"/>
      <c r="I6"/>
      <c r="J6"/>
      <c r="K6"/>
      <c r="L6"/>
      <c r="M6"/>
      <c r="N6"/>
      <c r="O6"/>
      <c r="P6"/>
      <c r="Q6"/>
      <c r="R6"/>
      <c r="S6"/>
      <c r="T6" s="3"/>
      <c r="U6" s="42">
        <f>SUM(U7:U46)</f>
        <v>34</v>
      </c>
      <c r="V6" s="24">
        <v>34</v>
      </c>
    </row>
    <row r="7" spans="1:100" ht="13.5" customHeight="1">
      <c r="A7" s="3"/>
      <c r="B7" s="3"/>
      <c r="C7" s="423" t="s">
        <v>481</v>
      </c>
      <c r="D7" s="423"/>
      <c r="E7" s="7"/>
      <c r="F7" s="184"/>
      <c r="G7"/>
      <c r="H7"/>
      <c r="I7"/>
      <c r="J7"/>
      <c r="K7"/>
      <c r="L7"/>
      <c r="M7" s="423" t="s">
        <v>482</v>
      </c>
      <c r="N7" s="424"/>
      <c r="O7" s="424"/>
      <c r="P7" s="424"/>
      <c r="Q7" s="424"/>
      <c r="R7" s="424"/>
      <c r="S7" s="425"/>
      <c r="U7" s="42">
        <f t="shared" ref="U7:U46" si="0">IF(NOT(ISBLANK(C7)), 1, 0)</f>
        <v>1</v>
      </c>
      <c r="V7" s="4">
        <v>1</v>
      </c>
    </row>
    <row r="8" spans="1:100" ht="13.5" customHeight="1">
      <c r="A8" s="3"/>
      <c r="B8" s="3"/>
      <c r="C8" s="7" t="s">
        <v>99</v>
      </c>
      <c r="D8" s="194">
        <v>4.0500000000000001E-2</v>
      </c>
      <c r="E8" s="7"/>
      <c r="F8" s="184"/>
      <c r="G8" s="94" t="s">
        <v>1021</v>
      </c>
      <c r="H8"/>
      <c r="I8"/>
      <c r="J8"/>
      <c r="K8"/>
      <c r="L8"/>
      <c r="M8" s="11" t="s">
        <v>483</v>
      </c>
      <c r="N8" s="3"/>
      <c r="O8" s="3"/>
      <c r="P8" s="3"/>
      <c r="Q8" s="58" t="s">
        <v>484</v>
      </c>
      <c r="R8" s="533">
        <v>1</v>
      </c>
      <c r="S8" s="193">
        <v>13.669403978055193</v>
      </c>
      <c r="U8" s="42">
        <f t="shared" si="0"/>
        <v>1</v>
      </c>
      <c r="V8" s="4">
        <v>1</v>
      </c>
    </row>
    <row r="9" spans="1:100" ht="13.5" customHeight="1">
      <c r="C9" s="186" t="s">
        <v>101</v>
      </c>
      <c r="D9" s="188">
        <v>0.11395</v>
      </c>
      <c r="E9" s="7"/>
      <c r="F9" s="1337" t="s">
        <v>1022</v>
      </c>
      <c r="G9" s="94" t="s">
        <v>1032</v>
      </c>
      <c r="H9"/>
      <c r="I9"/>
      <c r="J9"/>
      <c r="K9"/>
      <c r="L9"/>
      <c r="M9" s="11" t="s">
        <v>485</v>
      </c>
      <c r="N9" s="3"/>
      <c r="O9" s="3"/>
      <c r="P9" s="3"/>
      <c r="Q9" s="3"/>
      <c r="R9" s="3"/>
      <c r="S9" s="696">
        <f>S34</f>
        <v>9508.6622532133097</v>
      </c>
      <c r="U9" s="42">
        <f t="shared" si="0"/>
        <v>1</v>
      </c>
      <c r="V9" s="4">
        <v>1</v>
      </c>
    </row>
    <row r="10" spans="1:100" ht="13.5" customHeight="1">
      <c r="A10" s="3"/>
      <c r="B10" s="3"/>
      <c r="C10" s="7" t="s">
        <v>103</v>
      </c>
      <c r="D10" s="703">
        <f>D9-D8</f>
        <v>7.3449999999999988E-2</v>
      </c>
      <c r="E10" s="7"/>
      <c r="F10" s="184"/>
      <c r="G10"/>
      <c r="H10"/>
      <c r="I10"/>
      <c r="J10"/>
      <c r="K10"/>
      <c r="L10"/>
      <c r="M10" s="11" t="s">
        <v>486</v>
      </c>
      <c r="R10" s="1131">
        <f>1-R8</f>
        <v>0</v>
      </c>
      <c r="S10" s="193">
        <v>4.0653865015194857</v>
      </c>
      <c r="U10" s="42">
        <f t="shared" si="0"/>
        <v>1</v>
      </c>
      <c r="V10" s="4">
        <v>1</v>
      </c>
    </row>
    <row r="11" spans="1:100" ht="13.5" customHeight="1">
      <c r="C11" s="979" t="s">
        <v>105</v>
      </c>
      <c r="D11" s="698">
        <v>0.61604769155598604</v>
      </c>
      <c r="E11" s="7"/>
      <c r="F11" s="184"/>
      <c r="G11" t="s">
        <v>1023</v>
      </c>
      <c r="H11"/>
      <c r="I11"/>
      <c r="J11"/>
      <c r="K11"/>
      <c r="L11"/>
      <c r="M11" s="11" t="s">
        <v>487</v>
      </c>
      <c r="S11" s="696">
        <f>S31</f>
        <v>26979.770596703373</v>
      </c>
      <c r="U11" s="42">
        <f t="shared" si="0"/>
        <v>1</v>
      </c>
      <c r="V11" s="4">
        <v>1</v>
      </c>
    </row>
    <row r="12" spans="1:100" ht="13.5" customHeight="1">
      <c r="A12" s="3"/>
      <c r="B12" s="3"/>
      <c r="C12" s="190" t="s">
        <v>488</v>
      </c>
      <c r="D12" s="704">
        <f>D8+D10*D11</f>
        <v>8.5748702944787175E-2</v>
      </c>
      <c r="E12" s="7"/>
      <c r="F12" s="184"/>
      <c r="G12"/>
      <c r="H12"/>
      <c r="I12"/>
      <c r="J12"/>
      <c r="K12"/>
      <c r="L12"/>
      <c r="M12" s="191" t="s">
        <v>489</v>
      </c>
      <c r="N12" s="3"/>
      <c r="O12" s="3"/>
      <c r="P12" s="3"/>
      <c r="Q12" s="3"/>
      <c r="R12" s="3"/>
      <c r="S12" s="696">
        <f>S9*S8</f>
        <v>129977.74563005727</v>
      </c>
      <c r="U12" s="42">
        <f t="shared" si="0"/>
        <v>1</v>
      </c>
      <c r="V12" s="4">
        <v>1</v>
      </c>
    </row>
    <row r="13" spans="1:100" ht="13.5" customHeight="1">
      <c r="A13" s="3"/>
      <c r="B13" s="3"/>
      <c r="C13" s="186" t="s">
        <v>109</v>
      </c>
      <c r="D13" s="192">
        <v>5.2062374245472803E-2</v>
      </c>
      <c r="E13" s="7"/>
      <c r="F13" s="184"/>
      <c r="G13" t="s">
        <v>1033</v>
      </c>
      <c r="H13"/>
      <c r="I13"/>
      <c r="J13"/>
      <c r="K13"/>
      <c r="L13"/>
      <c r="M13" s="11" t="s">
        <v>490</v>
      </c>
      <c r="N13" s="3"/>
      <c r="O13" s="3"/>
      <c r="P13" s="3"/>
      <c r="Q13" s="3"/>
      <c r="R13" s="3"/>
      <c r="S13" s="700">
        <f>S12*S45</f>
        <v>76313.105347692865</v>
      </c>
      <c r="U13" s="42">
        <f t="shared" si="0"/>
        <v>1</v>
      </c>
      <c r="V13" s="4">
        <v>1</v>
      </c>
    </row>
    <row r="14" spans="1:100" ht="13.5" customHeight="1">
      <c r="C14" s="980" t="s">
        <v>111</v>
      </c>
      <c r="D14" s="981">
        <v>0.20480000000000001</v>
      </c>
      <c r="E14" s="7"/>
      <c r="F14" s="184"/>
      <c r="G14"/>
      <c r="H14"/>
      <c r="I14"/>
      <c r="J14"/>
      <c r="K14"/>
      <c r="L14"/>
      <c r="M14" s="189" t="s">
        <v>491</v>
      </c>
      <c r="N14" s="3"/>
      <c r="O14" s="3"/>
      <c r="P14" s="3"/>
      <c r="Q14" s="3"/>
      <c r="R14" s="3"/>
      <c r="S14" s="701">
        <f>IFERROR(S13/S17,0)</f>
        <v>0.74272275959810263</v>
      </c>
      <c r="U14" s="42">
        <f t="shared" si="0"/>
        <v>1</v>
      </c>
      <c r="V14" s="4">
        <v>1</v>
      </c>
    </row>
    <row r="15" spans="1:100" ht="13.5" customHeight="1">
      <c r="A15" s="3"/>
      <c r="B15" s="3"/>
      <c r="C15" s="190" t="s">
        <v>492</v>
      </c>
      <c r="D15" s="705">
        <f>D13*(1-D14)</f>
        <v>4.1399999999999972E-2</v>
      </c>
      <c r="E15" s="7"/>
      <c r="F15" s="184"/>
      <c r="G15" s="1339"/>
      <c r="H15"/>
      <c r="I15"/>
      <c r="J15"/>
      <c r="K15"/>
      <c r="L15"/>
      <c r="M15" s="9" t="s">
        <v>493</v>
      </c>
      <c r="N15" s="3"/>
      <c r="O15" s="3"/>
      <c r="P15" s="3"/>
      <c r="Q15" s="3"/>
      <c r="R15" s="3"/>
      <c r="S15" s="644">
        <f>SUM(L46:S46)</f>
        <v>26434.662054758777</v>
      </c>
      <c r="U15" s="42">
        <f t="shared" si="0"/>
        <v>1</v>
      </c>
      <c r="V15" s="4">
        <v>1</v>
      </c>
    </row>
    <row r="16" spans="1:100" ht="13.5" customHeight="1">
      <c r="C16" s="186" t="s">
        <v>115</v>
      </c>
      <c r="D16" s="188">
        <v>0.27398533759851457</v>
      </c>
      <c r="E16" s="7"/>
      <c r="F16" s="3"/>
      <c r="G16" t="s">
        <v>1024</v>
      </c>
      <c r="H16"/>
      <c r="I16"/>
      <c r="J16"/>
      <c r="K16"/>
      <c r="L16"/>
      <c r="M16" s="982" t="s">
        <v>494</v>
      </c>
      <c r="N16" s="96"/>
      <c r="O16" s="96"/>
      <c r="P16" s="96"/>
      <c r="Q16" s="96"/>
      <c r="R16" s="96"/>
      <c r="S16" s="983">
        <f>IFERROR(S15/S17,0)</f>
        <v>0.25727724040189731</v>
      </c>
      <c r="U16" s="42">
        <f t="shared" si="0"/>
        <v>1</v>
      </c>
      <c r="V16" s="4">
        <v>1</v>
      </c>
    </row>
    <row r="17" spans="1:22" ht="13.5" customHeight="1">
      <c r="A17" s="3"/>
      <c r="B17" s="3"/>
      <c r="C17" s="187" t="s">
        <v>117</v>
      </c>
      <c r="D17" s="705">
        <f>D15*D16+D12*(1-D16)</f>
        <v>7.3597808596403413E-2</v>
      </c>
      <c r="E17" s="7"/>
      <c r="F17" s="184"/>
      <c r="G17"/>
      <c r="H17"/>
      <c r="I17"/>
      <c r="J17"/>
      <c r="K17"/>
      <c r="L17"/>
      <c r="M17" s="185" t="s">
        <v>106</v>
      </c>
      <c r="N17" s="3"/>
      <c r="O17" s="3"/>
      <c r="P17" s="3"/>
      <c r="Q17" s="3"/>
      <c r="R17" s="3"/>
      <c r="S17" s="702">
        <f>S13+S15</f>
        <v>102747.76740245165</v>
      </c>
      <c r="U17" s="42">
        <f t="shared" si="0"/>
        <v>1</v>
      </c>
      <c r="V17" s="4">
        <v>1</v>
      </c>
    </row>
    <row r="18" spans="1:22" ht="13.5" customHeight="1">
      <c r="A18" s="3"/>
      <c r="B18" s="3"/>
      <c r="C18" s="184"/>
      <c r="D18" s="184"/>
      <c r="E18" s="7"/>
      <c r="F18" s="184"/>
      <c r="G18"/>
      <c r="H18"/>
      <c r="I18"/>
      <c r="J18"/>
      <c r="K18"/>
      <c r="L18"/>
      <c r="M18" s="8" t="s">
        <v>495</v>
      </c>
      <c r="N18" s="3"/>
      <c r="O18" s="3"/>
      <c r="P18" s="3"/>
      <c r="Q18" s="3"/>
      <c r="R18" s="3"/>
      <c r="S18" s="183">
        <v>17330</v>
      </c>
      <c r="U18" s="42">
        <f t="shared" si="0"/>
        <v>0</v>
      </c>
      <c r="V18" s="4">
        <v>0</v>
      </c>
    </row>
    <row r="19" spans="1:22" ht="13.5" customHeight="1">
      <c r="C19" s="7"/>
      <c r="E19" s="7"/>
      <c r="F19" s="7"/>
      <c r="G19"/>
      <c r="H19"/>
      <c r="I19"/>
      <c r="J19"/>
      <c r="K19"/>
      <c r="L19"/>
      <c r="M19" s="984" t="s">
        <v>496</v>
      </c>
      <c r="N19" s="96"/>
      <c r="O19" s="96"/>
      <c r="P19" s="96"/>
      <c r="Q19" s="96"/>
      <c r="R19" s="96"/>
      <c r="S19" s="95">
        <v>1640</v>
      </c>
      <c r="U19" s="42">
        <f t="shared" si="0"/>
        <v>0</v>
      </c>
      <c r="V19" s="4">
        <v>0</v>
      </c>
    </row>
    <row r="20" spans="1:22" ht="13.5" customHeight="1">
      <c r="C20" s="3" t="s">
        <v>497</v>
      </c>
      <c r="D20" s="12">
        <f>'DCF - Assumptions'!F9</f>
        <v>45291</v>
      </c>
      <c r="E20" s="7"/>
      <c r="F20" s="7"/>
      <c r="G20"/>
      <c r="H20"/>
      <c r="I20"/>
      <c r="J20"/>
      <c r="K20"/>
      <c r="L20"/>
      <c r="M20" s="182" t="s">
        <v>416</v>
      </c>
      <c r="N20" s="3"/>
      <c r="O20" s="3"/>
      <c r="P20" s="3"/>
      <c r="Q20" s="3"/>
      <c r="R20" s="3"/>
      <c r="S20" s="1184">
        <f>S18-S19</f>
        <v>15690</v>
      </c>
      <c r="U20" s="42">
        <f t="shared" si="0"/>
        <v>1</v>
      </c>
      <c r="V20" s="4">
        <v>1</v>
      </c>
    </row>
    <row r="21" spans="1:22" ht="13.5" customHeight="1">
      <c r="C21" s="3" t="s">
        <v>498</v>
      </c>
      <c r="D21" s="12">
        <f>'DCF - Assumptions'!F18</f>
        <v>45473</v>
      </c>
      <c r="E21" s="7"/>
      <c r="F21" s="7"/>
      <c r="G21"/>
      <c r="H21"/>
      <c r="I21"/>
      <c r="J21"/>
      <c r="K21"/>
      <c r="L21"/>
      <c r="M21" s="182" t="s">
        <v>110</v>
      </c>
      <c r="N21" s="3"/>
      <c r="O21" s="3"/>
      <c r="P21" s="3"/>
      <c r="Q21" s="3"/>
      <c r="R21" s="3"/>
      <c r="S21" s="699">
        <v>241</v>
      </c>
      <c r="U21" s="42">
        <f t="shared" si="0"/>
        <v>1</v>
      </c>
      <c r="V21" s="4">
        <v>1</v>
      </c>
    </row>
    <row r="22" spans="1:22" ht="13.5" customHeight="1">
      <c r="C22" s="3"/>
      <c r="D22" s="12"/>
      <c r="E22" s="7"/>
      <c r="F22" s="7"/>
      <c r="G22"/>
      <c r="H22"/>
      <c r="I22"/>
      <c r="J22"/>
      <c r="K22"/>
      <c r="L22"/>
      <c r="M22" s="182" t="s">
        <v>112</v>
      </c>
      <c r="N22" s="3"/>
      <c r="O22" s="3"/>
      <c r="P22" s="3"/>
      <c r="Q22" s="3"/>
      <c r="R22" s="3"/>
      <c r="S22" s="699">
        <v>1470</v>
      </c>
      <c r="U22" s="42">
        <f t="shared" si="0"/>
        <v>0</v>
      </c>
      <c r="V22" s="4">
        <v>0</v>
      </c>
    </row>
    <row r="23" spans="1:22" ht="13.5" customHeight="1">
      <c r="C23" s="628" t="s">
        <v>499</v>
      </c>
      <c r="D23" s="1190"/>
      <c r="E23" s="1191"/>
      <c r="F23" s="1191"/>
      <c r="G23" s="1192"/>
      <c r="H23" s="1193"/>
      <c r="I23"/>
      <c r="J23"/>
      <c r="K23"/>
      <c r="L23"/>
      <c r="M23" s="182" t="s">
        <v>500</v>
      </c>
      <c r="N23" s="3"/>
      <c r="O23" s="3"/>
      <c r="P23" s="3"/>
      <c r="Q23" s="3"/>
      <c r="R23" s="3"/>
      <c r="S23" s="644">
        <v>0</v>
      </c>
      <c r="U23" s="42">
        <f t="shared" si="0"/>
        <v>1</v>
      </c>
      <c r="V23" s="4">
        <v>1</v>
      </c>
    </row>
    <row r="24" spans="1:22" ht="13.5" customHeight="1">
      <c r="C24" s="631" t="s">
        <v>501</v>
      </c>
      <c r="D24" s="1333"/>
      <c r="E24" s="979"/>
      <c r="F24" s="979"/>
      <c r="G24" s="979"/>
      <c r="H24" s="1194"/>
      <c r="I24"/>
      <c r="J24"/>
      <c r="K24"/>
      <c r="L24"/>
      <c r="M24" s="181" t="s">
        <v>116</v>
      </c>
      <c r="N24" s="3"/>
      <c r="O24" s="3"/>
      <c r="P24" s="3"/>
      <c r="Q24" s="3"/>
      <c r="R24" s="3"/>
      <c r="S24" s="706">
        <f>S17-SUM(S20:S22)+S23</f>
        <v>85346.767402451645</v>
      </c>
      <c r="U24" s="42">
        <f t="shared" si="0"/>
        <v>1</v>
      </c>
      <c r="V24" s="4">
        <v>1</v>
      </c>
    </row>
    <row r="25" spans="1:22" ht="13.5" customHeight="1">
      <c r="C25" s="3"/>
      <c r="D25" s="12"/>
      <c r="E25" s="7"/>
      <c r="F25" s="7"/>
      <c r="G25" s="7"/>
      <c r="H25"/>
      <c r="I25"/>
      <c r="J25"/>
      <c r="K25"/>
      <c r="L25"/>
      <c r="M25" s="3" t="s">
        <v>118</v>
      </c>
      <c r="N25" s="3"/>
      <c r="O25" s="3"/>
      <c r="P25" s="3"/>
      <c r="Q25" s="3"/>
      <c r="R25" s="3"/>
      <c r="S25" s="699">
        <v>2240</v>
      </c>
      <c r="U25" s="42">
        <f t="shared" si="0"/>
        <v>0</v>
      </c>
      <c r="V25" s="4">
        <v>0</v>
      </c>
    </row>
    <row r="26" spans="1:22">
      <c r="M26" s="23" t="s">
        <v>502</v>
      </c>
      <c r="N26" s="3"/>
      <c r="O26" s="3"/>
      <c r="P26" s="3"/>
      <c r="Q26" s="3"/>
      <c r="R26" s="3"/>
      <c r="S26" s="707">
        <f>IFERROR(S24/S25,"")</f>
        <v>38.101235447523059</v>
      </c>
      <c r="U26" s="42">
        <f t="shared" si="0"/>
        <v>0</v>
      </c>
      <c r="V26" s="4">
        <v>0</v>
      </c>
    </row>
    <row r="27" spans="1:22" ht="15">
      <c r="M27" s="23"/>
      <c r="N27" s="3"/>
      <c r="O27" s="3"/>
      <c r="P27" s="3"/>
      <c r="Q27" s="3"/>
      <c r="R27" s="3"/>
      <c r="S27"/>
      <c r="U27" s="42">
        <f t="shared" si="0"/>
        <v>0</v>
      </c>
      <c r="V27" s="4">
        <v>0</v>
      </c>
    </row>
    <row r="28" spans="1:22" ht="13.5" customHeight="1">
      <c r="C28" s="926" t="s">
        <v>503</v>
      </c>
      <c r="D28" s="927"/>
      <c r="E28" s="927"/>
      <c r="F28" s="927"/>
      <c r="G28" s="927"/>
      <c r="H28" s="927"/>
      <c r="I28" s="927"/>
      <c r="J28" s="927"/>
      <c r="K28" s="927"/>
      <c r="L28" s="927"/>
      <c r="M28" s="927"/>
      <c r="N28" s="927"/>
      <c r="O28" s="927"/>
      <c r="P28" s="927"/>
      <c r="Q28" s="927"/>
      <c r="R28" s="927"/>
      <c r="S28" s="927"/>
      <c r="U28" s="42">
        <f t="shared" si="0"/>
        <v>1</v>
      </c>
      <c r="V28" s="4">
        <v>1</v>
      </c>
    </row>
    <row r="29" spans="1:22" ht="13.5" customHeight="1">
      <c r="C29" s="3" t="str">
        <f>'DCF - Outputs'!C7</f>
        <v>* All amounts in millions of pounds sterling except per share and multiples</v>
      </c>
      <c r="D29" s="180"/>
      <c r="E29" s="179"/>
      <c r="F29" s="179"/>
      <c r="G29" s="179"/>
      <c r="H29" s="179"/>
      <c r="I29" s="38"/>
      <c r="J29" s="179"/>
      <c r="K29" s="38"/>
      <c r="L29" s="214" t="str">
        <f>'DCF - Financials'!L7</f>
        <v>Projected Fiscal Years Ending June 31</v>
      </c>
      <c r="M29" s="214"/>
      <c r="N29" s="214"/>
      <c r="O29" s="214"/>
      <c r="P29" s="214"/>
      <c r="Q29" s="214"/>
      <c r="R29" s="214"/>
      <c r="S29" s="214"/>
      <c r="U29" s="42">
        <f t="shared" si="0"/>
        <v>1</v>
      </c>
      <c r="V29" s="4">
        <v>1</v>
      </c>
    </row>
    <row r="30" spans="1:22" ht="13.5" customHeight="1" thickBot="1">
      <c r="C30" s="85" t="s">
        <v>504</v>
      </c>
      <c r="D30" s="57"/>
      <c r="E30" s="57"/>
      <c r="F30" s="57"/>
      <c r="G30" s="85">
        <f>'DCF - Financials'!G8</f>
        <v>2019</v>
      </c>
      <c r="H30" s="85">
        <f>'DCF - Financials'!H8</f>
        <v>2020</v>
      </c>
      <c r="I30" s="85">
        <f>'DCF - Financials'!I8</f>
        <v>2021</v>
      </c>
      <c r="J30" s="85">
        <f>'DCF - Financials'!J8</f>
        <v>2022</v>
      </c>
      <c r="K30" s="85">
        <f>'DCF - Financials'!K8</f>
        <v>2023</v>
      </c>
      <c r="L30" s="85">
        <f>'DCF - Financials'!L8</f>
        <v>2024</v>
      </c>
      <c r="M30" s="85">
        <f>'DCF - Financials'!M8</f>
        <v>2025</v>
      </c>
      <c r="N30" s="85">
        <f>'DCF - Financials'!N8</f>
        <v>2026</v>
      </c>
      <c r="O30" s="85">
        <f>'DCF - Financials'!O8</f>
        <v>2027</v>
      </c>
      <c r="P30" s="85">
        <f>'DCF - Financials'!P8</f>
        <v>2028</v>
      </c>
      <c r="Q30" s="85">
        <f>'DCF - Financials'!Q8</f>
        <v>2029</v>
      </c>
      <c r="R30" s="85">
        <f>'DCF - Financials'!R8</f>
        <v>2030</v>
      </c>
      <c r="S30" s="85">
        <f>'DCF - Financials'!S8</f>
        <v>2031</v>
      </c>
      <c r="U30" s="42">
        <f t="shared" si="0"/>
        <v>1</v>
      </c>
      <c r="V30" s="4">
        <v>1</v>
      </c>
    </row>
    <row r="31" spans="1:22" ht="13.5" customHeight="1">
      <c r="C31" s="23" t="s">
        <v>163</v>
      </c>
      <c r="D31" s="3"/>
      <c r="E31" s="3"/>
      <c r="F31" s="3"/>
      <c r="G31" s="670">
        <f>'DCF - Financials'!G11</f>
        <v>12867</v>
      </c>
      <c r="H31" s="670">
        <f>'DCF - Financials'!H11</f>
        <v>11752</v>
      </c>
      <c r="I31" s="670">
        <f>'DCF - Financials'!I11</f>
        <v>12733</v>
      </c>
      <c r="J31" s="670">
        <f>'DCF - Financials'!J11</f>
        <v>15452</v>
      </c>
      <c r="K31" s="670">
        <f>'DCF - Financials'!K11</f>
        <v>17113</v>
      </c>
      <c r="L31" s="670">
        <f>'DCF - Financials'!L11</f>
        <v>17775.445</v>
      </c>
      <c r="M31" s="670">
        <f>'DCF - Financials'!M11</f>
        <v>18733.801249</v>
      </c>
      <c r="N31" s="670">
        <f>'DCF - Financials'!N11</f>
        <v>19823.250025914</v>
      </c>
      <c r="O31" s="670">
        <f>'DCF - Financials'!O11</f>
        <v>21001.604953276186</v>
      </c>
      <c r="P31" s="670">
        <f>'DCF - Financials'!P11</f>
        <v>22353.858094888696</v>
      </c>
      <c r="Q31" s="670">
        <f>'DCF - Financials'!Q11</f>
        <v>23796.719745400867</v>
      </c>
      <c r="R31" s="670">
        <f>'DCF - Financials'!R11</f>
        <v>25336.454227515202</v>
      </c>
      <c r="S31" s="670">
        <f>'DCF - Financials'!S11</f>
        <v>26979.770596703373</v>
      </c>
      <c r="U31" s="42">
        <f t="shared" si="0"/>
        <v>1</v>
      </c>
      <c r="V31" s="4">
        <v>1</v>
      </c>
    </row>
    <row r="32" spans="1:22" ht="13.5" customHeight="1">
      <c r="C32" s="3" t="s">
        <v>64</v>
      </c>
      <c r="D32" s="3"/>
      <c r="E32" s="3"/>
      <c r="F32" s="3"/>
      <c r="G32" s="644">
        <f>'DCF - Financials'!G15</f>
        <v>-4866</v>
      </c>
      <c r="H32" s="644">
        <f>'DCF - Financials'!H15</f>
        <v>-4654</v>
      </c>
      <c r="I32" s="644">
        <f>'DCF - Financials'!I15</f>
        <v>-5038</v>
      </c>
      <c r="J32" s="644">
        <f>'DCF - Financials'!J15</f>
        <v>-5973</v>
      </c>
      <c r="K32" s="644">
        <f>'DCF - Financials'!K15</f>
        <v>-6899</v>
      </c>
      <c r="L32" s="644">
        <f>'DCF - Financials'!L15</f>
        <v>-7110.1779999999999</v>
      </c>
      <c r="M32" s="644">
        <f>'DCF - Financials'!M15</f>
        <v>-7493.5204996000002</v>
      </c>
      <c r="N32" s="644">
        <f>'DCF - Financials'!N15</f>
        <v>-7929.3000103656004</v>
      </c>
      <c r="O32" s="644">
        <f>'DCF - Financials'!O15</f>
        <v>-8400.6419813104749</v>
      </c>
      <c r="P32" s="644">
        <f>'DCF - Financials'!P15</f>
        <v>-8941.5432379554786</v>
      </c>
      <c r="Q32" s="644">
        <f>'DCF - Financials'!Q15</f>
        <v>-9518.6878981603477</v>
      </c>
      <c r="R32" s="644">
        <f>'DCF - Financials'!R15</f>
        <v>-10134.581691006082</v>
      </c>
      <c r="S32" s="644">
        <f>'DCF - Financials'!S15</f>
        <v>-10791.90823868135</v>
      </c>
      <c r="U32" s="42">
        <f t="shared" si="0"/>
        <v>1</v>
      </c>
      <c r="V32" s="4">
        <v>1</v>
      </c>
    </row>
    <row r="33" spans="1:22" ht="13.5" customHeight="1">
      <c r="C33" s="3" t="s">
        <v>247</v>
      </c>
      <c r="D33" s="3"/>
      <c r="E33" s="3"/>
      <c r="F33" s="3"/>
      <c r="G33" s="644">
        <f>'DCF - Financials'!G23</f>
        <v>-3959</v>
      </c>
      <c r="H33" s="644">
        <f>'DCF - Financials'!H23</f>
        <v>-4961</v>
      </c>
      <c r="I33" s="644">
        <f>'DCF - Financials'!I23</f>
        <v>-3964</v>
      </c>
      <c r="J33" s="644">
        <f>'DCF - Financials'!J23</f>
        <v>-5070</v>
      </c>
      <c r="K33" s="644">
        <f>'DCF - Financials'!K23</f>
        <v>-5582</v>
      </c>
      <c r="L33" s="644">
        <f>'DCF - Financials'!L23</f>
        <v>-6292.5075299999999</v>
      </c>
      <c r="M33" s="644">
        <f>'DCF - Financials'!M23</f>
        <v>-6575.5642383989998</v>
      </c>
      <c r="N33" s="644">
        <f>'DCF - Financials'!N23</f>
        <v>-6957.960759095814</v>
      </c>
      <c r="O33" s="644">
        <f>'DCF - Financials'!O23</f>
        <v>-7371.5633385999408</v>
      </c>
      <c r="P33" s="644">
        <f>'DCF - Financials'!P23</f>
        <v>-7846.2041913059329</v>
      </c>
      <c r="Q33" s="644">
        <f>'DCF - Financials'!Q23</f>
        <v>-8305.0551911449038</v>
      </c>
      <c r="R33" s="644">
        <f>'DCF - Financials'!R23</f>
        <v>-8791.7496169477745</v>
      </c>
      <c r="S33" s="644">
        <f>'DCF - Financials'!S23</f>
        <v>-9335.0006264593685</v>
      </c>
      <c r="U33" s="42">
        <f t="shared" si="0"/>
        <v>1</v>
      </c>
      <c r="V33" s="4">
        <v>1</v>
      </c>
    </row>
    <row r="34" spans="1:22" ht="13.5" customHeight="1">
      <c r="C34" s="78" t="s">
        <v>67</v>
      </c>
      <c r="D34" s="32"/>
      <c r="E34" s="32"/>
      <c r="F34" s="32"/>
      <c r="G34" s="695"/>
      <c r="H34" s="695"/>
      <c r="I34" s="695"/>
      <c r="J34" s="695"/>
      <c r="K34" s="695"/>
      <c r="L34" s="649">
        <f>'DCF - Financials'!L53</f>
        <v>6814.0053287660121</v>
      </c>
      <c r="M34" s="649">
        <f>'DCF - Financials'!M53</f>
        <v>6438.7267440469686</v>
      </c>
      <c r="N34" s="649">
        <f>'DCF - Financials'!N53</f>
        <v>6923.7241095436766</v>
      </c>
      <c r="O34" s="649">
        <f>'DCF - Financials'!O53</f>
        <v>7347.949381730622</v>
      </c>
      <c r="P34" s="649">
        <f>'DCF - Financials'!P53</f>
        <v>7928.7885882720029</v>
      </c>
      <c r="Q34" s="649">
        <f>'DCF - Financials'!Q53</f>
        <v>8301.0183597718387</v>
      </c>
      <c r="R34" s="649">
        <f>'DCF - Financials'!R53</f>
        <v>8911.1035404395116</v>
      </c>
      <c r="S34" s="649">
        <f>'DCF - Financials'!S53</f>
        <v>9508.6622532133097</v>
      </c>
      <c r="U34" s="42">
        <f t="shared" si="0"/>
        <v>1</v>
      </c>
      <c r="V34" s="4">
        <v>1</v>
      </c>
    </row>
    <row r="35" spans="1:22" ht="13.5" customHeight="1">
      <c r="C35" s="3" t="s">
        <v>263</v>
      </c>
      <c r="D35" s="3"/>
      <c r="E35" s="3"/>
      <c r="F35" s="3"/>
      <c r="G35" s="694"/>
      <c r="H35" s="694"/>
      <c r="I35" s="694"/>
      <c r="J35" s="694"/>
      <c r="K35" s="694"/>
      <c r="L35" s="644">
        <f>-'DCF - Financials'!L46</f>
        <v>-2085.9819753014162</v>
      </c>
      <c r="M35" s="644">
        <f>-'DCF - Financials'!M46</f>
        <v>-1419.0252144661404</v>
      </c>
      <c r="N35" s="644">
        <f>-'DCF - Financials'!N46</f>
        <v>-1633.5147297818771</v>
      </c>
      <c r="O35" s="644">
        <f>-'DCF - Financials'!O46</f>
        <v>-1765.1177089482894</v>
      </c>
      <c r="P35" s="644">
        <f>-'DCF - Financials'!P46</f>
        <v>-2010.087567089512</v>
      </c>
      <c r="Q35" s="644">
        <f>-'DCF - Financials'!Q46</f>
        <v>-1976.3580793540591</v>
      </c>
      <c r="R35" s="644">
        <f>-'DCF - Financials'!R46</f>
        <v>-2150.2549371344057</v>
      </c>
      <c r="S35" s="644">
        <f>-'DCF - Financials'!S46</f>
        <v>-2306.0917044556209</v>
      </c>
      <c r="U35" s="42">
        <f t="shared" si="0"/>
        <v>1</v>
      </c>
      <c r="V35" s="4">
        <v>1</v>
      </c>
    </row>
    <row r="36" spans="1:22" ht="13.5" customHeight="1">
      <c r="C36" s="78" t="s">
        <v>505</v>
      </c>
      <c r="D36" s="32"/>
      <c r="E36" s="32"/>
      <c r="F36" s="32"/>
      <c r="G36" s="695"/>
      <c r="H36" s="695"/>
      <c r="I36" s="695"/>
      <c r="J36" s="695"/>
      <c r="K36" s="695"/>
      <c r="L36" s="649">
        <f>SUM(L34:L35)</f>
        <v>4728.0233534645959</v>
      </c>
      <c r="M36" s="649">
        <f t="shared" ref="M36:S36" si="1">SUM(M34:M35)</f>
        <v>5019.7015295808287</v>
      </c>
      <c r="N36" s="649">
        <f t="shared" si="1"/>
        <v>5290.2093797617999</v>
      </c>
      <c r="O36" s="649">
        <f t="shared" si="1"/>
        <v>5582.831672782333</v>
      </c>
      <c r="P36" s="649">
        <f t="shared" si="1"/>
        <v>5918.7010211824909</v>
      </c>
      <c r="Q36" s="649">
        <f t="shared" si="1"/>
        <v>6324.6602804177801</v>
      </c>
      <c r="R36" s="649">
        <f t="shared" si="1"/>
        <v>6760.8486033051058</v>
      </c>
      <c r="S36" s="649">
        <f t="shared" si="1"/>
        <v>7202.5705487576888</v>
      </c>
      <c r="U36" s="42">
        <f t="shared" si="0"/>
        <v>1</v>
      </c>
      <c r="V36" s="4">
        <v>1</v>
      </c>
    </row>
    <row r="37" spans="1:22" ht="13.5" customHeight="1">
      <c r="C37" s="3" t="s">
        <v>506</v>
      </c>
      <c r="D37" s="14"/>
      <c r="E37" s="14"/>
      <c r="F37" s="14"/>
      <c r="G37" s="694"/>
      <c r="H37" s="694"/>
      <c r="I37" s="694"/>
      <c r="J37" s="694"/>
      <c r="K37" s="694"/>
      <c r="L37" s="644">
        <f>-L36*'DCF - Assumptions'!L179</f>
        <v>-968.29918278954926</v>
      </c>
      <c r="M37" s="644">
        <f>-M36*'DCF - Assumptions'!M179</f>
        <v>-1028.0348732581538</v>
      </c>
      <c r="N37" s="644">
        <f>-N36*'DCF - Assumptions'!N179</f>
        <v>-1083.4348809752166</v>
      </c>
      <c r="O37" s="644">
        <f>-O36*'DCF - Assumptions'!O179</f>
        <v>-1143.3639265858219</v>
      </c>
      <c r="P37" s="644">
        <f>-P36*'DCF - Assumptions'!P179</f>
        <v>-1212.1499691381741</v>
      </c>
      <c r="Q37" s="644">
        <f>-Q36*'DCF - Assumptions'!Q179</f>
        <v>-1295.2904254295615</v>
      </c>
      <c r="R37" s="644">
        <f>-R36*'DCF - Assumptions'!R179</f>
        <v>-1384.6217939568858</v>
      </c>
      <c r="S37" s="644">
        <f>-S36*'DCF - Assumptions'!S179</f>
        <v>-1475.0864483855748</v>
      </c>
      <c r="U37" s="42">
        <f t="shared" si="0"/>
        <v>1</v>
      </c>
      <c r="V37" s="4">
        <v>1</v>
      </c>
    </row>
    <row r="38" spans="1:22" s="41" customFormat="1" ht="13.5" customHeight="1">
      <c r="C38" s="3" t="s">
        <v>507</v>
      </c>
      <c r="D38" s="14"/>
      <c r="E38" s="14"/>
      <c r="F38" s="14"/>
      <c r="G38" s="694"/>
      <c r="H38" s="694"/>
      <c r="I38" s="694"/>
      <c r="J38" s="694"/>
      <c r="K38" s="694"/>
      <c r="L38" s="644">
        <f>SUM('DCF - Financials'!L80,'DCF - Financials'!L81,'DCF - Financials'!L82)</f>
        <v>-1606.0000536129971</v>
      </c>
      <c r="M38" s="644">
        <f>SUM('DCF - Financials'!M80,'DCF - Financials'!M81,'DCF - Financials'!M82)</f>
        <v>-1639.630873293281</v>
      </c>
      <c r="N38" s="644">
        <f>SUM('DCF - Financials'!N80,'DCF - Financials'!N81,'DCF - Financials'!N82)</f>
        <v>-1692.3587027283584</v>
      </c>
      <c r="O38" s="644">
        <f>SUM('DCF - Financials'!O80,'DCF - Financials'!O81,'DCF - Financials'!O82)</f>
        <v>-1797.750259206839</v>
      </c>
      <c r="P38" s="644">
        <f>SUM('DCF - Financials'!P80,'DCF - Financials'!P81,'DCF - Financials'!P82)</f>
        <v>-1949.5077890605892</v>
      </c>
      <c r="Q38" s="644">
        <f>SUM('DCF - Financials'!Q80,'DCF - Financials'!Q81,'DCF - Financials'!Q82)</f>
        <v>-2056.6723458540055</v>
      </c>
      <c r="R38" s="644">
        <f>SUM('DCF - Financials'!R80,'DCF - Financials'!R81,'DCF - Financials'!R82)</f>
        <v>-2182.8051297068132</v>
      </c>
      <c r="S38" s="644">
        <f>SUM('DCF - Financials'!S80,'DCF - Financials'!S81,'DCF - Financials'!S82)</f>
        <v>-2329.6446518329308</v>
      </c>
      <c r="U38" s="42">
        <f t="shared" si="0"/>
        <v>1</v>
      </c>
      <c r="V38" s="4">
        <v>1</v>
      </c>
    </row>
    <row r="39" spans="1:22" ht="13.5" customHeight="1">
      <c r="C39" s="3" t="s">
        <v>263</v>
      </c>
      <c r="D39" s="3"/>
      <c r="E39" s="3"/>
      <c r="F39" s="3"/>
      <c r="G39" s="694"/>
      <c r="H39" s="694"/>
      <c r="I39" s="694"/>
      <c r="J39" s="694"/>
      <c r="K39" s="694"/>
      <c r="L39" s="644">
        <f>'DCF - Financials'!L46</f>
        <v>2085.9819753014162</v>
      </c>
      <c r="M39" s="644">
        <f>'DCF - Financials'!M46</f>
        <v>1419.0252144661404</v>
      </c>
      <c r="N39" s="644">
        <f>'DCF - Financials'!N46</f>
        <v>1633.5147297818771</v>
      </c>
      <c r="O39" s="644">
        <f>'DCF - Financials'!O46</f>
        <v>1765.1177089482894</v>
      </c>
      <c r="P39" s="644">
        <f>'DCF - Financials'!P46</f>
        <v>2010.087567089512</v>
      </c>
      <c r="Q39" s="644">
        <f>'DCF - Financials'!Q46</f>
        <v>1976.3580793540591</v>
      </c>
      <c r="R39" s="644">
        <f>'DCF - Financials'!R46</f>
        <v>2150.2549371344057</v>
      </c>
      <c r="S39" s="644">
        <f>'DCF - Financials'!S46</f>
        <v>2306.0917044556209</v>
      </c>
      <c r="U39" s="42">
        <f t="shared" si="0"/>
        <v>1</v>
      </c>
      <c r="V39" s="4">
        <v>1</v>
      </c>
    </row>
    <row r="40" spans="1:22" ht="13.5" customHeight="1">
      <c r="A40" s="20"/>
      <c r="B40" s="20"/>
      <c r="C40" s="3" t="s">
        <v>508</v>
      </c>
      <c r="D40" s="14"/>
      <c r="E40" s="14"/>
      <c r="F40" s="14"/>
      <c r="G40" s="694"/>
      <c r="H40" s="694"/>
      <c r="I40" s="694"/>
      <c r="J40" s="694"/>
      <c r="K40" s="694"/>
      <c r="L40" s="644">
        <f>'DCF - Financials'!L117</f>
        <v>61.222667788690273</v>
      </c>
      <c r="M40" s="644">
        <f>'DCF - Financials'!M117</f>
        <v>-226.75591377864254</v>
      </c>
      <c r="N40" s="644">
        <f>'DCF - Financials'!N117</f>
        <v>-258.54097130974651</v>
      </c>
      <c r="O40" s="644">
        <f>'DCF - Financials'!O117</f>
        <v>-278.16160084833206</v>
      </c>
      <c r="P40" s="644">
        <f>'DCF - Financials'!P117</f>
        <v>-320.00158564526726</v>
      </c>
      <c r="Q40" s="644">
        <f>'DCF - Financials'!Q117</f>
        <v>-338.66769810978872</v>
      </c>
      <c r="R40" s="644">
        <f>'DCF - Financials'!R117</f>
        <v>-358.44209212896442</v>
      </c>
      <c r="S40" s="644">
        <f>'DCF - Financials'!S117</f>
        <v>-379.39104186720851</v>
      </c>
      <c r="U40" s="42">
        <f t="shared" si="0"/>
        <v>1</v>
      </c>
      <c r="V40" s="4">
        <v>1</v>
      </c>
    </row>
    <row r="41" spans="1:22" ht="13.5" customHeight="1">
      <c r="A41" s="20"/>
      <c r="B41" s="20"/>
      <c r="C41" s="78" t="s">
        <v>509</v>
      </c>
      <c r="D41" s="203"/>
      <c r="E41" s="203"/>
      <c r="F41" s="203"/>
      <c r="G41" s="708"/>
      <c r="H41" s="708"/>
      <c r="I41" s="708"/>
      <c r="J41" s="708"/>
      <c r="K41" s="708"/>
      <c r="L41" s="649">
        <f>SUM(L36:L40)</f>
        <v>4300.9287601521555</v>
      </c>
      <c r="M41" s="649">
        <f t="shared" ref="M41:S41" si="2">SUM(M36:M40)</f>
        <v>3544.3050837168921</v>
      </c>
      <c r="N41" s="649">
        <f t="shared" si="2"/>
        <v>3889.3895545303553</v>
      </c>
      <c r="O41" s="649">
        <f t="shared" si="2"/>
        <v>4128.6735950896291</v>
      </c>
      <c r="P41" s="649">
        <f t="shared" si="2"/>
        <v>4447.1292444279725</v>
      </c>
      <c r="Q41" s="649">
        <f t="shared" si="2"/>
        <v>4610.3878903784835</v>
      </c>
      <c r="R41" s="649">
        <f t="shared" si="2"/>
        <v>4985.2345246468476</v>
      </c>
      <c r="S41" s="649">
        <f t="shared" si="2"/>
        <v>5324.540111127596</v>
      </c>
      <c r="U41" s="42">
        <f t="shared" si="0"/>
        <v>1</v>
      </c>
      <c r="V41" s="4">
        <v>1</v>
      </c>
    </row>
    <row r="42" spans="1:22" ht="13.5" customHeight="1">
      <c r="A42" s="20"/>
      <c r="C42" s="79" t="s">
        <v>510</v>
      </c>
      <c r="D42" s="697"/>
      <c r="E42" s="697"/>
      <c r="F42" s="697"/>
      <c r="G42" s="709"/>
      <c r="H42" s="709"/>
      <c r="I42" s="709"/>
      <c r="J42" s="709"/>
      <c r="K42" s="709"/>
      <c r="L42" s="714">
        <v>1</v>
      </c>
      <c r="M42" s="714">
        <v>1</v>
      </c>
      <c r="N42" s="714">
        <v>1</v>
      </c>
      <c r="O42" s="714">
        <v>1</v>
      </c>
      <c r="P42" s="714">
        <v>1</v>
      </c>
      <c r="Q42" s="714">
        <v>1</v>
      </c>
      <c r="R42" s="714">
        <v>1</v>
      </c>
      <c r="S42" s="714">
        <v>1</v>
      </c>
      <c r="U42" s="42">
        <f t="shared" si="0"/>
        <v>1</v>
      </c>
      <c r="V42" s="4">
        <v>1</v>
      </c>
    </row>
    <row r="43" spans="1:22" ht="13.5" customHeight="1">
      <c r="A43" s="20"/>
      <c r="B43" s="20"/>
      <c r="C43" s="79" t="s">
        <v>511</v>
      </c>
      <c r="D43" s="14"/>
      <c r="E43" s="14"/>
      <c r="F43" s="14"/>
      <c r="G43" s="710"/>
      <c r="H43" s="710"/>
      <c r="I43" s="710"/>
      <c r="J43" s="710"/>
      <c r="K43" s="710"/>
      <c r="L43" s="714">
        <f>+($D$21-$D$20)/365</f>
        <v>0.49863013698630138</v>
      </c>
      <c r="M43" s="714">
        <f t="shared" ref="M43:S43" si="3">L43+M42</f>
        <v>1.4986301369863013</v>
      </c>
      <c r="N43" s="714">
        <f t="shared" si="3"/>
        <v>2.4986301369863013</v>
      </c>
      <c r="O43" s="714">
        <f t="shared" si="3"/>
        <v>3.4986301369863013</v>
      </c>
      <c r="P43" s="714">
        <f t="shared" si="3"/>
        <v>4.4986301369863018</v>
      </c>
      <c r="Q43" s="714">
        <f t="shared" si="3"/>
        <v>5.4986301369863018</v>
      </c>
      <c r="R43" s="714">
        <f t="shared" si="3"/>
        <v>6.4986301369863018</v>
      </c>
      <c r="S43" s="714">
        <f t="shared" si="3"/>
        <v>7.4986301369863018</v>
      </c>
      <c r="U43" s="42">
        <f t="shared" si="0"/>
        <v>1</v>
      </c>
      <c r="V43" s="4">
        <v>1</v>
      </c>
    </row>
    <row r="44" spans="1:22" ht="13.5" customHeight="1">
      <c r="C44" s="79" t="s">
        <v>512</v>
      </c>
      <c r="D44" s="14"/>
      <c r="E44" s="14"/>
      <c r="F44" s="14"/>
      <c r="G44" s="711"/>
      <c r="H44" s="711"/>
      <c r="I44" s="711"/>
      <c r="J44" s="711"/>
      <c r="K44" s="711"/>
      <c r="L44" s="715">
        <f>$D$17</f>
        <v>7.3597808596403413E-2</v>
      </c>
      <c r="M44" s="715">
        <f t="shared" ref="M44:S44" si="4">$D$17</f>
        <v>7.3597808596403413E-2</v>
      </c>
      <c r="N44" s="715">
        <f t="shared" si="4"/>
        <v>7.3597808596403413E-2</v>
      </c>
      <c r="O44" s="715">
        <f t="shared" si="4"/>
        <v>7.3597808596403413E-2</v>
      </c>
      <c r="P44" s="715">
        <f t="shared" si="4"/>
        <v>7.3597808596403413E-2</v>
      </c>
      <c r="Q44" s="715">
        <f t="shared" si="4"/>
        <v>7.3597808596403413E-2</v>
      </c>
      <c r="R44" s="715">
        <f t="shared" si="4"/>
        <v>7.3597808596403413E-2</v>
      </c>
      <c r="S44" s="715">
        <f t="shared" si="4"/>
        <v>7.3597808596403413E-2</v>
      </c>
      <c r="U44" s="42">
        <f t="shared" si="0"/>
        <v>1</v>
      </c>
      <c r="V44" s="4">
        <v>1</v>
      </c>
    </row>
    <row r="45" spans="1:22" ht="13.5" customHeight="1">
      <c r="C45" s="79" t="s">
        <v>513</v>
      </c>
      <c r="D45" s="14"/>
      <c r="E45" s="14"/>
      <c r="F45" s="14"/>
      <c r="G45" s="710"/>
      <c r="H45" s="710"/>
      <c r="I45" s="710"/>
      <c r="J45" s="710"/>
      <c r="K45" s="710"/>
      <c r="L45" s="714">
        <f t="shared" ref="L45:S45" si="5">1/(1+L44)^L43</f>
        <v>0.96520917295135999</v>
      </c>
      <c r="M45" s="714">
        <f t="shared" si="5"/>
        <v>0.89904167577731142</v>
      </c>
      <c r="N45" s="714">
        <f t="shared" si="5"/>
        <v>0.83741012563419581</v>
      </c>
      <c r="O45" s="714">
        <f t="shared" si="5"/>
        <v>0.78000357203504911</v>
      </c>
      <c r="P45" s="714">
        <f t="shared" si="5"/>
        <v>0.72653238092466621</v>
      </c>
      <c r="Q45" s="714">
        <f t="shared" si="5"/>
        <v>0.67672677338501419</v>
      </c>
      <c r="R45" s="714">
        <f t="shared" si="5"/>
        <v>0.63033546451603772</v>
      </c>
      <c r="S45" s="714">
        <f t="shared" si="5"/>
        <v>0.58712439562458074</v>
      </c>
      <c r="U45" s="42">
        <f t="shared" si="0"/>
        <v>1</v>
      </c>
      <c r="V45" s="4">
        <v>1</v>
      </c>
    </row>
    <row r="46" spans="1:22">
      <c r="C46" s="78" t="s">
        <v>514</v>
      </c>
      <c r="D46" s="204"/>
      <c r="E46" s="204"/>
      <c r="F46" s="204"/>
      <c r="G46" s="712"/>
      <c r="H46" s="712"/>
      <c r="I46" s="712"/>
      <c r="J46" s="712"/>
      <c r="K46" s="712"/>
      <c r="L46" s="649">
        <f t="shared" ref="L46:S46" si="6">L41*L45*L42</f>
        <v>4151.2958915091804</v>
      </c>
      <c r="M46" s="649">
        <f t="shared" si="6"/>
        <v>3186.4779819308787</v>
      </c>
      <c r="N46" s="649">
        <f t="shared" si="6"/>
        <v>3257.0141954995938</v>
      </c>
      <c r="O46" s="649">
        <f t="shared" si="6"/>
        <v>3220.3801519366989</v>
      </c>
      <c r="P46" s="649">
        <f t="shared" si="6"/>
        <v>3230.9833982339669</v>
      </c>
      <c r="Q46" s="649">
        <f t="shared" si="6"/>
        <v>3119.9729211091735</v>
      </c>
      <c r="R46" s="649">
        <f t="shared" si="6"/>
        <v>3142.3701198146591</v>
      </c>
      <c r="S46" s="649">
        <f t="shared" si="6"/>
        <v>3126.1673947246277</v>
      </c>
      <c r="U46" s="42">
        <f t="shared" si="0"/>
        <v>1</v>
      </c>
      <c r="V46" s="4">
        <v>1</v>
      </c>
    </row>
    <row r="47" spans="1:22"/>
    <row r="48" spans="1:22"/>
  </sheetData>
  <conditionalFormatting sqref="D35:F35">
    <cfRule type="cellIs" dxfId="62" priority="1" stopIfTrue="1" operator="equal">
      <formula>$E$4</formula>
    </cfRule>
  </conditionalFormatting>
  <conditionalFormatting sqref="D37:F41 D43:F46">
    <cfRule type="cellIs" dxfId="61" priority="10" stopIfTrue="1" operator="equal">
      <formula>$E$4</formula>
    </cfRule>
  </conditionalFormatting>
  <conditionalFormatting sqref="D42:K42">
    <cfRule type="cellIs" dxfId="60" priority="3" stopIfTrue="1" operator="equal">
      <formula>$D$4</formula>
    </cfRule>
  </conditionalFormatting>
  <conditionalFormatting sqref="I29">
    <cfRule type="cellIs" dxfId="59" priority="9" stopIfTrue="1" operator="equal">
      <formula>#REF!</formula>
    </cfRule>
  </conditionalFormatting>
  <conditionalFormatting sqref="L29">
    <cfRule type="cellIs" dxfId="58" priority="7" stopIfTrue="1" operator="equal">
      <formula>#REF!</formula>
    </cfRule>
  </conditionalFormatting>
  <conditionalFormatting sqref="M13">
    <cfRule type="cellIs" dxfId="57" priority="8" stopIfTrue="1" operator="equal">
      <formula>"ERROR"</formula>
    </cfRule>
  </conditionalFormatting>
  <conditionalFormatting sqref="S13">
    <cfRule type="cellIs" dxfId="56" priority="2" stopIfTrue="1" operator="equal">
      <formula>"ERROR"</formula>
    </cfRule>
  </conditionalFormatting>
  <conditionalFormatting sqref="T4">
    <cfRule type="cellIs" dxfId="55" priority="6" operator="equal">
      <formula>"Check"</formula>
    </cfRule>
  </conditionalFormatting>
  <conditionalFormatting sqref="U1:V1">
    <cfRule type="cellIs" dxfId="54" priority="5" operator="equal">
      <formula>"Check"</formula>
    </cfRule>
  </conditionalFormatting>
  <hyperlinks>
    <hyperlink ref="F9" r:id="rId1" xr:uid="{B98446FB-4B77-9744-AC04-007720E4DA4E}"/>
  </hyperlinks>
  <pageMargins left="0.74803149606299213" right="0.74803149606299213" top="0.98425196850393704" bottom="0.98425196850393704" header="0.51181102362204722" footer="0.51181102362204722"/>
  <pageSetup orientation="portrait" r:id="rId2"/>
  <headerFooter alignWithMargins="0">
    <oddFooter>&amp;LIB-Competition Preliminary Case&amp;RPage &amp;P</oddFooter>
  </headerFooter>
  <colBreaks count="1" manualBreakCount="1">
    <brk id="18" min="3" max="44"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A984D-DEBB-4A6D-B119-E2E7A8F6E84C}">
  <sheetPr>
    <tabColor rgb="FF86654A"/>
  </sheetPr>
  <dimension ref="A1:CO51"/>
  <sheetViews>
    <sheetView showGridLines="0" zoomScale="174" zoomScaleNormal="100" workbookViewId="0">
      <selection activeCell="H7" sqref="H7"/>
    </sheetView>
  </sheetViews>
  <sheetFormatPr baseColWidth="10" defaultColWidth="0" defaultRowHeight="0" customHeight="1" zeroHeight="1"/>
  <cols>
    <col min="1" max="1" width="2.5" style="2" customWidth="1"/>
    <col min="2" max="2" width="20" style="2" customWidth="1"/>
    <col min="3" max="15" width="7.5" style="2" customWidth="1"/>
    <col min="16" max="16" width="3.5" style="2" customWidth="1"/>
    <col min="17" max="17" width="0" style="2" hidden="1" customWidth="1"/>
    <col min="18" max="16384" width="9.5" style="2" hidden="1"/>
  </cols>
  <sheetData>
    <row r="1" spans="1:93" s="26" customFormat="1" ht="13">
      <c r="A1" s="36" t="s">
        <v>515</v>
      </c>
    </row>
    <row r="2" spans="1:93" s="32" customFormat="1" ht="2" customHeight="1">
      <c r="A2" s="33"/>
      <c r="P2" s="31"/>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row>
    <row r="3" spans="1:93" s="28" customFormat="1" ht="3" customHeight="1">
      <c r="A3" s="29"/>
      <c r="P3" s="27"/>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row>
    <row r="4" spans="1:93" s="3" customFormat="1" ht="11" customHeight="1" collapsed="1">
      <c r="A4" s="195"/>
      <c r="I4" s="2"/>
      <c r="J4" s="2"/>
      <c r="K4" s="2"/>
      <c r="L4" s="2"/>
      <c r="M4" s="2"/>
      <c r="N4" s="2"/>
      <c r="O4" s="2"/>
      <c r="P4" s="135"/>
    </row>
    <row r="5" spans="1:93" ht="15">
      <c r="B5" s="926" t="s">
        <v>516</v>
      </c>
      <c r="C5" s="926"/>
      <c r="D5" s="926"/>
      <c r="E5" s="926"/>
      <c r="F5" s="926"/>
      <c r="G5" s="926"/>
      <c r="H5"/>
      <c r="I5"/>
      <c r="J5"/>
      <c r="K5"/>
      <c r="L5"/>
      <c r="M5"/>
      <c r="N5"/>
      <c r="O5"/>
    </row>
    <row r="6" spans="1:93" ht="16" thickBot="1">
      <c r="B6" s="57" t="s">
        <v>517</v>
      </c>
      <c r="C6" s="57"/>
      <c r="D6" s="57"/>
      <c r="E6" s="57"/>
      <c r="F6" s="85">
        <v>2022</v>
      </c>
      <c r="G6" s="85">
        <v>2023</v>
      </c>
      <c r="H6"/>
      <c r="I6"/>
      <c r="J6"/>
      <c r="K6"/>
      <c r="L6"/>
      <c r="M6"/>
      <c r="N6"/>
      <c r="O6"/>
    </row>
    <row r="7" spans="1:93" ht="15">
      <c r="B7" s="3" t="s">
        <v>518</v>
      </c>
      <c r="C7" s="3"/>
      <c r="D7" s="3"/>
      <c r="E7" s="3"/>
      <c r="F7" s="1295">
        <v>0.34</v>
      </c>
      <c r="G7" s="1295">
        <v>0.34</v>
      </c>
      <c r="H7"/>
      <c r="I7"/>
      <c r="J7"/>
      <c r="K7"/>
      <c r="L7"/>
      <c r="M7"/>
      <c r="N7"/>
      <c r="O7"/>
    </row>
    <row r="8" spans="1:93" customFormat="1" ht="15"/>
    <row r="9" spans="1:93" ht="15">
      <c r="B9" s="650" t="s">
        <v>519</v>
      </c>
      <c r="C9" s="96"/>
      <c r="D9" s="96"/>
      <c r="E9" s="96"/>
      <c r="F9" s="1124"/>
      <c r="G9" s="1124"/>
      <c r="H9"/>
      <c r="I9"/>
      <c r="J9"/>
      <c r="K9"/>
      <c r="L9"/>
      <c r="M9"/>
      <c r="N9"/>
      <c r="O9"/>
    </row>
    <row r="10" spans="1:93" ht="15">
      <c r="B10" s="3" t="s">
        <v>520</v>
      </c>
      <c r="C10" s="3"/>
      <c r="D10" s="3"/>
      <c r="E10" s="3"/>
      <c r="F10" s="82">
        <v>5957</v>
      </c>
      <c r="G10" s="82">
        <v>6774</v>
      </c>
      <c r="H10"/>
      <c r="I10"/>
      <c r="J10"/>
      <c r="K10"/>
      <c r="L10"/>
      <c r="M10"/>
      <c r="N10"/>
      <c r="O10"/>
    </row>
    <row r="11" spans="1:93" ht="15">
      <c r="B11" s="3" t="s">
        <v>521</v>
      </c>
      <c r="C11" s="3"/>
      <c r="D11" s="3"/>
      <c r="E11" s="3"/>
      <c r="F11" s="82">
        <v>8447</v>
      </c>
      <c r="G11" s="82">
        <v>9155</v>
      </c>
      <c r="H11"/>
      <c r="I11"/>
      <c r="J11"/>
      <c r="K11"/>
      <c r="L11"/>
      <c r="M11"/>
      <c r="N11"/>
      <c r="O11"/>
    </row>
    <row r="12" spans="1:93" ht="15">
      <c r="B12" s="32" t="s">
        <v>522</v>
      </c>
      <c r="C12" s="32"/>
      <c r="D12" s="32"/>
      <c r="E12" s="32"/>
      <c r="F12" s="77">
        <f>SUM(F10:F11)</f>
        <v>14404</v>
      </c>
      <c r="G12" s="77">
        <f>SUM(G10:G11)</f>
        <v>15929</v>
      </c>
      <c r="H12"/>
      <c r="I12"/>
      <c r="J12"/>
      <c r="K12"/>
      <c r="L12"/>
      <c r="M12"/>
      <c r="N12"/>
      <c r="O12"/>
    </row>
    <row r="13" spans="1:93" ht="15">
      <c r="B13" s="3" t="s">
        <v>523</v>
      </c>
      <c r="C13" s="3"/>
      <c r="D13" s="3"/>
      <c r="E13" s="3"/>
      <c r="F13" s="82">
        <v>1791</v>
      </c>
      <c r="G13" s="82">
        <v>2108</v>
      </c>
      <c r="H13"/>
      <c r="I13"/>
      <c r="J13"/>
      <c r="K13"/>
      <c r="L13"/>
      <c r="M13"/>
      <c r="N13"/>
      <c r="O13"/>
    </row>
    <row r="14" spans="1:93" ht="15">
      <c r="B14" s="3" t="s">
        <v>524</v>
      </c>
      <c r="C14" s="3"/>
      <c r="D14" s="3"/>
      <c r="E14" s="3"/>
      <c r="F14" s="82">
        <v>2415</v>
      </c>
      <c r="G14" s="82">
        <v>3160</v>
      </c>
      <c r="H14"/>
      <c r="I14"/>
      <c r="J14"/>
      <c r="K14"/>
      <c r="L14"/>
      <c r="M14"/>
      <c r="N14"/>
      <c r="O14"/>
    </row>
    <row r="15" spans="1:93" ht="15">
      <c r="B15" s="32" t="s">
        <v>525</v>
      </c>
      <c r="C15" s="32"/>
      <c r="D15" s="32"/>
      <c r="E15" s="32"/>
      <c r="F15" s="77">
        <f>SUM(F13:F14)</f>
        <v>4206</v>
      </c>
      <c r="G15" s="77">
        <f>SUM(G13:G14)</f>
        <v>5268</v>
      </c>
      <c r="H15"/>
      <c r="I15"/>
      <c r="J15"/>
      <c r="K15"/>
      <c r="L15"/>
      <c r="M15"/>
      <c r="N15"/>
      <c r="O15"/>
    </row>
    <row r="16" spans="1:93" ht="15" hidden="1">
      <c r="B16" s="3" t="s">
        <v>526</v>
      </c>
      <c r="C16" s="3"/>
      <c r="D16" s="3"/>
      <c r="E16" s="3"/>
      <c r="F16" s="6">
        <f>F12-F15</f>
        <v>10198</v>
      </c>
      <c r="G16" s="6">
        <f>G12-G15</f>
        <v>10661</v>
      </c>
      <c r="H16"/>
      <c r="I16"/>
      <c r="J16"/>
      <c r="K16"/>
      <c r="L16"/>
      <c r="M16"/>
      <c r="N16"/>
      <c r="O16"/>
    </row>
    <row r="17" spans="2:16" ht="15">
      <c r="B17" s="3" t="s">
        <v>527</v>
      </c>
      <c r="C17" s="3"/>
      <c r="D17" s="3"/>
      <c r="E17" s="3"/>
      <c r="F17" s="6">
        <f>F16*F7</f>
        <v>3467.32</v>
      </c>
      <c r="G17" s="6">
        <f t="shared" ref="G17" si="0">G16*G7</f>
        <v>3624.7400000000002</v>
      </c>
      <c r="H17"/>
      <c r="I17"/>
      <c r="J17"/>
      <c r="K17"/>
      <c r="L17"/>
      <c r="M17"/>
      <c r="N17"/>
      <c r="O17"/>
    </row>
    <row r="18" spans="2:16" ht="15">
      <c r="B18" s="3" t="s">
        <v>473</v>
      </c>
      <c r="C18" s="3"/>
      <c r="D18" s="3"/>
      <c r="E18" s="3"/>
      <c r="F18" s="6">
        <f>F19-F17</f>
        <v>-58.320000000000164</v>
      </c>
      <c r="G18" s="6">
        <f>G19-G17</f>
        <v>-65.740000000000236</v>
      </c>
      <c r="H18"/>
      <c r="I18"/>
      <c r="J18"/>
      <c r="K18"/>
      <c r="L18"/>
      <c r="M18"/>
      <c r="N18"/>
      <c r="O18"/>
    </row>
    <row r="19" spans="2:16" ht="15">
      <c r="B19" s="3" t="s">
        <v>528</v>
      </c>
      <c r="C19" s="3"/>
      <c r="D19" s="3"/>
      <c r="E19" s="3"/>
      <c r="F19" s="82">
        <v>3409</v>
      </c>
      <c r="G19" s="82">
        <v>3559</v>
      </c>
      <c r="H19"/>
      <c r="I19"/>
      <c r="J19"/>
      <c r="K19"/>
      <c r="L19"/>
      <c r="M19"/>
      <c r="N19"/>
      <c r="O19"/>
    </row>
    <row r="20" spans="2:16" ht="15">
      <c r="B20" s="650" t="s">
        <v>529</v>
      </c>
      <c r="C20" s="96"/>
      <c r="D20" s="96"/>
      <c r="E20" s="96"/>
      <c r="F20" s="1124"/>
      <c r="G20" s="1124"/>
      <c r="H20"/>
      <c r="I20"/>
      <c r="J20"/>
      <c r="K20"/>
      <c r="L20"/>
      <c r="M20"/>
      <c r="N20"/>
      <c r="O20"/>
    </row>
    <row r="21" spans="2:16" ht="15">
      <c r="B21" s="3" t="s">
        <v>530</v>
      </c>
      <c r="C21" s="3"/>
      <c r="D21" s="3"/>
      <c r="E21" s="3"/>
      <c r="F21" s="82">
        <v>5553</v>
      </c>
      <c r="G21" s="82">
        <v>6003</v>
      </c>
      <c r="H21"/>
      <c r="I21"/>
      <c r="J21"/>
      <c r="K21"/>
      <c r="L21"/>
      <c r="M21"/>
      <c r="N21"/>
      <c r="O21"/>
    </row>
    <row r="22" spans="2:16" ht="15">
      <c r="B22" s="3" t="s">
        <v>531</v>
      </c>
      <c r="C22" s="3"/>
      <c r="D22" s="3"/>
      <c r="E22" s="3"/>
      <c r="F22" s="82">
        <v>1250</v>
      </c>
      <c r="G22" s="82">
        <v>1117</v>
      </c>
      <c r="H22"/>
      <c r="I22"/>
      <c r="J22"/>
      <c r="K22"/>
      <c r="L22"/>
      <c r="M22"/>
      <c r="N22"/>
      <c r="O22"/>
    </row>
    <row r="23" spans="2:16" ht="15">
      <c r="B23" s="3" t="s">
        <v>532</v>
      </c>
      <c r="C23" s="3"/>
      <c r="D23" s="3"/>
      <c r="E23" s="3"/>
      <c r="F23" s="82">
        <v>1269</v>
      </c>
      <c r="G23" s="82">
        <v>1161</v>
      </c>
      <c r="H23"/>
      <c r="I23"/>
      <c r="J23"/>
      <c r="K23"/>
      <c r="L23"/>
      <c r="M23"/>
      <c r="N23"/>
      <c r="O23"/>
    </row>
    <row r="24" spans="2:16" ht="15">
      <c r="B24" s="3"/>
      <c r="C24" s="3"/>
      <c r="D24" s="3"/>
      <c r="E24" s="3"/>
      <c r="F24" s="3"/>
      <c r="G24" s="3"/>
      <c r="H24"/>
      <c r="I24"/>
      <c r="J24"/>
      <c r="K24"/>
      <c r="L24"/>
      <c r="M24"/>
      <c r="N24"/>
      <c r="O24"/>
    </row>
    <row r="25" spans="2:16" ht="13">
      <c r="B25" s="926" t="s">
        <v>533</v>
      </c>
      <c r="C25" s="926"/>
      <c r="D25" s="926"/>
      <c r="E25" s="926"/>
      <c r="F25" s="926"/>
      <c r="G25" s="926"/>
      <c r="H25" s="926"/>
      <c r="I25" s="926"/>
      <c r="J25" s="926"/>
      <c r="K25" s="926"/>
      <c r="L25" s="926"/>
      <c r="M25" s="926"/>
      <c r="N25" s="926"/>
      <c r="O25" s="926"/>
    </row>
    <row r="26" spans="2:16" ht="16" thickBot="1">
      <c r="B26" s="57"/>
      <c r="C26" s="57"/>
      <c r="D26" s="57"/>
      <c r="E26" s="57"/>
      <c r="F26" s="85">
        <v>2022</v>
      </c>
      <c r="G26" s="85">
        <v>2023</v>
      </c>
      <c r="H26"/>
      <c r="I26"/>
      <c r="J26"/>
      <c r="K26"/>
      <c r="L26"/>
      <c r="M26"/>
      <c r="N26"/>
      <c r="O26"/>
    </row>
    <row r="27" spans="2:16" ht="15">
      <c r="B27" s="3" t="s">
        <v>528</v>
      </c>
      <c r="C27" s="3"/>
      <c r="D27" s="3"/>
      <c r="E27" s="3"/>
      <c r="F27" s="1078">
        <v>243</v>
      </c>
      <c r="G27" s="1078">
        <v>270</v>
      </c>
      <c r="H27"/>
      <c r="I27"/>
      <c r="J27"/>
      <c r="K27"/>
      <c r="L27"/>
      <c r="M27"/>
      <c r="N27"/>
      <c r="O27"/>
    </row>
    <row r="28" spans="2:16" ht="13">
      <c r="B28" s="3"/>
      <c r="C28" s="3"/>
      <c r="D28" s="3"/>
      <c r="E28" s="3"/>
      <c r="F28" s="3"/>
      <c r="G28" s="3"/>
      <c r="H28" s="3"/>
      <c r="I28" s="3"/>
      <c r="J28" s="3"/>
      <c r="K28" s="3"/>
      <c r="L28" s="3"/>
      <c r="M28" s="3"/>
      <c r="N28" s="3"/>
      <c r="O28" s="3"/>
      <c r="P28" s="3"/>
    </row>
    <row r="29" spans="2:16" ht="13">
      <c r="B29" s="3"/>
      <c r="C29" s="3"/>
      <c r="D29" s="3"/>
      <c r="E29" s="3"/>
      <c r="F29" s="82"/>
      <c r="G29" s="82"/>
      <c r="H29" s="214" t="str">
        <f>'DCF - Financials'!L7</f>
        <v>Projected Fiscal Years Ending June 31</v>
      </c>
      <c r="I29" s="214"/>
      <c r="J29" s="214"/>
      <c r="K29" s="214"/>
      <c r="L29" s="214"/>
      <c r="M29" s="214"/>
      <c r="N29" s="214"/>
      <c r="O29" s="214"/>
    </row>
    <row r="30" spans="2:16" ht="14" thickBot="1">
      <c r="B30" s="57"/>
      <c r="C30" s="57"/>
      <c r="D30" s="57"/>
      <c r="E30" s="57"/>
      <c r="F30" s="85">
        <v>2022</v>
      </c>
      <c r="G30" s="85">
        <v>2023</v>
      </c>
      <c r="H30" s="85">
        <f>G30+1</f>
        <v>2024</v>
      </c>
      <c r="I30" s="85">
        <f t="shared" ref="I30:O30" si="1">H30+1</f>
        <v>2025</v>
      </c>
      <c r="J30" s="85">
        <f t="shared" si="1"/>
        <v>2026</v>
      </c>
      <c r="K30" s="85">
        <f t="shared" si="1"/>
        <v>2027</v>
      </c>
      <c r="L30" s="85">
        <f t="shared" si="1"/>
        <v>2028</v>
      </c>
      <c r="M30" s="85">
        <f t="shared" si="1"/>
        <v>2029</v>
      </c>
      <c r="N30" s="85">
        <f t="shared" si="1"/>
        <v>2030</v>
      </c>
      <c r="O30" s="85">
        <f t="shared" si="1"/>
        <v>2031</v>
      </c>
    </row>
    <row r="31" spans="2:16" ht="13">
      <c r="B31" s="32" t="s">
        <v>534</v>
      </c>
      <c r="C31" s="32"/>
      <c r="D31" s="32"/>
      <c r="E31" s="32"/>
      <c r="F31" s="77">
        <f>'DCF - Financials'!I136</f>
        <v>3308</v>
      </c>
      <c r="G31" s="77">
        <f>F35</f>
        <v>3652</v>
      </c>
      <c r="H31" s="76">
        <f t="shared" ref="H31:O31" si="2">G35</f>
        <v>3829</v>
      </c>
      <c r="I31" s="76">
        <f t="shared" si="2"/>
        <v>3980</v>
      </c>
      <c r="J31" s="76">
        <f t="shared" si="2"/>
        <v>4131</v>
      </c>
      <c r="K31" s="76">
        <f t="shared" si="2"/>
        <v>4282</v>
      </c>
      <c r="L31" s="76">
        <f t="shared" si="2"/>
        <v>4433</v>
      </c>
      <c r="M31" s="76">
        <f t="shared" si="2"/>
        <v>4584</v>
      </c>
      <c r="N31" s="76">
        <f t="shared" si="2"/>
        <v>4735</v>
      </c>
      <c r="O31" s="76">
        <f t="shared" si="2"/>
        <v>4886</v>
      </c>
    </row>
    <row r="32" spans="2:16" ht="13">
      <c r="B32" s="3" t="s">
        <v>253</v>
      </c>
      <c r="C32" s="3"/>
      <c r="D32" s="3"/>
      <c r="E32" s="3"/>
      <c r="F32" s="6">
        <f>'DCF - Financials'!J31</f>
        <v>417</v>
      </c>
      <c r="G32" s="6">
        <f>'DCF - Financials'!K31</f>
        <v>370</v>
      </c>
      <c r="H32" s="686">
        <f>'DCF - Financials'!L31</f>
        <v>370</v>
      </c>
      <c r="I32" s="686">
        <f>'DCF - Financials'!M31</f>
        <v>370</v>
      </c>
      <c r="J32" s="686">
        <f>'DCF - Financials'!N31</f>
        <v>370</v>
      </c>
      <c r="K32" s="686">
        <f>'DCF - Financials'!O31</f>
        <v>370</v>
      </c>
      <c r="L32" s="686">
        <f>'DCF - Financials'!P31</f>
        <v>370</v>
      </c>
      <c r="M32" s="686">
        <f>'DCF - Financials'!Q31</f>
        <v>370</v>
      </c>
      <c r="N32" s="686">
        <f>'DCF - Financials'!R31</f>
        <v>370</v>
      </c>
      <c r="O32" s="686">
        <f>'DCF - Financials'!S31</f>
        <v>370</v>
      </c>
    </row>
    <row r="33" spans="2:15" ht="13">
      <c r="B33" s="3" t="s">
        <v>270</v>
      </c>
      <c r="C33" s="3"/>
      <c r="D33" s="3"/>
      <c r="E33" s="3"/>
      <c r="F33" s="6">
        <f>-'DCF - Financials'!J62</f>
        <v>-190</v>
      </c>
      <c r="G33" s="6">
        <f>-'DCF - Financials'!K62</f>
        <v>-219</v>
      </c>
      <c r="H33" s="686">
        <f>-'DCF - Financials'!L62</f>
        <v>-219</v>
      </c>
      <c r="I33" s="686">
        <f>-'DCF - Financials'!M62</f>
        <v>-219</v>
      </c>
      <c r="J33" s="686">
        <f>-'DCF - Financials'!N62</f>
        <v>-219</v>
      </c>
      <c r="K33" s="686">
        <f>-'DCF - Financials'!O62</f>
        <v>-219</v>
      </c>
      <c r="L33" s="686">
        <f>-'DCF - Financials'!P62</f>
        <v>-219</v>
      </c>
      <c r="M33" s="686">
        <f>-'DCF - Financials'!Q62</f>
        <v>-219</v>
      </c>
      <c r="N33" s="686">
        <f>-'DCF - Financials'!R62</f>
        <v>-219</v>
      </c>
      <c r="O33" s="686">
        <f>-'DCF - Financials'!S62</f>
        <v>-219</v>
      </c>
    </row>
    <row r="34" spans="2:15" ht="13">
      <c r="B34" s="3" t="s">
        <v>473</v>
      </c>
      <c r="C34" s="3"/>
      <c r="D34" s="3"/>
      <c r="E34" s="3"/>
      <c r="F34" s="6">
        <f>F35-SUM(F31:F33)</f>
        <v>117</v>
      </c>
      <c r="G34" s="6">
        <f>G35-SUM(G31:G33)</f>
        <v>26</v>
      </c>
      <c r="H34" s="686">
        <v>0</v>
      </c>
      <c r="I34" s="686">
        <v>0</v>
      </c>
      <c r="J34" s="686">
        <v>0</v>
      </c>
      <c r="K34" s="686">
        <v>0</v>
      </c>
      <c r="L34" s="686">
        <v>0</v>
      </c>
      <c r="M34" s="686">
        <v>0</v>
      </c>
      <c r="N34" s="686">
        <v>0</v>
      </c>
      <c r="O34" s="686">
        <v>0</v>
      </c>
    </row>
    <row r="35" spans="2:15" ht="13">
      <c r="B35" s="32" t="s">
        <v>535</v>
      </c>
      <c r="C35" s="32"/>
      <c r="D35" s="32"/>
      <c r="E35" s="32"/>
      <c r="F35" s="77">
        <f>'DCF - Financials'!J136</f>
        <v>3652</v>
      </c>
      <c r="G35" s="77">
        <f>'DCF - Financials'!K136</f>
        <v>3829</v>
      </c>
      <c r="H35" s="76">
        <f>SUM(H31:H34)</f>
        <v>3980</v>
      </c>
      <c r="I35" s="76">
        <f t="shared" ref="I35:O35" si="3">SUM(I31:I34)</f>
        <v>4131</v>
      </c>
      <c r="J35" s="76">
        <f t="shared" si="3"/>
        <v>4282</v>
      </c>
      <c r="K35" s="76">
        <f t="shared" si="3"/>
        <v>4433</v>
      </c>
      <c r="L35" s="76">
        <f t="shared" si="3"/>
        <v>4584</v>
      </c>
      <c r="M35" s="76">
        <f t="shared" si="3"/>
        <v>4735</v>
      </c>
      <c r="N35" s="76">
        <f t="shared" si="3"/>
        <v>4886</v>
      </c>
      <c r="O35" s="76">
        <f t="shared" si="3"/>
        <v>5037</v>
      </c>
    </row>
    <row r="36" spans="2:15" ht="15">
      <c r="B36" s="662"/>
      <c r="C36" s="3"/>
      <c r="D36" s="3"/>
      <c r="E36" s="3"/>
      <c r="F36" s="3"/>
      <c r="G36" s="3"/>
      <c r="H36"/>
      <c r="I36"/>
      <c r="J36"/>
      <c r="K36"/>
      <c r="L36"/>
      <c r="M36"/>
      <c r="N36"/>
      <c r="O36"/>
    </row>
    <row r="37" spans="2:15" ht="15" hidden="1">
      <c r="B37" s="662"/>
      <c r="C37" s="3"/>
      <c r="D37" s="3"/>
      <c r="E37" s="3"/>
      <c r="F37" s="3"/>
      <c r="G37" s="3"/>
      <c r="H37"/>
      <c r="I37"/>
      <c r="J37"/>
      <c r="K37"/>
      <c r="L37"/>
      <c r="M37"/>
      <c r="N37"/>
      <c r="O37"/>
    </row>
    <row r="38" spans="2:15" ht="15" hidden="1">
      <c r="H38"/>
      <c r="I38"/>
      <c r="J38"/>
      <c r="K38"/>
      <c r="L38"/>
      <c r="M38"/>
      <c r="N38"/>
      <c r="O38"/>
    </row>
    <row r="39" spans="2:15" ht="15" hidden="1">
      <c r="B39" s="3"/>
      <c r="C39" s="3"/>
      <c r="D39" s="3"/>
      <c r="H39"/>
      <c r="I39"/>
      <c r="J39"/>
      <c r="K39"/>
      <c r="L39"/>
      <c r="M39"/>
      <c r="N39"/>
      <c r="O39"/>
    </row>
    <row r="40" spans="2:15" ht="15" hidden="1">
      <c r="H40"/>
      <c r="I40"/>
      <c r="J40"/>
      <c r="K40"/>
      <c r="L40"/>
      <c r="M40"/>
      <c r="N40"/>
      <c r="O40"/>
    </row>
    <row r="41" spans="2:15" ht="13" hidden="1"/>
    <row r="42" spans="2:15" ht="12.75" hidden="1" customHeight="1"/>
    <row r="43" spans="2:15" ht="12.75" hidden="1" customHeight="1"/>
    <row r="44" spans="2:15" ht="12.75" hidden="1" customHeight="1"/>
    <row r="45" spans="2:15" ht="12.75" hidden="1" customHeight="1"/>
    <row r="46" spans="2:15" ht="12.75" hidden="1" customHeight="1"/>
    <row r="47" spans="2:15" ht="12.75" hidden="1" customHeight="1"/>
    <row r="48" spans="2:15" ht="12.75" hidden="1" customHeight="1"/>
    <row r="49" ht="12.75" hidden="1" customHeight="1"/>
    <row r="50" ht="12.75" hidden="1" customHeight="1"/>
    <row r="51" ht="12.75" hidden="1" customHeight="1"/>
  </sheetData>
  <conditionalFormatting sqref="H29">
    <cfRule type="cellIs" dxfId="53" priority="1" stopIfTrue="1" operator="equal">
      <formula>#REF!</formula>
    </cfRule>
  </conditionalFormatting>
  <conditionalFormatting sqref="P4">
    <cfRule type="cellIs" dxfId="52" priority="2" operator="equal">
      <formula>"Check"</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rgb="FF86654A"/>
  </sheetPr>
  <dimension ref="A1:S25"/>
  <sheetViews>
    <sheetView showGridLines="0" zoomScale="186" zoomScaleNormal="100" workbookViewId="0">
      <selection activeCell="E8" sqref="E8"/>
    </sheetView>
  </sheetViews>
  <sheetFormatPr baseColWidth="10" defaultColWidth="0" defaultRowHeight="11" zeroHeight="1"/>
  <cols>
    <col min="1" max="1" width="1.5" style="3" customWidth="1"/>
    <col min="2" max="2" width="27.5" style="94" customWidth="1"/>
    <col min="3" max="3" width="9.5" style="94" customWidth="1"/>
    <col min="4" max="4" width="8" style="94" customWidth="1"/>
    <col min="5" max="5" width="81.5" style="94" customWidth="1"/>
    <col min="6" max="6" width="3.5" style="94" customWidth="1"/>
    <col min="7" max="16384" width="11.5" style="94" hidden="1"/>
  </cols>
  <sheetData>
    <row r="1" spans="1:19" s="28" customFormat="1" ht="13">
      <c r="A1" s="36"/>
      <c r="B1" s="36" t="str">
        <f>'DCF - Assumptions'!$F$8&amp;" | Discounted Cash Flows - Assumptions Summary"</f>
        <v>Diageo PLC | Discounted Cash Flows - Assumptions Summary</v>
      </c>
      <c r="R1" s="27"/>
      <c r="S1" s="27"/>
    </row>
    <row r="2" spans="1:19" s="32" customFormat="1" ht="2.25" customHeight="1">
      <c r="A2" s="200" t="s">
        <v>536</v>
      </c>
      <c r="R2" s="31"/>
      <c r="S2" s="31"/>
    </row>
    <row r="3" spans="1:19" s="28" customFormat="1" ht="3" customHeight="1">
      <c r="A3" s="199"/>
      <c r="R3" s="27"/>
      <c r="S3" s="27"/>
    </row>
    <row r="4" spans="1:19">
      <c r="A4" s="37"/>
      <c r="B4" s="196"/>
      <c r="C4" s="198"/>
      <c r="D4" s="198"/>
      <c r="E4" s="197"/>
    </row>
    <row r="5" spans="1:19" ht="12">
      <c r="A5" s="37"/>
      <c r="B5" s="926" t="s">
        <v>537</v>
      </c>
      <c r="C5" s="927"/>
      <c r="D5" s="927"/>
      <c r="E5" s="927"/>
      <c r="G5" s="927"/>
      <c r="H5" s="927"/>
      <c r="I5" s="927"/>
      <c r="J5" s="927"/>
      <c r="K5" s="927"/>
      <c r="L5" s="927"/>
      <c r="M5" s="927"/>
      <c r="N5" s="927"/>
      <c r="O5" s="927"/>
      <c r="P5" s="927"/>
      <c r="Q5" s="927"/>
      <c r="R5" s="927"/>
    </row>
    <row r="6" spans="1:19" ht="15" customHeight="1">
      <c r="B6" s="784" t="s">
        <v>538</v>
      </c>
      <c r="C6" s="985" t="s">
        <v>539</v>
      </c>
      <c r="D6" s="986"/>
      <c r="E6" s="986" t="s">
        <v>540</v>
      </c>
    </row>
    <row r="7" spans="1:19" ht="24">
      <c r="A7" s="37"/>
      <c r="B7" s="785" t="s">
        <v>541</v>
      </c>
      <c r="C7" s="206">
        <f>('DCF - Financials'!S11/'DCF - Financials'!K11)^(1/8)-1</f>
        <v>5.8556425731459472E-2</v>
      </c>
      <c r="D7" s="427"/>
      <c r="E7" s="427"/>
    </row>
    <row r="8" spans="1:19" ht="24">
      <c r="B8" s="785" t="s">
        <v>542</v>
      </c>
      <c r="C8" s="206">
        <f>IFERROR(SUM('DCF - Outputs'!M26:T26)/SUM('DCF - Outputs'!M15:T15),0)</f>
        <v>0.35366131191073052</v>
      </c>
      <c r="D8" s="206"/>
      <c r="E8" s="206"/>
    </row>
    <row r="9" spans="1:19" ht="24">
      <c r="B9" s="785" t="s">
        <v>543</v>
      </c>
      <c r="C9" s="206">
        <f>('DCF - Financials'!S49/'DCF - Financials'!L49)^(1/8)-1</f>
        <v>4.25288135726134E-2</v>
      </c>
      <c r="D9" s="427"/>
      <c r="E9" s="427"/>
    </row>
    <row r="10" spans="1:19" ht="24">
      <c r="B10" s="785" t="s">
        <v>544</v>
      </c>
      <c r="C10" s="206">
        <f>IFERROR(SUM('DCF - Outputs'!M26:T26)/SUM('DCF - Outputs'!M15:T15),0)</f>
        <v>0.35366131191073052</v>
      </c>
      <c r="D10" s="206"/>
      <c r="E10" s="206"/>
    </row>
    <row r="11" spans="1:19" ht="24">
      <c r="B11" s="785" t="s">
        <v>545</v>
      </c>
      <c r="C11" s="206">
        <f>IFERROR(-SUM('DCF - Outputs'!M38:T38)/SUM('DCF - Outputs'!M15:T15),0)</f>
        <v>8.6770713162012292E-2</v>
      </c>
      <c r="D11" s="427"/>
      <c r="E11" s="427"/>
    </row>
    <row r="12" spans="1:19">
      <c r="B12" s="196"/>
      <c r="C12" s="196"/>
      <c r="D12" s="196"/>
      <c r="E12" s="786"/>
    </row>
    <row r="13" spans="1:19" ht="12">
      <c r="A13" s="37"/>
      <c r="B13" s="926" t="s">
        <v>546</v>
      </c>
      <c r="C13" s="927"/>
      <c r="D13" s="927"/>
      <c r="E13" s="927"/>
      <c r="G13" s="927"/>
      <c r="H13" s="927"/>
      <c r="I13" s="927"/>
      <c r="J13" s="927"/>
      <c r="K13" s="927"/>
      <c r="L13" s="927"/>
      <c r="M13" s="927"/>
      <c r="N13" s="927"/>
      <c r="O13" s="927"/>
      <c r="P13" s="927"/>
      <c r="Q13" s="927"/>
      <c r="R13" s="927"/>
    </row>
    <row r="14" spans="1:19" ht="15" customHeight="1">
      <c r="B14" s="784" t="s">
        <v>538</v>
      </c>
      <c r="C14" s="985" t="s">
        <v>547</v>
      </c>
      <c r="D14" s="986"/>
      <c r="E14" s="986" t="s">
        <v>540</v>
      </c>
    </row>
    <row r="15" spans="1:19" ht="20.25" customHeight="1">
      <c r="B15" s="785" t="s">
        <v>105</v>
      </c>
      <c r="C15" s="426">
        <f>'DCF - Valuation'!D11</f>
        <v>0.61604769155598604</v>
      </c>
      <c r="D15" s="427"/>
      <c r="E15" s="427"/>
    </row>
    <row r="16" spans="1:19" ht="20.25" customHeight="1">
      <c r="B16" s="787" t="s">
        <v>548</v>
      </c>
      <c r="C16" s="206">
        <f>'DCF - Valuation'!D8</f>
        <v>4.0500000000000001E-2</v>
      </c>
      <c r="D16" s="427"/>
      <c r="E16" s="427"/>
    </row>
    <row r="17" spans="1:5" ht="20.25" customHeight="1">
      <c r="B17" s="788" t="s">
        <v>549</v>
      </c>
      <c r="C17" s="206">
        <f>'DCF - Valuation'!D13</f>
        <v>5.2062374245472803E-2</v>
      </c>
      <c r="D17" s="427"/>
      <c r="E17" s="427"/>
    </row>
    <row r="18" spans="1:5" ht="20.25" customHeight="1">
      <c r="B18" s="789" t="s">
        <v>550</v>
      </c>
      <c r="C18" s="790">
        <f>'DCF - Valuation'!S8</f>
        <v>13.669403978055193</v>
      </c>
      <c r="D18" s="791"/>
      <c r="E18" s="791"/>
    </row>
    <row r="19" spans="1:5" ht="20.25" customHeight="1">
      <c r="A19" s="37"/>
      <c r="B19" s="1291"/>
      <c r="C19" s="1292"/>
      <c r="D19" s="1292"/>
      <c r="E19" s="1293"/>
    </row>
    <row r="20" spans="1:5" ht="20.25" hidden="1" customHeight="1"/>
    <row r="21" spans="1:5" ht="20.25" hidden="1" customHeight="1"/>
    <row r="22" spans="1:5" ht="20.25" hidden="1" customHeight="1"/>
    <row r="23" spans="1:5" ht="20.25" hidden="1" customHeight="1"/>
    <row r="24" spans="1:5" ht="20.25" hidden="1" customHeight="1"/>
    <row r="25" spans="1:5" ht="20.25" hidden="1" customHeight="1"/>
  </sheetData>
  <conditionalFormatting sqref="R1:S1">
    <cfRule type="cellIs" dxfId="51" priority="1" operator="equal">
      <formula>"Check"</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D347F-02CF-433C-8C6E-C46DAA6DF475}">
  <sheetPr>
    <tabColor theme="8" tint="-0.499984740745262"/>
  </sheetPr>
  <dimension ref="A1:AJ341"/>
  <sheetViews>
    <sheetView showGridLines="0" topLeftCell="A49" zoomScale="156" zoomScaleNormal="156" workbookViewId="0">
      <selection activeCell="G68" sqref="G68"/>
    </sheetView>
  </sheetViews>
  <sheetFormatPr baseColWidth="10" defaultColWidth="0" defaultRowHeight="11" zeroHeight="1"/>
  <cols>
    <col min="1" max="1" width="2.5" style="3" customWidth="1"/>
    <col min="2" max="2" width="30.5" style="3" customWidth="1"/>
    <col min="3" max="3" width="1.1640625" style="3" customWidth="1"/>
    <col min="4" max="7" width="10.5" style="3" customWidth="1"/>
    <col min="8" max="8" width="2.5" style="6" customWidth="1"/>
    <col min="9" max="14" width="0" style="3" hidden="1" customWidth="1"/>
    <col min="15" max="34" width="9.1640625" style="3" hidden="1" customWidth="1"/>
    <col min="35" max="35" width="96.83203125" style="3" customWidth="1"/>
    <col min="36" max="36" width="3.1640625" style="3" customWidth="1"/>
    <col min="37" max="16384" width="9.1640625" style="3" hidden="1"/>
  </cols>
  <sheetData>
    <row r="1" spans="1:35" s="28" customFormat="1" ht="13">
      <c r="A1" s="818"/>
      <c r="B1" s="818" t="str">
        <f>'DCF - Assumptions'!F8&amp;" | Trading Comparables - Selection"</f>
        <v>Diageo PLC | Trading Comparables - Selection</v>
      </c>
      <c r="H1" s="421"/>
    </row>
    <row r="2" spans="1:35" ht="16">
      <c r="A2" s="117"/>
      <c r="F2" s="2"/>
      <c r="G2" s="2"/>
      <c r="H2" s="2"/>
      <c r="I2" s="2"/>
      <c r="J2" s="2"/>
      <c r="K2" s="2"/>
    </row>
    <row r="3" spans="1:35" s="419" customFormat="1" ht="16">
      <c r="A3" s="211" t="s">
        <v>791</v>
      </c>
      <c r="B3" s="928" t="s">
        <v>125</v>
      </c>
      <c r="C3" s="929"/>
      <c r="D3" s="930" t="s">
        <v>792</v>
      </c>
      <c r="E3" s="931" t="s">
        <v>793</v>
      </c>
      <c r="F3" s="930" t="s">
        <v>655</v>
      </c>
      <c r="G3" s="932" t="s">
        <v>793</v>
      </c>
      <c r="H3" s="2"/>
      <c r="I3" s="2"/>
      <c r="AI3" s="936" t="s">
        <v>794</v>
      </c>
    </row>
    <row r="4" spans="1:35" s="419" customFormat="1" ht="16">
      <c r="A4" s="211"/>
      <c r="B4" s="933"/>
      <c r="C4" s="934"/>
      <c r="D4" s="934" t="str">
        <f>'Comps - Dataset'!AF$6</f>
        <v>NTM</v>
      </c>
      <c r="E4" s="934" t="s">
        <v>795</v>
      </c>
      <c r="F4" s="934" t="str">
        <f>'Comps - Dataset'!AJ$6</f>
        <v>NTM</v>
      </c>
      <c r="G4" s="935" t="s">
        <v>795</v>
      </c>
      <c r="H4" s="2"/>
      <c r="AI4" s="935"/>
    </row>
    <row r="5" spans="1:35" ht="13">
      <c r="B5" s="1" t="s">
        <v>796</v>
      </c>
      <c r="G5" s="851"/>
      <c r="H5" s="2"/>
    </row>
    <row r="6" spans="1:35" ht="13">
      <c r="B6" s="836" t="s">
        <v>797</v>
      </c>
      <c r="G6" s="851"/>
      <c r="H6" s="2"/>
    </row>
    <row r="7" spans="1:35" ht="13">
      <c r="B7" s="836"/>
      <c r="G7" s="851"/>
      <c r="H7" s="2"/>
    </row>
    <row r="8" spans="1:35" ht="13">
      <c r="B8" s="837" t="str">
        <f>'Comps - Outputs'!B6</f>
        <v>Wines &amp; Spirits</v>
      </c>
      <c r="D8" s="262"/>
      <c r="E8" s="262"/>
      <c r="F8" s="262"/>
      <c r="G8" s="866"/>
      <c r="H8" s="2"/>
    </row>
    <row r="9" spans="1:35" ht="13">
      <c r="B9" s="838"/>
      <c r="C9" s="74"/>
      <c r="D9" s="841"/>
      <c r="E9" s="841"/>
      <c r="F9" s="841"/>
      <c r="G9" s="867"/>
      <c r="H9" s="2"/>
    </row>
    <row r="10" spans="1:35" ht="13">
      <c r="B10" s="842" t="str">
        <f>'Comps - Outputs'!B8</f>
        <v>Kweichow Moutai Co., Ltd.</v>
      </c>
      <c r="D10" s="843">
        <f>IFERROR(E10*VLOOKUP($B10,'Comps - Dataset'!$B$5:$AT$45,'Comps - Selection'!D$70,0),"NA")</f>
        <v>0</v>
      </c>
      <c r="E10" s="1300">
        <v>0</v>
      </c>
      <c r="F10" s="843">
        <f>IFERROR(G10*VLOOKUP($B10,'Comps - Dataset'!$B$5:$AT$45,'Comps - Selection'!F$70,0),"NA")</f>
        <v>0</v>
      </c>
      <c r="G10" s="1301">
        <v>0</v>
      </c>
      <c r="H10" s="2"/>
      <c r="AI10" s="3" t="s">
        <v>996</v>
      </c>
    </row>
    <row r="11" spans="1:35" ht="13">
      <c r="B11" s="842" t="str">
        <f>'Comps - Outputs'!B9</f>
        <v>Wuliangye Yibin Co.,Ltd.</v>
      </c>
      <c r="D11" s="843">
        <f>IFERROR(E11*VLOOKUP($B11,'Comps - Dataset'!$B$5:$AT$45,'Comps - Selection'!D$70,0),"NA")</f>
        <v>5.0758698125802226</v>
      </c>
      <c r="E11" s="1300">
        <v>1</v>
      </c>
      <c r="F11" s="843">
        <f>IFERROR(G11*VLOOKUP($B11,'Comps - Dataset'!$B$5:$AT$45,'Comps - Selection'!F$70,0),"NA")</f>
        <v>10.245678921576461</v>
      </c>
      <c r="G11" s="1301">
        <v>1</v>
      </c>
      <c r="H11" s="2"/>
      <c r="AI11" s="3" t="s">
        <v>998</v>
      </c>
    </row>
    <row r="12" spans="1:35" ht="13">
      <c r="B12" s="842" t="str">
        <f>'Comps - Outputs'!B10</f>
        <v>Pernod Ricard SA</v>
      </c>
      <c r="D12" s="843">
        <f>IFERROR(E12*VLOOKUP($B12,'Comps - Dataset'!$B$5:$AT$45,'Comps - Selection'!D$70,0),"NA")</f>
        <v>4.1125849805652814</v>
      </c>
      <c r="E12" s="1300">
        <v>1</v>
      </c>
      <c r="F12" s="843">
        <f>IFERROR(G12*VLOOKUP($B12,'Comps - Dataset'!$B$5:$AT$45,'Comps - Selection'!F$70,0),"NA")</f>
        <v>13.203764739478601</v>
      </c>
      <c r="G12" s="1301">
        <v>1</v>
      </c>
      <c r="H12" s="2"/>
      <c r="AI12" s="3" t="s">
        <v>997</v>
      </c>
    </row>
    <row r="13" spans="1:35" ht="13">
      <c r="B13" s="842" t="str">
        <f>'Comps - Outputs'!B11</f>
        <v>Jiangsu Yanghe Brewery Joint-Stock Co., Ltd.</v>
      </c>
      <c r="D13" s="843">
        <f>IFERROR(E13*VLOOKUP($B13,'Comps - Dataset'!$B$5:$AT$45,'Comps - Selection'!D$70,0),"NA")</f>
        <v>3.5977402443506112</v>
      </c>
      <c r="E13" s="1300">
        <v>1</v>
      </c>
      <c r="F13" s="843">
        <f>IFERROR(G13*VLOOKUP($B13,'Comps - Dataset'!$B$5:$AT$45,'Comps - Selection'!F$70,0),"NA")</f>
        <v>8.5799308701154118</v>
      </c>
      <c r="G13" s="1301">
        <v>1</v>
      </c>
      <c r="H13" s="2"/>
      <c r="AI13" s="3" t="s">
        <v>999</v>
      </c>
    </row>
    <row r="14" spans="1:35" ht="13">
      <c r="B14" s="842" t="str">
        <f>'Comps - Outputs'!B12</f>
        <v>Brown-Forman Corporation</v>
      </c>
      <c r="D14" s="843">
        <f>IFERROR(E14*VLOOKUP($B14,'Comps - Dataset'!$B$5:$AT$45,'Comps - Selection'!D$70,0),"NA")</f>
        <v>6.6270322737199709</v>
      </c>
      <c r="E14" s="1300">
        <v>1</v>
      </c>
      <c r="F14" s="843">
        <f>IFERROR(G14*VLOOKUP($B14,'Comps - Dataset'!$B$5:$AT$45,'Comps - Selection'!F$70,0),"NA")</f>
        <v>19.47230588799744</v>
      </c>
      <c r="G14" s="1301">
        <v>1</v>
      </c>
      <c r="H14" s="2"/>
      <c r="AI14" s="3" t="s">
        <v>1000</v>
      </c>
    </row>
    <row r="15" spans="1:35" ht="13">
      <c r="B15" s="842" t="str">
        <f>'Comps - Outputs'!B13</f>
        <v>Davide Campari-Milano N.V.</v>
      </c>
      <c r="D15" s="843">
        <f>IFERROR(E15*VLOOKUP($B15,'Comps - Dataset'!$B$5:$AT$45,'Comps - Selection'!D$70,0),"NA")</f>
        <v>4.2461983853397198</v>
      </c>
      <c r="E15" s="1300">
        <v>1</v>
      </c>
      <c r="F15" s="843">
        <f>IFERROR(G15*VLOOKUP($B15,'Comps - Dataset'!$B$5:$AT$45,'Comps - Selection'!F$70,0),"NA")</f>
        <v>16.876349315555981</v>
      </c>
      <c r="G15" s="1301">
        <v>1</v>
      </c>
      <c r="H15" s="2"/>
      <c r="AI15" s="3" t="s">
        <v>1001</v>
      </c>
    </row>
    <row r="16" spans="1:35" ht="13">
      <c r="B16" s="842" t="str">
        <f>'Comps - Outputs'!B14</f>
        <v>Rémy Cointreau SA</v>
      </c>
      <c r="D16" s="843">
        <f>IFERROR(E16*VLOOKUP($B16,'Comps - Dataset'!$B$5:$AT$45,'Comps - Selection'!D$70,0),"NA")</f>
        <v>4.6861399216161788</v>
      </c>
      <c r="E16" s="1300">
        <v>1</v>
      </c>
      <c r="F16" s="843">
        <f>IFERROR(G16*VLOOKUP($B16,'Comps - Dataset'!$B$5:$AT$45,'Comps - Selection'!F$70,0),"NA")</f>
        <v>15.599711677078327</v>
      </c>
      <c r="G16" s="1301">
        <v>1</v>
      </c>
      <c r="H16" s="2"/>
      <c r="AI16" s="3" t="s">
        <v>1002</v>
      </c>
    </row>
    <row r="17" spans="1:35" ht="13">
      <c r="B17" s="842" t="str">
        <f>'Comps - Outputs'!B15</f>
        <v>Becle, S.A.B. de C.V.</v>
      </c>
      <c r="D17" s="843">
        <f>IFERROR(E17*VLOOKUP($B17,'Comps - Dataset'!$B$5:$AT$45,'Comps - Selection'!D$70,0),"NA")</f>
        <v>2.8088155172475191</v>
      </c>
      <c r="E17" s="1300">
        <v>1</v>
      </c>
      <c r="F17" s="843">
        <f>IFERROR(G17*VLOOKUP($B17,'Comps - Dataset'!$B$5:$AT$45,'Comps - Selection'!F$70,0),"NA")</f>
        <v>13.9852130281378</v>
      </c>
      <c r="G17" s="1301">
        <v>1</v>
      </c>
      <c r="H17" s="2"/>
      <c r="AI17" s="3" t="s">
        <v>1003</v>
      </c>
    </row>
    <row r="18" spans="1:35" ht="13">
      <c r="B18" s="842" t="str">
        <f>'Comps - Outputs'!B16</f>
        <v>Emperador Inc.</v>
      </c>
      <c r="D18" s="843">
        <f>IFERROR(E18*VLOOKUP($B18,'Comps - Dataset'!$B$5:$AT$45,'Comps - Selection'!D$70,0),"NA")</f>
        <v>4.7039773072022335</v>
      </c>
      <c r="E18" s="1300">
        <v>1</v>
      </c>
      <c r="F18" s="843">
        <f>IFERROR(G18*VLOOKUP($B18,'Comps - Dataset'!$B$5:$AT$45,'Comps - Selection'!F$70,0),"NA")</f>
        <v>20.506877397169692</v>
      </c>
      <c r="G18" s="1301">
        <v>1</v>
      </c>
      <c r="H18" s="2"/>
      <c r="AI18" s="3" t="s">
        <v>1004</v>
      </c>
    </row>
    <row r="19" spans="1:35" ht="13">
      <c r="B19" s="842" t="str">
        <f>'Comps - Outputs'!B17</f>
        <v>Treasury Wine Estates Limited</v>
      </c>
      <c r="D19" s="843">
        <f>IFERROR(E19*VLOOKUP($B19,'Comps - Dataset'!$B$5:$AT$45,'Comps - Selection'!D$70,0),"NA")</f>
        <v>0</v>
      </c>
      <c r="E19" s="1300">
        <v>0</v>
      </c>
      <c r="F19" s="843">
        <f>IFERROR(G19*VLOOKUP($B19,'Comps - Dataset'!$B$5:$AT$45,'Comps - Selection'!F$70,0),"NA")</f>
        <v>0</v>
      </c>
      <c r="G19" s="1301">
        <v>0</v>
      </c>
      <c r="H19" s="2"/>
      <c r="AI19" s="3" t="s">
        <v>1005</v>
      </c>
    </row>
    <row r="20" spans="1:35" ht="13">
      <c r="B20" s="844"/>
      <c r="D20" s="843"/>
      <c r="E20" s="843"/>
      <c r="F20" s="843"/>
      <c r="G20" s="868"/>
      <c r="H20" s="2"/>
    </row>
    <row r="21" spans="1:35" ht="13">
      <c r="B21" s="845" t="s">
        <v>798</v>
      </c>
      <c r="C21" s="846"/>
      <c r="D21" s="848">
        <f>AVERAGEIF(E10:E19,1,D10:D19)</f>
        <v>4.482294805327717</v>
      </c>
      <c r="E21" s="848"/>
      <c r="F21" s="848">
        <f>AVERAGEIF(G10:G19,1,F10:F19)</f>
        <v>14.808728979638715</v>
      </c>
      <c r="G21" s="869"/>
      <c r="H21" s="2"/>
    </row>
    <row r="22" spans="1:35" ht="13">
      <c r="A22" s="420"/>
      <c r="B22" s="850"/>
      <c r="G22" s="851"/>
      <c r="H22" s="2"/>
      <c r="I22" s="420"/>
      <c r="J22" s="420"/>
      <c r="K22" s="420"/>
    </row>
    <row r="23" spans="1:35" ht="13">
      <c r="B23" s="837" t="str">
        <f>'Comps - Outputs'!B21</f>
        <v>Beer</v>
      </c>
      <c r="D23" s="262"/>
      <c r="E23" s="262"/>
      <c r="F23" s="262"/>
      <c r="G23" s="866"/>
      <c r="H23" s="2"/>
    </row>
    <row r="24" spans="1:35" ht="13">
      <c r="B24" s="838"/>
      <c r="C24" s="74"/>
      <c r="D24" s="841"/>
      <c r="E24" s="841"/>
      <c r="F24" s="841"/>
      <c r="G24" s="867"/>
      <c r="H24" s="2"/>
    </row>
    <row r="25" spans="1:35" ht="13">
      <c r="B25" s="842" t="str">
        <f>'Comps - Outputs'!B23</f>
        <v>China Resources Beer</v>
      </c>
      <c r="D25" s="843">
        <f>IFERROR(E25*VLOOKUP($B25,'Comps - Dataset'!$B$5:$AT$45,'Comps - Selection'!D$70,0),"NA")</f>
        <v>0</v>
      </c>
      <c r="E25" s="1300">
        <v>0</v>
      </c>
      <c r="F25" s="907">
        <f>IFERROR(G25*VLOOKUP($B25,'Comps - Dataset'!$B$5:$AT$45,'Comps - Selection'!F$70,0),"NA")</f>
        <v>0</v>
      </c>
      <c r="G25" s="1301">
        <v>0</v>
      </c>
      <c r="H25" s="2"/>
      <c r="AI25" s="3" t="s">
        <v>1006</v>
      </c>
    </row>
    <row r="26" spans="1:35" ht="13">
      <c r="B26" s="842" t="str">
        <f>'Comps - Outputs'!B24</f>
        <v>Molson Coors Beverage Company</v>
      </c>
      <c r="D26" s="843">
        <f>IFERROR(E26*VLOOKUP($B26,'Comps - Dataset'!$B$5:$AT$45,'Comps - Selection'!D$70,0),"NA")</f>
        <v>1.6562973070936653</v>
      </c>
      <c r="E26" s="1300">
        <v>1</v>
      </c>
      <c r="F26" s="907">
        <f>IFERROR(G26*VLOOKUP($B26,'Comps - Dataset'!$B$5:$AT$45,'Comps - Selection'!F$70,0),"NA")</f>
        <v>8.3300091361805624</v>
      </c>
      <c r="G26" s="1301">
        <v>1</v>
      </c>
      <c r="H26" s="2"/>
    </row>
    <row r="27" spans="1:35" ht="13">
      <c r="B27" s="842" t="str">
        <f>'Comps - Outputs'!B25</f>
        <v>Carlsberg A/S</v>
      </c>
      <c r="D27" s="843">
        <f>IFERROR(E27*VLOOKUP($B27,'Comps - Dataset'!$B$5:$AT$45,'Comps - Selection'!D$70,0),"NA")</f>
        <v>1.9317641106291958</v>
      </c>
      <c r="E27" s="1300">
        <v>1</v>
      </c>
      <c r="F27" s="907">
        <f>IFERROR(G27*VLOOKUP($B27,'Comps - Dataset'!$B$5:$AT$45,'Comps - Selection'!F$70,0),"NA")</f>
        <v>9.032313164828313</v>
      </c>
      <c r="G27" s="1301">
        <v>1</v>
      </c>
      <c r="H27" s="2"/>
    </row>
    <row r="28" spans="1:35" ht="13">
      <c r="B28" s="842" t="str">
        <f>'Comps - Outputs'!B26</f>
        <v>The Boston Beer Company, Inc.</v>
      </c>
      <c r="D28" s="843">
        <f>IFERROR(E28*VLOOKUP($B28,'Comps - Dataset'!$B$5:$AT$45,'Comps - Selection'!D$70,0),"NA")</f>
        <v>0</v>
      </c>
      <c r="E28" s="1300">
        <v>0</v>
      </c>
      <c r="F28" s="907">
        <f>IFERROR(G28*VLOOKUP($B28,'Comps - Dataset'!$B$5:$AT$45,'Comps - Selection'!F$70,0),"NA")</f>
        <v>0</v>
      </c>
      <c r="G28" s="1301">
        <v>0</v>
      </c>
      <c r="H28" s="2"/>
      <c r="AI28" s="3" t="s">
        <v>1007</v>
      </c>
    </row>
    <row r="29" spans="1:35" ht="13">
      <c r="B29" s="842" t="str">
        <f>'Comps - Outputs'!B27</f>
        <v>Heineken N.V.</v>
      </c>
      <c r="D29" s="843">
        <f>IFERROR(E29*VLOOKUP($B29,'Comps - Dataset'!$B$5:$AT$45,'Comps - Selection'!D$70,0),"NA")</f>
        <v>0</v>
      </c>
      <c r="E29" s="1300">
        <v>0</v>
      </c>
      <c r="F29" s="907">
        <f>IFERROR(G29*VLOOKUP($B29,'Comps - Dataset'!$B$5:$AT$45,'Comps - Selection'!F$70,0),"NA")</f>
        <v>0</v>
      </c>
      <c r="G29" s="1301">
        <v>0</v>
      </c>
      <c r="H29" s="2"/>
      <c r="AI29" s="3" t="s">
        <v>1008</v>
      </c>
    </row>
    <row r="30" spans="1:35" ht="13">
      <c r="B30" s="842" t="str">
        <f>'Comps - Outputs'!B28</f>
        <v>Tsingtao Brewery Company Limited</v>
      </c>
      <c r="D30" s="843">
        <f>IFERROR(E30*VLOOKUP($B30,'Comps - Dataset'!$B$5:$AT$45,'Comps - Selection'!D$70,0),"NA")</f>
        <v>0</v>
      </c>
      <c r="E30" s="1300">
        <v>0</v>
      </c>
      <c r="F30" s="907">
        <f>IFERROR(G30*VLOOKUP($B30,'Comps - Dataset'!$B$5:$AT$45,'Comps - Selection'!F$70,0),"NA")</f>
        <v>0</v>
      </c>
      <c r="G30" s="1301">
        <v>0</v>
      </c>
      <c r="H30" s="2"/>
      <c r="AI30" s="3" t="s">
        <v>1009</v>
      </c>
    </row>
    <row r="31" spans="1:35" ht="13">
      <c r="B31" s="842" t="str">
        <f>'Comps - Outputs'!B29</f>
        <v>Anheuser-Busch InBev SA/NV</v>
      </c>
      <c r="D31" s="843">
        <f>IFERROR(E31*VLOOKUP($B31,'Comps - Dataset'!$B$5:$AT$45,'Comps - Selection'!D$70,0),"NA")</f>
        <v>0</v>
      </c>
      <c r="E31" s="1300">
        <v>0</v>
      </c>
      <c r="F31" s="907">
        <f>IFERROR(G31*VLOOKUP($B31,'Comps - Dataset'!$B$5:$AT$45,'Comps - Selection'!F$70,0),"NA")</f>
        <v>0</v>
      </c>
      <c r="G31" s="1301">
        <v>0</v>
      </c>
      <c r="H31" s="2"/>
      <c r="AI31" s="3" t="s">
        <v>1010</v>
      </c>
    </row>
    <row r="32" spans="1:35" ht="13">
      <c r="B32" s="842" t="str">
        <f>'Comps - Outputs'!B30</f>
        <v>Budweiser Brewing Company APAC Limited</v>
      </c>
      <c r="D32" s="843">
        <f>IFERROR(E32*VLOOKUP($B32,'Comps - Dataset'!$B$5:$AT$45,'Comps - Selection'!D$70,0),"NA")</f>
        <v>0</v>
      </c>
      <c r="E32" s="1300">
        <v>0</v>
      </c>
      <c r="F32" s="907">
        <f>IFERROR(G32*VLOOKUP($B32,'Comps - Dataset'!$B$5:$AT$45,'Comps - Selection'!F$70,0),"NA")</f>
        <v>0</v>
      </c>
      <c r="G32" s="1301">
        <v>0</v>
      </c>
      <c r="H32" s="2"/>
      <c r="AI32" s="3" t="s">
        <v>1011</v>
      </c>
    </row>
    <row r="33" spans="1:35" ht="13">
      <c r="B33" s="842" t="str">
        <f>'Comps - Outputs'!B31</f>
        <v>Ambev S.A.</v>
      </c>
      <c r="D33" s="843">
        <f>IFERROR(E33*VLOOKUP($B33,'Comps - Dataset'!$B$5:$AT$45,'Comps - Selection'!D$70,0),"NA")</f>
        <v>0</v>
      </c>
      <c r="E33" s="1300">
        <v>0</v>
      </c>
      <c r="F33" s="907">
        <f>IFERROR(G33*VLOOKUP($B33,'Comps - Dataset'!$B$5:$AT$45,'Comps - Selection'!F$70,0),"NA")</f>
        <v>0</v>
      </c>
      <c r="G33" s="1301">
        <v>0</v>
      </c>
      <c r="H33" s="2"/>
      <c r="AI33" s="3" t="s">
        <v>1012</v>
      </c>
    </row>
    <row r="34" spans="1:35" ht="13">
      <c r="B34" s="842" t="str">
        <f>'Comps - Outputs'!B32</f>
        <v>Kirin Holdings Company, Limited</v>
      </c>
      <c r="D34" s="843">
        <f>IFERROR(E34*VLOOKUP($B34,'Comps - Dataset'!$B$5:$AT$45,'Comps - Selection'!D$70,0),"NA")</f>
        <v>0</v>
      </c>
      <c r="E34" s="1300">
        <v>0</v>
      </c>
      <c r="F34" s="907">
        <f>IFERROR(G34*VLOOKUP($B34,'Comps - Dataset'!$B$5:$AT$45,'Comps - Selection'!F$70,0),"NA")</f>
        <v>0</v>
      </c>
      <c r="G34" s="1301">
        <v>0</v>
      </c>
      <c r="H34" s="2"/>
      <c r="AI34" s="3" t="s">
        <v>1013</v>
      </c>
    </row>
    <row r="35" spans="1:35" ht="13">
      <c r="B35" s="842" t="str">
        <f>'Comps - Outputs'!B33</f>
        <v>Sapporo Holdings Limited</v>
      </c>
      <c r="D35" s="843">
        <f>IFERROR(E35*VLOOKUP($B35,'Comps - Dataset'!$B$5:$AT$45,'Comps - Selection'!D$70,0),"NA")</f>
        <v>0</v>
      </c>
      <c r="E35" s="1300">
        <v>0</v>
      </c>
      <c r="F35" s="907">
        <f>IFERROR(G35*VLOOKUP($B35,'Comps - Dataset'!$B$5:$AT$45,'Comps - Selection'!F$70,0),"NA")</f>
        <v>0</v>
      </c>
      <c r="G35" s="1301">
        <v>0</v>
      </c>
      <c r="H35" s="2"/>
      <c r="AI35" s="3" t="s">
        <v>1014</v>
      </c>
    </row>
    <row r="36" spans="1:35" ht="13">
      <c r="B36" s="842" t="str">
        <f>'Comps - Outputs'!B34</f>
        <v>Asahi Group Holdings, Ltd.</v>
      </c>
      <c r="D36" s="843">
        <f>IFERROR(E36*VLOOKUP($B36,'Comps - Dataset'!$B$5:$AT$45,'Comps - Selection'!D$70,0),"NA")</f>
        <v>0</v>
      </c>
      <c r="E36" s="1300">
        <v>0</v>
      </c>
      <c r="F36" s="907">
        <f>IFERROR(G36*VLOOKUP($B36,'Comps - Dataset'!$B$5:$AT$45,'Comps - Selection'!F$70,0),"NA")</f>
        <v>0</v>
      </c>
      <c r="G36" s="1301">
        <v>0</v>
      </c>
      <c r="H36" s="2"/>
      <c r="AI36" s="3" t="s">
        <v>1015</v>
      </c>
    </row>
    <row r="37" spans="1:35" ht="13">
      <c r="B37" s="844" t="s">
        <v>799</v>
      </c>
      <c r="D37" s="843"/>
      <c r="E37" s="843"/>
      <c r="F37" s="843"/>
      <c r="G37" s="868"/>
      <c r="H37" s="2"/>
    </row>
    <row r="38" spans="1:35" ht="13">
      <c r="B38" s="845" t="s">
        <v>798</v>
      </c>
      <c r="C38" s="846"/>
      <c r="D38" s="908">
        <f>AVERAGEIF(E25:E36,1,D25:D36)</f>
        <v>1.7940307088614307</v>
      </c>
      <c r="E38" s="908"/>
      <c r="F38" s="908">
        <f>AVERAGEIF(G25:G36,1,F25:F36)</f>
        <v>8.6811611505044368</v>
      </c>
      <c r="G38" s="869"/>
      <c r="H38" s="2"/>
    </row>
    <row r="39" spans="1:35" ht="13">
      <c r="A39" s="420"/>
      <c r="B39" s="850"/>
      <c r="G39" s="851"/>
      <c r="H39" s="2"/>
      <c r="I39" s="420"/>
      <c r="J39" s="420"/>
      <c r="K39" s="420"/>
    </row>
    <row r="40" spans="1:35" ht="13">
      <c r="B40" s="837" t="str">
        <f>'Comps - Outputs'!B38</f>
        <v>Mixed Offering</v>
      </c>
      <c r="D40" s="262"/>
      <c r="E40" s="262"/>
      <c r="F40" s="262"/>
      <c r="G40" s="866"/>
      <c r="H40" s="2"/>
    </row>
    <row r="41" spans="1:35" ht="13">
      <c r="B41" s="838"/>
      <c r="C41" s="74"/>
      <c r="D41" s="841"/>
      <c r="E41" s="841"/>
      <c r="F41" s="841"/>
      <c r="G41" s="867"/>
      <c r="H41" s="2"/>
    </row>
    <row r="42" spans="1:35" ht="13">
      <c r="B42" s="842" t="str">
        <f>'Comps - Outputs'!B40</f>
        <v>Constellation Brands, Inc.</v>
      </c>
      <c r="D42" s="843">
        <f>IFERROR(E42*VLOOKUP($B42,'Comps - Dataset'!$B$5:$AT$45,'Comps - Selection'!D$70,0),"NA")</f>
        <v>5.2728316563697462</v>
      </c>
      <c r="E42" s="1300">
        <v>1</v>
      </c>
      <c r="F42" s="843">
        <f>IFERROR(G42*VLOOKUP($B42,'Comps - Dataset'!$B$5:$AT$45,'Comps - Selection'!F$70,0),"NA")</f>
        <v>14.531289620488547</v>
      </c>
      <c r="G42" s="1301">
        <v>1</v>
      </c>
      <c r="H42" s="2"/>
      <c r="AI42" s="3" t="s">
        <v>1016</v>
      </c>
    </row>
    <row r="43" spans="1:35" ht="13">
      <c r="B43" s="842" t="str">
        <f>'Comps - Outputs'!B41</f>
        <v>Thai Beverage Public Company Limited</v>
      </c>
      <c r="D43" s="843">
        <f>IFERROR(E43*VLOOKUP($B43,'Comps - Dataset'!$B$5:$AT$45,'Comps - Selection'!D$70,0),"NA")</f>
        <v>0</v>
      </c>
      <c r="E43" s="1300">
        <v>0</v>
      </c>
      <c r="F43" s="843">
        <f>IFERROR(G43*VLOOKUP($B43,'Comps - Dataset'!$B$5:$AT$45,'Comps - Selection'!F$70,0),"NA")</f>
        <v>0</v>
      </c>
      <c r="G43" s="1301">
        <v>0</v>
      </c>
      <c r="H43" s="2"/>
      <c r="AI43" s="3" t="s">
        <v>1017</v>
      </c>
    </row>
    <row r="44" spans="1:35" ht="13">
      <c r="B44" s="842" t="str">
        <f>'Comps - Outputs'!B42</f>
        <v>Royal Unibrew A/S</v>
      </c>
      <c r="D44" s="843">
        <f>IFERROR(E44*VLOOKUP($B44,'Comps - Dataset'!$B$5:$AT$45,'Comps - Selection'!D$70,0),"NA")</f>
        <v>0</v>
      </c>
      <c r="E44" s="1300">
        <v>0</v>
      </c>
      <c r="F44" s="843">
        <f>IFERROR(G44*VLOOKUP($B44,'Comps - Dataset'!$B$5:$AT$45,'Comps - Selection'!F$70,0),"NA")</f>
        <v>0</v>
      </c>
      <c r="G44" s="1301">
        <v>0</v>
      </c>
      <c r="H44" s="2"/>
      <c r="AI44" s="3" t="s">
        <v>1019</v>
      </c>
    </row>
    <row r="45" spans="1:35" ht="13">
      <c r="B45" s="842" t="str">
        <f>'Comps - Outputs'!B43</f>
        <v>HiteJinro Co., Ltd.</v>
      </c>
      <c r="D45" s="843">
        <f>IFERROR(E45*VLOOKUP($B45,'Comps - Dataset'!$B$5:$AT$45,'Comps - Selection'!D$70,0),"NA")</f>
        <v>0</v>
      </c>
      <c r="E45" s="1300">
        <v>0</v>
      </c>
      <c r="F45" s="843">
        <f>IFERROR(G45*VLOOKUP($B45,'Comps - Dataset'!$B$5:$AT$45,'Comps - Selection'!F$70,0),"NA")</f>
        <v>0</v>
      </c>
      <c r="G45" s="1301">
        <v>0</v>
      </c>
      <c r="H45" s="2"/>
      <c r="AI45" s="3" t="s">
        <v>1018</v>
      </c>
    </row>
    <row r="46" spans="1:35" ht="13">
      <c r="B46" s="844"/>
      <c r="D46" s="907"/>
      <c r="E46" s="843"/>
      <c r="F46" s="843"/>
      <c r="G46" s="868"/>
      <c r="H46" s="2"/>
    </row>
    <row r="47" spans="1:35" ht="13">
      <c r="B47" s="845" t="s">
        <v>798</v>
      </c>
      <c r="C47" s="846"/>
      <c r="D47" s="908">
        <f>AVERAGEIF(E42:E45,1,D42:D45)</f>
        <v>5.2728316563697462</v>
      </c>
      <c r="E47" s="848"/>
      <c r="F47" s="908">
        <f>AVERAGEIF(G42:G45,1,F42:F45)</f>
        <v>14.531289620488547</v>
      </c>
      <c r="G47" s="869"/>
      <c r="H47" s="2"/>
    </row>
    <row r="48" spans="1:35" ht="13">
      <c r="B48" s="837"/>
      <c r="D48" s="843"/>
      <c r="E48" s="843"/>
      <c r="F48" s="843"/>
      <c r="G48" s="868"/>
      <c r="H48" s="2"/>
    </row>
    <row r="49" spans="1:35" ht="13">
      <c r="B49" s="852" t="str">
        <f>'Comps - Outputs'!B47</f>
        <v>Other</v>
      </c>
      <c r="C49" s="72"/>
      <c r="D49" s="854"/>
      <c r="E49" s="854"/>
      <c r="F49" s="854"/>
      <c r="G49" s="870"/>
      <c r="H49" s="2"/>
    </row>
    <row r="50" spans="1:35" ht="13">
      <c r="B50" s="837"/>
      <c r="D50" s="262"/>
      <c r="E50" s="262"/>
      <c r="F50" s="262"/>
      <c r="G50" s="866"/>
      <c r="H50" s="2"/>
    </row>
    <row r="51" spans="1:35" ht="13">
      <c r="B51" s="842" t="str">
        <f>'Comps - Outputs'!B49</f>
        <v>Fevertree Drinks PLC</v>
      </c>
      <c r="D51" s="843">
        <f>IFERROR(E51*VLOOKUP($B51,'Comps - Dataset'!$B$5:$AT$45,'Comps - Selection'!D$70,0),"NA")</f>
        <v>0</v>
      </c>
      <c r="E51" s="1300">
        <v>0</v>
      </c>
      <c r="F51" s="843">
        <f>IFERROR(G51*VLOOKUP($B51,'Comps - Dataset'!$B$5:$AT$45,'Comps - Selection'!F$70,0),"NA")</f>
        <v>0</v>
      </c>
      <c r="G51" s="1301">
        <v>0</v>
      </c>
      <c r="H51" s="2"/>
      <c r="AI51" s="3" t="s">
        <v>1020</v>
      </c>
    </row>
    <row r="52" spans="1:35" ht="13">
      <c r="B52" s="842"/>
      <c r="D52" s="843"/>
      <c r="E52" s="843"/>
      <c r="F52" s="843"/>
      <c r="G52" s="868"/>
      <c r="H52" s="2"/>
    </row>
    <row r="53" spans="1:35" ht="13">
      <c r="B53" s="873" t="s">
        <v>800</v>
      </c>
      <c r="C53" s="856"/>
      <c r="D53" s="858">
        <f>IFERROR(AVERAGEIF(E10:E51,1,D10:D51),0)</f>
        <v>4.0653865015194857</v>
      </c>
      <c r="E53" s="858"/>
      <c r="F53" s="858">
        <f>IFERROR(AVERAGEIF(G10:G51,1,F10:F51),0)</f>
        <v>13.669403978055193</v>
      </c>
      <c r="G53" s="871"/>
      <c r="H53" s="2"/>
      <c r="I53" s="420"/>
      <c r="J53" s="420"/>
      <c r="K53" s="420"/>
    </row>
    <row r="54" spans="1:35" ht="13">
      <c r="A54" s="420"/>
      <c r="B54" s="850"/>
      <c r="G54" s="851"/>
      <c r="H54" s="2"/>
      <c r="I54" s="420"/>
      <c r="J54" s="420"/>
      <c r="K54" s="420"/>
    </row>
    <row r="55" spans="1:35" ht="13">
      <c r="B55" s="860" t="str">
        <f>'Comps - Dataset'!$B$44</f>
        <v>Diageo PLC</v>
      </c>
      <c r="C55" s="861"/>
      <c r="D55" s="909">
        <f>VLOOKUP($B55,'Comps - Dataset'!$B$5:$AT$45,'Comps - Selection'!D$70,0)</f>
        <v>4.7966965842208742</v>
      </c>
      <c r="E55" s="864"/>
      <c r="F55" s="909">
        <f>VLOOKUP($B55,'Comps - Dataset'!$B$5:$AT$45,'Comps - Selection'!F$70,0)</f>
        <v>14.327012466417436</v>
      </c>
      <c r="G55" s="872"/>
      <c r="H55" s="2"/>
    </row>
    <row r="56" spans="1:35" ht="13">
      <c r="D56" s="910"/>
      <c r="H56" s="2"/>
    </row>
    <row r="57" spans="1:35" ht="13">
      <c r="B57" s="1221" t="s">
        <v>801</v>
      </c>
      <c r="C57" s="1222"/>
      <c r="D57" s="1223">
        <f>D53</f>
        <v>4.0653865015194857</v>
      </c>
      <c r="E57" s="1223"/>
      <c r="F57" s="1223">
        <f>F53</f>
        <v>13.669403978055193</v>
      </c>
      <c r="G57" s="1224"/>
      <c r="H57" s="2"/>
    </row>
    <row r="58" spans="1:35" ht="13">
      <c r="B58" s="1335" t="s">
        <v>128</v>
      </c>
      <c r="C58" s="1336"/>
      <c r="D58" s="1334">
        <f>'Comps - Outputs'!H55*'Comps - Dataset'!E51</f>
        <v>16809.752</v>
      </c>
      <c r="E58" s="1334"/>
      <c r="F58" s="1334">
        <f>'Comps - Outputs'!I55*'Comps - Dataset'!E51</f>
        <v>5627.92</v>
      </c>
      <c r="G58" s="1220"/>
      <c r="H58" s="2"/>
    </row>
    <row r="59" spans="1:35" ht="13">
      <c r="B59" s="879" t="s">
        <v>802</v>
      </c>
      <c r="C59" s="880"/>
      <c r="D59" s="1334">
        <f>D57*D58</f>
        <v>68338.138874690179</v>
      </c>
      <c r="E59" s="1334"/>
      <c r="F59" s="1334">
        <f>F57*F58</f>
        <v>76930.312036176387</v>
      </c>
      <c r="G59" s="924"/>
      <c r="H59" s="2"/>
    </row>
    <row r="60" spans="1:35" ht="13">
      <c r="B60" s="874"/>
      <c r="C60" s="23"/>
      <c r="D60" s="325"/>
      <c r="E60" s="310"/>
      <c r="F60" s="325"/>
      <c r="G60" s="921"/>
      <c r="H60" s="2"/>
    </row>
    <row r="61" spans="1:35" ht="13">
      <c r="B61" s="875" t="s">
        <v>803</v>
      </c>
      <c r="C61" s="876"/>
      <c r="D61" s="1218">
        <f>'DCF - Valuation'!S18</f>
        <v>17330</v>
      </c>
      <c r="E61" s="878"/>
      <c r="F61" s="1218">
        <f>'DCF - Valuation'!S18</f>
        <v>17330</v>
      </c>
      <c r="G61" s="922"/>
      <c r="H61" s="2"/>
    </row>
    <row r="62" spans="1:35" ht="13">
      <c r="B62" s="887" t="s">
        <v>804</v>
      </c>
      <c r="C62" s="876"/>
      <c r="D62" s="1219">
        <f>'DCF - Valuation'!S21+'DCF - Valuation'!S22</f>
        <v>1711</v>
      </c>
      <c r="E62" s="418"/>
      <c r="F62" s="1219">
        <f>'DCF - Valuation'!S21+'DCF - Valuation'!S22</f>
        <v>1711</v>
      </c>
      <c r="G62" s="923"/>
      <c r="H62" s="2"/>
    </row>
    <row r="63" spans="1:35" ht="13">
      <c r="B63" s="875" t="s">
        <v>805</v>
      </c>
      <c r="C63" s="876"/>
      <c r="D63" s="1218">
        <f>'DCF - Valuation'!S19</f>
        <v>1640</v>
      </c>
      <c r="E63" s="418"/>
      <c r="F63" s="1218">
        <f>D63</f>
        <v>1640</v>
      </c>
      <c r="G63" s="923"/>
      <c r="H63" s="2"/>
    </row>
    <row r="64" spans="1:35" ht="13">
      <c r="B64" s="875"/>
      <c r="C64" s="876"/>
      <c r="D64" s="877"/>
      <c r="E64" s="418"/>
      <c r="F64" s="877"/>
      <c r="G64" s="923"/>
      <c r="H64" s="2"/>
    </row>
    <row r="65" spans="2:8" ht="13">
      <c r="B65" s="879" t="s">
        <v>556</v>
      </c>
      <c r="C65" s="880"/>
      <c r="D65" s="1334">
        <f>D59-D61-D62+D63</f>
        <v>50937.138874690179</v>
      </c>
      <c r="E65" s="881"/>
      <c r="F65" s="1334">
        <f>F59-F61-F62+F63</f>
        <v>59529.312036176387</v>
      </c>
      <c r="G65" s="924"/>
      <c r="H65" s="2"/>
    </row>
    <row r="66" spans="2:8" ht="13">
      <c r="B66" s="879" t="s">
        <v>806</v>
      </c>
      <c r="C66" s="880"/>
      <c r="D66" s="1334">
        <f>'DCF - Valuation'!S25</f>
        <v>2240</v>
      </c>
      <c r="E66" s="881"/>
      <c r="F66" s="1334">
        <f>D66</f>
        <v>2240</v>
      </c>
      <c r="G66" s="924"/>
      <c r="H66" s="2"/>
    </row>
    <row r="67" spans="2:8" ht="13">
      <c r="B67" s="855" t="s">
        <v>119</v>
      </c>
      <c r="C67" s="882"/>
      <c r="D67" s="1355">
        <f>D65/D66</f>
        <v>22.739794140486687</v>
      </c>
      <c r="E67" s="883"/>
      <c r="F67" s="1355">
        <f>F65/F66</f>
        <v>26.575585730435886</v>
      </c>
      <c r="G67" s="884"/>
      <c r="H67" s="2"/>
    </row>
    <row r="68" spans="2:8" ht="13">
      <c r="B68" s="885" t="s">
        <v>120</v>
      </c>
      <c r="C68" s="886"/>
      <c r="D68" s="1356">
        <f>D67/'Comps - Dataset'!$E$51</f>
        <v>28.784549544919855</v>
      </c>
      <c r="E68" s="1356"/>
      <c r="F68" s="1356">
        <f>F67/'Comps - Dataset'!$E$51</f>
        <v>33.639981937260615</v>
      </c>
      <c r="G68" s="925"/>
      <c r="H68" s="2"/>
    </row>
    <row r="69" spans="2:8" ht="13">
      <c r="H69" s="2"/>
    </row>
    <row r="70" spans="2:8" ht="13">
      <c r="B70" s="16" t="s">
        <v>807</v>
      </c>
      <c r="C70" s="15"/>
      <c r="D70" s="508">
        <f>'Comps - Dataset'!AF67</f>
        <v>31</v>
      </c>
      <c r="E70" s="508"/>
      <c r="F70" s="508">
        <f>'Comps - Dataset'!AJ67</f>
        <v>35</v>
      </c>
      <c r="G70" s="835"/>
      <c r="H70" s="2"/>
    </row>
    <row r="71" spans="2:8" ht="13">
      <c r="H71" s="2"/>
    </row>
    <row r="72" spans="2:8" ht="13" hidden="1">
      <c r="H72" s="2"/>
    </row>
    <row r="73" spans="2:8" ht="13" hidden="1">
      <c r="H73" s="2"/>
    </row>
    <row r="74" spans="2:8" ht="13" hidden="1">
      <c r="H74" s="2"/>
    </row>
    <row r="75" spans="2:8" ht="13" hidden="1">
      <c r="H75" s="2"/>
    </row>
    <row r="76" spans="2:8" ht="13" hidden="1">
      <c r="H76" s="2"/>
    </row>
    <row r="77" spans="2:8" ht="13" hidden="1">
      <c r="H77" s="2"/>
    </row>
    <row r="78" spans="2:8" ht="13" hidden="1">
      <c r="H78" s="2"/>
    </row>
    <row r="79" spans="2:8" ht="13" hidden="1">
      <c r="H79" s="2"/>
    </row>
    <row r="80" spans="2:8" ht="13" hidden="1">
      <c r="H80" s="2"/>
    </row>
    <row r="81" spans="8:8" ht="13" hidden="1">
      <c r="H81" s="2"/>
    </row>
    <row r="82" spans="8:8" ht="13" hidden="1">
      <c r="H82" s="2"/>
    </row>
    <row r="83" spans="8:8" ht="13" hidden="1">
      <c r="H83" s="2"/>
    </row>
    <row r="84" spans="8:8" ht="13" hidden="1">
      <c r="H84" s="2"/>
    </row>
    <row r="85" spans="8:8" ht="13" hidden="1">
      <c r="H85" s="2"/>
    </row>
    <row r="86" spans="8:8" ht="13" hidden="1">
      <c r="H86" s="2"/>
    </row>
    <row r="87" spans="8:8" ht="13" hidden="1">
      <c r="H87" s="2"/>
    </row>
    <row r="88" spans="8:8" ht="13" hidden="1">
      <c r="H88" s="2"/>
    </row>
    <row r="89" spans="8:8" ht="13" hidden="1">
      <c r="H89" s="2"/>
    </row>
    <row r="90" spans="8:8" ht="13" hidden="1">
      <c r="H90" s="2"/>
    </row>
    <row r="91" spans="8:8" ht="13" hidden="1">
      <c r="H91" s="2"/>
    </row>
    <row r="92" spans="8:8" ht="13" hidden="1">
      <c r="H92" s="2"/>
    </row>
    <row r="93" spans="8:8" ht="13" hidden="1">
      <c r="H93" s="2"/>
    </row>
    <row r="94" spans="8:8" ht="13" hidden="1">
      <c r="H94" s="2"/>
    </row>
    <row r="95" spans="8:8" ht="13" hidden="1">
      <c r="H95" s="2"/>
    </row>
    <row r="96" spans="8:8" ht="13" hidden="1">
      <c r="H96" s="2"/>
    </row>
    <row r="97" spans="8:8" ht="13" hidden="1">
      <c r="H97" s="2"/>
    </row>
    <row r="98" spans="8:8" ht="13" hidden="1">
      <c r="H98" s="2"/>
    </row>
    <row r="99" spans="8:8" ht="13" hidden="1">
      <c r="H99" s="2"/>
    </row>
    <row r="100" spans="8:8" ht="13" hidden="1">
      <c r="H100" s="2"/>
    </row>
    <row r="101" spans="8:8" ht="13" hidden="1">
      <c r="H101" s="2"/>
    </row>
    <row r="102" spans="8:8" ht="13" hidden="1">
      <c r="H102" s="2"/>
    </row>
    <row r="103" spans="8:8" ht="13" hidden="1">
      <c r="H103" s="2"/>
    </row>
    <row r="104" spans="8:8" ht="13" hidden="1">
      <c r="H104" s="2"/>
    </row>
    <row r="105" spans="8:8" ht="13" hidden="1">
      <c r="H105" s="2"/>
    </row>
    <row r="106" spans="8:8" ht="13" hidden="1">
      <c r="H106" s="2"/>
    </row>
    <row r="107" spans="8:8" ht="13" hidden="1">
      <c r="H107" s="2"/>
    </row>
    <row r="108" spans="8:8" ht="13" hidden="1">
      <c r="H108" s="2"/>
    </row>
    <row r="109" spans="8:8" ht="13" hidden="1">
      <c r="H109" s="2"/>
    </row>
    <row r="110" spans="8:8" ht="13" hidden="1">
      <c r="H110" s="2"/>
    </row>
    <row r="111" spans="8:8" ht="13" hidden="1">
      <c r="H111" s="2"/>
    </row>
    <row r="112" spans="8:8" ht="13" hidden="1">
      <c r="H112" s="2"/>
    </row>
    <row r="113" spans="8:8" ht="13" hidden="1">
      <c r="H113" s="2"/>
    </row>
    <row r="114" spans="8:8" ht="13" hidden="1">
      <c r="H114" s="2"/>
    </row>
    <row r="115" spans="8:8" ht="13" hidden="1">
      <c r="H115" s="2"/>
    </row>
    <row r="116" spans="8:8" ht="13" hidden="1">
      <c r="H116" s="2"/>
    </row>
    <row r="117" spans="8:8" ht="13" hidden="1">
      <c r="H117" s="2"/>
    </row>
    <row r="118" spans="8:8" ht="13" hidden="1">
      <c r="H118" s="2"/>
    </row>
    <row r="119" spans="8:8" ht="13" hidden="1">
      <c r="H119" s="2"/>
    </row>
    <row r="120" spans="8:8" ht="13" hidden="1">
      <c r="H120" s="2"/>
    </row>
    <row r="121" spans="8:8" ht="13" hidden="1">
      <c r="H121" s="2"/>
    </row>
    <row r="122" spans="8:8" ht="13" hidden="1">
      <c r="H122" s="2"/>
    </row>
    <row r="123" spans="8:8" ht="13" hidden="1">
      <c r="H123" s="2"/>
    </row>
    <row r="124" spans="8:8" ht="13" hidden="1">
      <c r="H124" s="2"/>
    </row>
    <row r="125" spans="8:8" ht="13" hidden="1">
      <c r="H125" s="2"/>
    </row>
    <row r="126" spans="8:8" ht="13" hidden="1">
      <c r="H126" s="2"/>
    </row>
    <row r="127" spans="8:8" ht="13" hidden="1">
      <c r="H127" s="2"/>
    </row>
    <row r="128" spans="8:8" ht="13" hidden="1">
      <c r="H128" s="2"/>
    </row>
    <row r="129" spans="8:8" ht="13" hidden="1">
      <c r="H129" s="2"/>
    </row>
    <row r="130" spans="8:8" ht="13" hidden="1">
      <c r="H130" s="2"/>
    </row>
    <row r="131" spans="8:8" ht="13" hidden="1">
      <c r="H131" s="2"/>
    </row>
    <row r="132" spans="8:8" ht="13" hidden="1">
      <c r="H132" s="2"/>
    </row>
    <row r="133" spans="8:8" ht="13" hidden="1">
      <c r="H133" s="2"/>
    </row>
    <row r="134" spans="8:8" ht="13" hidden="1">
      <c r="H134" s="2"/>
    </row>
    <row r="135" spans="8:8" ht="13" hidden="1">
      <c r="H135" s="2"/>
    </row>
    <row r="136" spans="8:8" ht="13" hidden="1">
      <c r="H136" s="2"/>
    </row>
    <row r="137" spans="8:8" ht="13" hidden="1">
      <c r="H137" s="2"/>
    </row>
    <row r="138" spans="8:8" ht="13" hidden="1">
      <c r="H138" s="2"/>
    </row>
    <row r="139" spans="8:8" ht="13" hidden="1">
      <c r="H139" s="2"/>
    </row>
    <row r="140" spans="8:8" ht="13" hidden="1">
      <c r="H140" s="2"/>
    </row>
    <row r="141" spans="8:8" ht="13" hidden="1">
      <c r="H141" s="2"/>
    </row>
    <row r="142" spans="8:8" ht="13" hidden="1">
      <c r="H142" s="2"/>
    </row>
    <row r="143" spans="8:8" ht="13" hidden="1">
      <c r="H143" s="2"/>
    </row>
    <row r="144" spans="8:8" ht="13" hidden="1">
      <c r="H144" s="2"/>
    </row>
    <row r="145" spans="8:8" ht="13" hidden="1">
      <c r="H145" s="2"/>
    </row>
    <row r="146" spans="8:8" ht="13" hidden="1">
      <c r="H146" s="2"/>
    </row>
    <row r="147" spans="8:8" ht="13" hidden="1">
      <c r="H147" s="2"/>
    </row>
    <row r="148" spans="8:8" ht="13" hidden="1">
      <c r="H148" s="2"/>
    </row>
    <row r="149" spans="8:8" ht="13" hidden="1">
      <c r="H149" s="2"/>
    </row>
    <row r="150" spans="8:8" ht="13" hidden="1">
      <c r="H150" s="2"/>
    </row>
    <row r="151" spans="8:8" ht="13" hidden="1">
      <c r="H151" s="2"/>
    </row>
    <row r="152" spans="8:8" ht="13" hidden="1">
      <c r="H152" s="2"/>
    </row>
    <row r="153" spans="8:8" ht="13" hidden="1">
      <c r="H153" s="2"/>
    </row>
    <row r="154" spans="8:8" ht="13" hidden="1">
      <c r="H154" s="2"/>
    </row>
    <row r="155" spans="8:8" ht="13" hidden="1">
      <c r="H155" s="2"/>
    </row>
    <row r="156" spans="8:8" ht="13" hidden="1">
      <c r="H156" s="2"/>
    </row>
    <row r="157" spans="8:8" ht="13" hidden="1">
      <c r="H157" s="2"/>
    </row>
    <row r="158" spans="8:8" ht="13" hidden="1">
      <c r="H158" s="2"/>
    </row>
    <row r="159" spans="8:8" ht="13" hidden="1">
      <c r="H159" s="2"/>
    </row>
    <row r="160" spans="8:8" ht="13" hidden="1">
      <c r="H160" s="2"/>
    </row>
    <row r="161" spans="8:8" ht="13" hidden="1">
      <c r="H161" s="2"/>
    </row>
    <row r="162" spans="8:8" ht="13" hidden="1">
      <c r="H162" s="2"/>
    </row>
    <row r="163" spans="8:8" ht="13" hidden="1">
      <c r="H163" s="2"/>
    </row>
    <row r="164" spans="8:8" ht="13" hidden="1">
      <c r="H164" s="2"/>
    </row>
    <row r="165" spans="8:8" ht="13" hidden="1">
      <c r="H165" s="2"/>
    </row>
    <row r="166" spans="8:8" ht="13" hidden="1">
      <c r="H166" s="2"/>
    </row>
    <row r="167" spans="8:8" ht="13" hidden="1">
      <c r="H167" s="2"/>
    </row>
    <row r="168" spans="8:8" ht="13" hidden="1">
      <c r="H168" s="2"/>
    </row>
    <row r="169" spans="8:8" ht="13" hidden="1">
      <c r="H169" s="2"/>
    </row>
    <row r="170" spans="8:8" ht="13" hidden="1">
      <c r="H170" s="2"/>
    </row>
    <row r="171" spans="8:8" ht="13" hidden="1">
      <c r="H171" s="2"/>
    </row>
    <row r="172" spans="8:8" ht="13" hidden="1">
      <c r="H172" s="2"/>
    </row>
    <row r="173" spans="8:8" ht="13" hidden="1">
      <c r="H173" s="2"/>
    </row>
    <row r="174" spans="8:8" ht="13" hidden="1">
      <c r="H174" s="2"/>
    </row>
    <row r="175" spans="8:8" ht="13" hidden="1">
      <c r="H175" s="2"/>
    </row>
    <row r="176" spans="8:8" ht="13" hidden="1">
      <c r="H176" s="2"/>
    </row>
    <row r="177" spans="8:8" ht="13" hidden="1">
      <c r="H177" s="2"/>
    </row>
    <row r="178" spans="8:8" ht="13" hidden="1">
      <c r="H178" s="2"/>
    </row>
    <row r="179" spans="8:8" ht="13" hidden="1">
      <c r="H179" s="2"/>
    </row>
    <row r="180" spans="8:8" ht="13" hidden="1">
      <c r="H180" s="2"/>
    </row>
    <row r="181" spans="8:8" ht="13" hidden="1">
      <c r="H181" s="2"/>
    </row>
    <row r="182" spans="8:8" ht="13" hidden="1">
      <c r="H182" s="2"/>
    </row>
    <row r="183" spans="8:8" ht="13" hidden="1">
      <c r="H183" s="2"/>
    </row>
    <row r="184" spans="8:8" ht="13" hidden="1">
      <c r="H184" s="2"/>
    </row>
    <row r="185" spans="8:8" ht="13" hidden="1">
      <c r="H185" s="2"/>
    </row>
    <row r="186" spans="8:8" ht="13" hidden="1">
      <c r="H186" s="2"/>
    </row>
    <row r="187" spans="8:8" ht="13" hidden="1">
      <c r="H187" s="2"/>
    </row>
    <row r="188" spans="8:8" ht="13" hidden="1">
      <c r="H188" s="2"/>
    </row>
    <row r="189" spans="8:8" ht="13" hidden="1">
      <c r="H189" s="2"/>
    </row>
    <row r="190" spans="8:8" ht="13" hidden="1">
      <c r="H190" s="2"/>
    </row>
    <row r="191" spans="8:8" ht="13" hidden="1">
      <c r="H191" s="2"/>
    </row>
    <row r="192" spans="8:8" ht="13" hidden="1">
      <c r="H192" s="2"/>
    </row>
    <row r="193" spans="8:8" ht="13" hidden="1">
      <c r="H193" s="2"/>
    </row>
    <row r="194" spans="8:8" ht="13" hidden="1">
      <c r="H194" s="2"/>
    </row>
    <row r="195" spans="8:8" ht="13" hidden="1">
      <c r="H195" s="2"/>
    </row>
    <row r="196" spans="8:8" ht="13" hidden="1">
      <c r="H196" s="2"/>
    </row>
    <row r="197" spans="8:8" ht="13" hidden="1">
      <c r="H197" s="2"/>
    </row>
    <row r="198" spans="8:8" ht="13" hidden="1">
      <c r="H198" s="2"/>
    </row>
    <row r="199" spans="8:8" ht="13" hidden="1">
      <c r="H199" s="2"/>
    </row>
    <row r="200" spans="8:8" ht="13" hidden="1">
      <c r="H200" s="2"/>
    </row>
    <row r="201" spans="8:8" ht="13" hidden="1">
      <c r="H201" s="2"/>
    </row>
    <row r="202" spans="8:8" ht="13" hidden="1">
      <c r="H202" s="2"/>
    </row>
    <row r="203" spans="8:8" ht="13" hidden="1">
      <c r="H203" s="2"/>
    </row>
    <row r="204" spans="8:8" ht="13" hidden="1">
      <c r="H204" s="2"/>
    </row>
    <row r="205" spans="8:8" ht="13" hidden="1">
      <c r="H205" s="2"/>
    </row>
    <row r="206" spans="8:8" ht="13" hidden="1">
      <c r="H206" s="2"/>
    </row>
    <row r="207" spans="8:8" ht="13" hidden="1">
      <c r="H207" s="2"/>
    </row>
    <row r="208" spans="8:8" ht="13" hidden="1">
      <c r="H208" s="2"/>
    </row>
    <row r="209" spans="8:8" ht="13" hidden="1">
      <c r="H209" s="2"/>
    </row>
    <row r="210" spans="8:8" ht="13" hidden="1">
      <c r="H210" s="2"/>
    </row>
    <row r="211" spans="8:8" ht="13" hidden="1">
      <c r="H211" s="2"/>
    </row>
    <row r="212" spans="8:8" ht="13" hidden="1">
      <c r="H212" s="2"/>
    </row>
    <row r="213" spans="8:8" ht="13" hidden="1">
      <c r="H213" s="2"/>
    </row>
    <row r="214" spans="8:8" ht="13" hidden="1">
      <c r="H214" s="2"/>
    </row>
    <row r="215" spans="8:8" ht="13" hidden="1">
      <c r="H215" s="2"/>
    </row>
    <row r="216" spans="8:8" ht="13" hidden="1">
      <c r="H216" s="2"/>
    </row>
    <row r="217" spans="8:8" ht="13" hidden="1">
      <c r="H217" s="2"/>
    </row>
    <row r="218" spans="8:8" ht="13" hidden="1">
      <c r="H218" s="2"/>
    </row>
    <row r="219" spans="8:8" ht="13" hidden="1">
      <c r="H219" s="2"/>
    </row>
    <row r="220" spans="8:8" ht="13" hidden="1">
      <c r="H220" s="2"/>
    </row>
    <row r="221" spans="8:8" ht="13" hidden="1">
      <c r="H221" s="2"/>
    </row>
    <row r="222" spans="8:8" ht="13" hidden="1">
      <c r="H222" s="2"/>
    </row>
    <row r="223" spans="8:8" ht="13" hidden="1">
      <c r="H223" s="2"/>
    </row>
    <row r="224" spans="8:8" ht="13" hidden="1">
      <c r="H224" s="2"/>
    </row>
    <row r="225" spans="8:8" ht="13" hidden="1">
      <c r="H225" s="2"/>
    </row>
    <row r="226" spans="8:8" ht="13" hidden="1">
      <c r="H226" s="2"/>
    </row>
    <row r="227" spans="8:8" ht="13" hidden="1">
      <c r="H227" s="2"/>
    </row>
    <row r="228" spans="8:8" ht="13" hidden="1">
      <c r="H228" s="2"/>
    </row>
    <row r="229" spans="8:8" ht="13" hidden="1">
      <c r="H229" s="2"/>
    </row>
    <row r="230" spans="8:8" ht="13" hidden="1">
      <c r="H230" s="2"/>
    </row>
    <row r="231" spans="8:8" ht="13" hidden="1">
      <c r="H231" s="2"/>
    </row>
    <row r="232" spans="8:8" ht="13" hidden="1">
      <c r="H232" s="2"/>
    </row>
    <row r="233" spans="8:8" ht="13" hidden="1">
      <c r="H233" s="2"/>
    </row>
    <row r="234" spans="8:8" ht="13" hidden="1">
      <c r="H234" s="2"/>
    </row>
    <row r="235" spans="8:8" ht="13" hidden="1">
      <c r="H235" s="2"/>
    </row>
    <row r="236" spans="8:8" ht="13" hidden="1">
      <c r="H236" s="2"/>
    </row>
    <row r="237" spans="8:8" ht="13" hidden="1">
      <c r="H237" s="2"/>
    </row>
    <row r="238" spans="8:8" ht="13" hidden="1">
      <c r="H238" s="2"/>
    </row>
    <row r="239" spans="8:8" ht="13" hidden="1">
      <c r="H239" s="2"/>
    </row>
    <row r="240" spans="8:8" ht="13" hidden="1">
      <c r="H240" s="2"/>
    </row>
    <row r="241" spans="8:8" ht="13" hidden="1">
      <c r="H241" s="2"/>
    </row>
    <row r="242" spans="8:8" ht="13" hidden="1">
      <c r="H242" s="2"/>
    </row>
    <row r="243" spans="8:8" ht="13" hidden="1">
      <c r="H243" s="2"/>
    </row>
    <row r="244" spans="8:8" ht="13" hidden="1">
      <c r="H244" s="2"/>
    </row>
    <row r="245" spans="8:8" ht="13" hidden="1">
      <c r="H245" s="2"/>
    </row>
    <row r="246" spans="8:8" ht="13" hidden="1">
      <c r="H246" s="2"/>
    </row>
    <row r="247" spans="8:8" ht="13" hidden="1">
      <c r="H247" s="2"/>
    </row>
    <row r="248" spans="8:8" ht="13" hidden="1">
      <c r="H248" s="2"/>
    </row>
    <row r="249" spans="8:8" ht="13" hidden="1">
      <c r="H249" s="2"/>
    </row>
    <row r="250" spans="8:8" ht="13" hidden="1">
      <c r="H250" s="2"/>
    </row>
    <row r="251" spans="8:8" ht="13" hidden="1">
      <c r="H251" s="2"/>
    </row>
    <row r="252" spans="8:8" ht="13" hidden="1">
      <c r="H252" s="2"/>
    </row>
    <row r="253" spans="8:8" ht="13" hidden="1">
      <c r="H253" s="2"/>
    </row>
    <row r="254" spans="8:8" ht="13" hidden="1">
      <c r="H254" s="2"/>
    </row>
    <row r="255" spans="8:8" ht="13" hidden="1">
      <c r="H255" s="2"/>
    </row>
    <row r="256" spans="8:8" ht="13" hidden="1">
      <c r="H256" s="2"/>
    </row>
    <row r="257" spans="8:8" ht="13" hidden="1">
      <c r="H257" s="2"/>
    </row>
    <row r="258" spans="8:8" ht="13" hidden="1">
      <c r="H258" s="2"/>
    </row>
    <row r="259" spans="8:8" ht="13" hidden="1">
      <c r="H259" s="2"/>
    </row>
    <row r="260" spans="8:8" ht="13" hidden="1">
      <c r="H260" s="2"/>
    </row>
    <row r="261" spans="8:8" ht="13" hidden="1">
      <c r="H261" s="2"/>
    </row>
    <row r="262" spans="8:8" ht="13" hidden="1">
      <c r="H262" s="2"/>
    </row>
    <row r="263" spans="8:8" ht="13" hidden="1">
      <c r="H263" s="2"/>
    </row>
    <row r="264" spans="8:8" ht="13" hidden="1">
      <c r="H264" s="2"/>
    </row>
    <row r="265" spans="8:8" ht="13" hidden="1">
      <c r="H265" s="2"/>
    </row>
    <row r="266" spans="8:8" ht="13" hidden="1">
      <c r="H266" s="2"/>
    </row>
    <row r="267" spans="8:8" ht="13" hidden="1">
      <c r="H267" s="2"/>
    </row>
    <row r="268" spans="8:8" ht="13" hidden="1">
      <c r="H268" s="2"/>
    </row>
    <row r="269" spans="8:8" ht="13" hidden="1">
      <c r="H269" s="2"/>
    </row>
    <row r="270" spans="8:8" ht="13" hidden="1">
      <c r="H270" s="2"/>
    </row>
    <row r="271" spans="8:8" ht="13" hidden="1">
      <c r="H271" s="2"/>
    </row>
    <row r="272" spans="8:8" ht="13" hidden="1">
      <c r="H272" s="2"/>
    </row>
    <row r="273" spans="8:8" ht="13" hidden="1">
      <c r="H273" s="2"/>
    </row>
    <row r="274" spans="8:8" ht="13" hidden="1">
      <c r="H274" s="2"/>
    </row>
    <row r="275" spans="8:8" ht="13" hidden="1">
      <c r="H275" s="2"/>
    </row>
    <row r="276" spans="8:8" ht="13" hidden="1">
      <c r="H276" s="2"/>
    </row>
    <row r="277" spans="8:8" ht="13" hidden="1">
      <c r="H277" s="2"/>
    </row>
    <row r="278" spans="8:8" ht="13" hidden="1">
      <c r="H278" s="2"/>
    </row>
    <row r="279" spans="8:8" ht="13" hidden="1">
      <c r="H279" s="2"/>
    </row>
    <row r="280" spans="8:8" ht="13" hidden="1">
      <c r="H280" s="2"/>
    </row>
    <row r="281" spans="8:8" ht="13" hidden="1">
      <c r="H281" s="2"/>
    </row>
    <row r="282" spans="8:8" ht="13" hidden="1">
      <c r="H282" s="2"/>
    </row>
    <row r="283" spans="8:8" ht="13" hidden="1">
      <c r="H283" s="2"/>
    </row>
    <row r="284" spans="8:8" ht="13" hidden="1">
      <c r="H284" s="2"/>
    </row>
    <row r="285" spans="8:8" ht="13" hidden="1">
      <c r="H285" s="2"/>
    </row>
    <row r="286" spans="8:8" ht="13" hidden="1">
      <c r="H286" s="2"/>
    </row>
    <row r="287" spans="8:8" ht="13" hidden="1">
      <c r="H287" s="2"/>
    </row>
    <row r="288" spans="8:8" ht="13" hidden="1">
      <c r="H288" s="2"/>
    </row>
    <row r="289" spans="8:8" ht="13" hidden="1">
      <c r="H289" s="2"/>
    </row>
    <row r="290" spans="8:8" ht="13" hidden="1">
      <c r="H290" s="2"/>
    </row>
    <row r="291" spans="8:8" ht="13" hidden="1">
      <c r="H291" s="2"/>
    </row>
    <row r="292" spans="8:8" ht="13" hidden="1">
      <c r="H292" s="2"/>
    </row>
    <row r="293" spans="8:8" ht="13" hidden="1">
      <c r="H293" s="2"/>
    </row>
    <row r="294" spans="8:8" ht="13" hidden="1">
      <c r="H294" s="2"/>
    </row>
    <row r="295" spans="8:8" ht="13" hidden="1">
      <c r="H295" s="2"/>
    </row>
    <row r="296" spans="8:8" ht="13" hidden="1">
      <c r="H296" s="2"/>
    </row>
    <row r="297" spans="8:8" ht="13" hidden="1">
      <c r="H297" s="2"/>
    </row>
    <row r="298" spans="8:8" ht="13" hidden="1">
      <c r="H298" s="2"/>
    </row>
    <row r="299" spans="8:8" ht="13" hidden="1">
      <c r="H299" s="2"/>
    </row>
    <row r="300" spans="8:8" ht="13" hidden="1">
      <c r="H300" s="2"/>
    </row>
    <row r="301" spans="8:8" ht="13" hidden="1">
      <c r="H301" s="2"/>
    </row>
    <row r="302" spans="8:8" ht="13" hidden="1">
      <c r="H302" s="2"/>
    </row>
    <row r="303" spans="8:8" ht="13" hidden="1">
      <c r="H303" s="2"/>
    </row>
    <row r="304" spans="8:8" ht="13" hidden="1">
      <c r="H304" s="2"/>
    </row>
    <row r="305" spans="8:8" ht="13" hidden="1">
      <c r="H305" s="2"/>
    </row>
    <row r="306" spans="8:8" ht="13" hidden="1">
      <c r="H306" s="2"/>
    </row>
    <row r="307" spans="8:8" ht="13" hidden="1">
      <c r="H307" s="2"/>
    </row>
    <row r="308" spans="8:8" ht="13" hidden="1">
      <c r="H308" s="2"/>
    </row>
    <row r="309" spans="8:8" ht="13" hidden="1">
      <c r="H309" s="2"/>
    </row>
    <row r="310" spans="8:8" ht="13" hidden="1">
      <c r="H310" s="2"/>
    </row>
    <row r="311" spans="8:8" ht="13" hidden="1">
      <c r="H311" s="2"/>
    </row>
    <row r="312" spans="8:8" ht="13" hidden="1">
      <c r="H312" s="2"/>
    </row>
    <row r="313" spans="8:8" ht="13" hidden="1">
      <c r="H313" s="2"/>
    </row>
    <row r="314" spans="8:8" ht="13" hidden="1">
      <c r="H314" s="2"/>
    </row>
    <row r="315" spans="8:8" ht="13" hidden="1">
      <c r="H315" s="2"/>
    </row>
    <row r="316" spans="8:8" ht="13" hidden="1">
      <c r="H316" s="2"/>
    </row>
    <row r="317" spans="8:8" ht="13" hidden="1">
      <c r="H317" s="2"/>
    </row>
    <row r="318" spans="8:8" ht="13" hidden="1">
      <c r="H318" s="2"/>
    </row>
    <row r="319" spans="8:8" ht="13" hidden="1">
      <c r="H319" s="2"/>
    </row>
    <row r="320" spans="8:8" ht="13" hidden="1">
      <c r="H320" s="2"/>
    </row>
    <row r="321" spans="8:8" ht="13" hidden="1">
      <c r="H321" s="2"/>
    </row>
    <row r="322" spans="8:8" ht="13" hidden="1">
      <c r="H322" s="2"/>
    </row>
    <row r="323" spans="8:8" ht="13" hidden="1">
      <c r="H323" s="2"/>
    </row>
    <row r="324" spans="8:8" ht="13" hidden="1">
      <c r="H324" s="2"/>
    </row>
    <row r="325" spans="8:8" ht="13" hidden="1">
      <c r="H325" s="2"/>
    </row>
    <row r="326" spans="8:8" ht="13" hidden="1">
      <c r="H326" s="2"/>
    </row>
    <row r="327" spans="8:8" ht="13" hidden="1">
      <c r="H327" s="2"/>
    </row>
    <row r="328" spans="8:8" ht="13" hidden="1">
      <c r="H328" s="2"/>
    </row>
    <row r="329" spans="8:8" ht="13" hidden="1">
      <c r="H329" s="2"/>
    </row>
    <row r="330" spans="8:8" ht="13" hidden="1">
      <c r="H330" s="2"/>
    </row>
    <row r="331" spans="8:8" ht="13" hidden="1">
      <c r="H331" s="2"/>
    </row>
    <row r="332" spans="8:8" ht="13" hidden="1">
      <c r="H332" s="2"/>
    </row>
    <row r="333" spans="8:8" ht="13" hidden="1">
      <c r="H333" s="2"/>
    </row>
    <row r="334" spans="8:8" ht="13" hidden="1">
      <c r="H334" s="2"/>
    </row>
    <row r="335" spans="8:8" ht="13" hidden="1">
      <c r="H335" s="2"/>
    </row>
    <row r="336" spans="8:8" ht="13" hidden="1">
      <c r="H336" s="2"/>
    </row>
    <row r="337" spans="8:8" ht="13" hidden="1">
      <c r="H337" s="2"/>
    </row>
    <row r="338" spans="8:8" ht="13" hidden="1">
      <c r="H338" s="2"/>
    </row>
    <row r="339" spans="8:8" ht="13" hidden="1">
      <c r="H339" s="2"/>
    </row>
    <row r="340" spans="8:8" ht="13" hidden="1">
      <c r="H340" s="2"/>
    </row>
    <row r="341" spans="8:8" ht="13" hidden="1">
      <c r="H341" s="2"/>
    </row>
  </sheetData>
  <conditionalFormatting sqref="E10:E19">
    <cfRule type="cellIs" dxfId="50" priority="31" operator="equal">
      <formula>0</formula>
    </cfRule>
  </conditionalFormatting>
  <conditionalFormatting sqref="E25:E36">
    <cfRule type="cellIs" dxfId="49" priority="8" operator="equal">
      <formula>0</formula>
    </cfRule>
  </conditionalFormatting>
  <conditionalFormatting sqref="E42:E45">
    <cfRule type="cellIs" dxfId="48" priority="2" operator="equal">
      <formula>0</formula>
    </cfRule>
  </conditionalFormatting>
  <conditionalFormatting sqref="E51">
    <cfRule type="cellIs" dxfId="47" priority="25" operator="equal">
      <formula>0</formula>
    </cfRule>
  </conditionalFormatting>
  <conditionalFormatting sqref="G10:G19">
    <cfRule type="cellIs" dxfId="46" priority="3" operator="equal">
      <formula>0</formula>
    </cfRule>
  </conditionalFormatting>
  <conditionalFormatting sqref="G25:G36">
    <cfRule type="cellIs" dxfId="45" priority="28" operator="equal">
      <formula>0</formula>
    </cfRule>
  </conditionalFormatting>
  <conditionalFormatting sqref="G42:G45">
    <cfRule type="cellIs" dxfId="44" priority="1" operator="equal">
      <formula>0</formula>
    </cfRule>
  </conditionalFormatting>
  <conditionalFormatting sqref="G51">
    <cfRule type="cellIs" dxfId="43" priority="24" operator="equal">
      <formula>0</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3F051-6146-4E16-A550-F9726D27B1B5}">
  <sheetPr>
    <tabColor theme="8" tint="-0.499984740745262"/>
  </sheetPr>
  <dimension ref="A1:Z328"/>
  <sheetViews>
    <sheetView showGridLines="0" topLeftCell="A37" zoomScale="132" zoomScaleNormal="100" workbookViewId="0">
      <selection activeCell="B5" sqref="B5"/>
    </sheetView>
  </sheetViews>
  <sheetFormatPr baseColWidth="10" defaultColWidth="0" defaultRowHeight="11" zeroHeight="1"/>
  <cols>
    <col min="1" max="1" width="2.5" style="3" customWidth="1"/>
    <col min="2" max="2" width="30.5" style="3" customWidth="1"/>
    <col min="3" max="3" width="1.1640625" style="3" customWidth="1"/>
    <col min="4" max="10" width="10.5" style="310" customWidth="1"/>
    <col min="11" max="19" width="10.5" style="3" customWidth="1"/>
    <col min="20" max="20" width="10.5" style="6" customWidth="1"/>
    <col min="21" max="21" width="2.5" style="6" customWidth="1"/>
    <col min="22" max="26" width="0" style="3" hidden="1" customWidth="1"/>
    <col min="27" max="29" width="9.1640625" style="3" hidden="1" customWidth="1"/>
    <col min="30" max="16384" width="9.1640625" style="3" hidden="1"/>
  </cols>
  <sheetData>
    <row r="1" spans="1:24" s="28" customFormat="1" ht="13">
      <c r="A1" s="818"/>
      <c r="B1" s="818" t="str">
        <f>'DCF - Assumptions'!F8&amp;" | Trading Comparables  - Outputs"</f>
        <v>Diageo PLC | Trading Comparables  - Outputs</v>
      </c>
      <c r="D1" s="819"/>
      <c r="E1" s="819"/>
      <c r="F1" s="819"/>
      <c r="G1" s="819"/>
      <c r="H1" s="819"/>
      <c r="I1" s="819"/>
      <c r="J1" s="819"/>
      <c r="T1" s="421"/>
      <c r="U1" s="421"/>
    </row>
    <row r="2" spans="1:24" ht="16">
      <c r="A2" s="117"/>
      <c r="O2" s="2"/>
      <c r="P2" s="2"/>
      <c r="R2" s="2"/>
      <c r="S2" s="2"/>
      <c r="T2" s="2"/>
      <c r="U2" s="2"/>
      <c r="V2" s="2"/>
      <c r="W2" s="2"/>
      <c r="X2" s="2"/>
    </row>
    <row r="3" spans="1:24" s="419" customFormat="1" ht="16">
      <c r="A3" s="211" t="s">
        <v>791</v>
      </c>
      <c r="B3" s="1303" t="s">
        <v>125</v>
      </c>
      <c r="C3" s="1304"/>
      <c r="D3" s="1268" t="str">
        <f>'Comps - Dataset'!H$5</f>
        <v>Market</v>
      </c>
      <c r="E3" s="1268" t="str">
        <f>'Comps - Dataset'!I$5</f>
        <v>Enterprise</v>
      </c>
      <c r="F3" s="1268" t="str">
        <f>'Comps - Dataset'!J$5</f>
        <v>Total</v>
      </c>
      <c r="G3" s="1268" t="s">
        <v>808</v>
      </c>
      <c r="H3" s="1268" t="str">
        <f>'Comps - Dataset'!L$5</f>
        <v>Revenue</v>
      </c>
      <c r="I3" s="1268" t="str">
        <f>'Comps - Dataset'!M$5</f>
        <v>EBITDA</v>
      </c>
      <c r="J3" s="1268" t="str">
        <f>'Comps - Dataset'!N$5</f>
        <v>Earnings</v>
      </c>
      <c r="K3" s="1267" t="str">
        <f>'Comps - Dataset'!AB$5</f>
        <v>Net Debt /</v>
      </c>
      <c r="L3" s="1267" t="s">
        <v>792</v>
      </c>
      <c r="M3" s="1305"/>
      <c r="N3" s="1305"/>
      <c r="O3" s="1267" t="s">
        <v>655</v>
      </c>
      <c r="P3" s="1305"/>
      <c r="Q3" s="1305"/>
      <c r="R3" s="1267" t="s">
        <v>657</v>
      </c>
      <c r="S3" s="1305"/>
      <c r="T3" s="1306" t="str">
        <f>'Comps - Dataset'!AQ$5</f>
        <v xml:space="preserve">EBITDA </v>
      </c>
      <c r="U3" s="2"/>
    </row>
    <row r="4" spans="1:24" s="419" customFormat="1" ht="16">
      <c r="A4" s="211"/>
      <c r="B4" s="1307"/>
      <c r="C4" s="934"/>
      <c r="D4" s="937" t="s">
        <v>809</v>
      </c>
      <c r="E4" s="937" t="s">
        <v>810</v>
      </c>
      <c r="F4" s="937" t="str">
        <f>'Comps - Dataset'!J$6</f>
        <v>Debt</v>
      </c>
      <c r="G4" s="937" t="s">
        <v>811</v>
      </c>
      <c r="H4" s="937" t="str">
        <f>'Comps - Dataset'!L$6</f>
        <v>NTM</v>
      </c>
      <c r="I4" s="937" t="str">
        <f>'Comps - Dataset'!M$6</f>
        <v>NTM</v>
      </c>
      <c r="J4" s="937" t="str">
        <f>'Comps - Dataset'!N$6</f>
        <v>NTM</v>
      </c>
      <c r="K4" s="934" t="str">
        <f>'Comps - Dataset'!AB$6</f>
        <v>EV</v>
      </c>
      <c r="L4" s="934" t="str">
        <f>'Comps - Dataset'!AE$6</f>
        <v>LTM</v>
      </c>
      <c r="M4" s="934" t="str">
        <f>'Comps - Dataset'!AF$6</f>
        <v>NTM</v>
      </c>
      <c r="N4" s="934" t="str">
        <f>'Comps - Dataset'!AG$6</f>
        <v>2024E</v>
      </c>
      <c r="O4" s="934" t="str">
        <f>'Comps - Dataset'!AI$6</f>
        <v>LTM</v>
      </c>
      <c r="P4" s="934" t="str">
        <f>'Comps - Dataset'!AJ$6</f>
        <v>NTM</v>
      </c>
      <c r="Q4" s="934" t="str">
        <f>'Comps - Dataset'!AK$6</f>
        <v>2024E</v>
      </c>
      <c r="R4" s="934" t="str">
        <f>'Comps - Dataset'!AM$6</f>
        <v>LTM</v>
      </c>
      <c r="S4" s="934" t="str">
        <f>'Comps - Dataset'!AN$6</f>
        <v>NTM</v>
      </c>
      <c r="T4" s="1308" t="str">
        <f>'Comps - Dataset'!AQ$6</f>
        <v>Margin (%)</v>
      </c>
      <c r="U4" s="2"/>
    </row>
    <row r="5" spans="1:24" ht="13">
      <c r="B5" s="1244" t="s">
        <v>812</v>
      </c>
      <c r="T5" s="1309"/>
      <c r="U5" s="2"/>
    </row>
    <row r="6" spans="1:24" ht="13">
      <c r="B6" s="1310" t="str">
        <f>'Comps - Dataset'!B8</f>
        <v>Wines &amp; Spirits</v>
      </c>
      <c r="M6" s="262"/>
      <c r="P6" s="262"/>
      <c r="Q6" s="262"/>
      <c r="T6" s="1309"/>
      <c r="U6" s="2"/>
    </row>
    <row r="7" spans="1:24" ht="6" customHeight="1">
      <c r="B7" s="1311"/>
      <c r="C7" s="74"/>
      <c r="D7" s="839"/>
      <c r="E7" s="839"/>
      <c r="F7" s="839"/>
      <c r="G7" s="839"/>
      <c r="H7" s="839"/>
      <c r="I7" s="839"/>
      <c r="J7" s="839"/>
      <c r="K7" s="840"/>
      <c r="L7" s="841"/>
      <c r="M7" s="841"/>
      <c r="N7" s="841"/>
      <c r="O7" s="841"/>
      <c r="P7" s="841"/>
      <c r="Q7" s="841"/>
      <c r="R7" s="841"/>
      <c r="S7" s="841"/>
      <c r="T7" s="1312"/>
      <c r="U7" s="2"/>
    </row>
    <row r="8" spans="1:24" ht="13">
      <c r="B8" s="1313" t="str">
        <f>'Comps - Dataset'!B9</f>
        <v>Kweichow Moutai Co., Ltd.</v>
      </c>
      <c r="D8" s="1314">
        <f>VLOOKUP($B8,'Comps - Dataset'!$B$5:$AT$45,'Comps - Outputs'!D$57,0)</f>
        <v>300648.1030985915</v>
      </c>
      <c r="E8" s="1314">
        <f>VLOOKUP($B8,'Comps - Dataset'!$B$5:$AT$45,'Comps - Outputs'!E$57,0)</f>
        <v>291303.95492957748</v>
      </c>
      <c r="F8" s="1314">
        <f>VLOOKUP($B8,'Comps - Dataset'!$B$5:$AT$45,'Comps - Outputs'!F$57,0)</f>
        <v>62.349295774647892</v>
      </c>
      <c r="G8" s="1314">
        <f>VLOOKUP($B8,'Comps - Dataset'!$B$5:$AT$45,'Comps - Outputs'!G$57,0)</f>
        <v>24488.3798028169</v>
      </c>
      <c r="H8" s="1314">
        <f>VLOOKUP($B8,'Comps - Dataset'!$B$5:$AT$45,'Comps - Outputs'!H$57,0)</f>
        <v>23100.524704225354</v>
      </c>
      <c r="I8" s="1314">
        <f>VLOOKUP($B8,'Comps - Dataset'!$B$5:$AT$45,'Comps - Outputs'!I$57,0)</f>
        <v>16545.743239436619</v>
      </c>
      <c r="J8" s="1314">
        <f>VLOOKUP($B8,'Comps - Dataset'!$B$5:$AT$45,'Comps - Outputs'!J$57,0)</f>
        <v>11892.675633802815</v>
      </c>
      <c r="K8" s="970">
        <f>VLOOKUP($B8,'Comps - Dataset'!$B$5:$AT$45,'Comps - Outputs'!K$57,0)</f>
        <v>-8.3850665580380554E-2</v>
      </c>
      <c r="L8" s="1205">
        <f>VLOOKUP($B8,'Comps - Dataset'!$B$5:$AT$45,'Comps - Outputs'!L$57,0)</f>
        <v>14.800553860931856</v>
      </c>
      <c r="M8" s="1205">
        <f>VLOOKUP($B8,'Comps - Dataset'!$B$5:$AT$45,'Comps - Outputs'!M$57,0)</f>
        <v>12.610274383780324</v>
      </c>
      <c r="N8" s="971">
        <f>VLOOKUP($B8,'Comps - Dataset'!$B$5:$AT$45,'Comps - Outputs'!N$57,0)</f>
        <v>10.359769452284663</v>
      </c>
      <c r="O8" s="1205">
        <f>VLOOKUP($B8,'Comps - Dataset'!$B$5:$AT$45,'Comps - Outputs'!O$57,0)</f>
        <v>21.562602352240585</v>
      </c>
      <c r="P8" s="1205">
        <f>VLOOKUP($B8,'Comps - Dataset'!$B$5:$AT$45,'Comps - Outputs'!P$57,0)</f>
        <v>17.605975791722511</v>
      </c>
      <c r="Q8" s="971">
        <f>VLOOKUP($B8,'Comps - Dataset'!$B$5:$AT$45,'Comps - Outputs'!Q$57,0)</f>
        <v>14.626781564737211</v>
      </c>
      <c r="R8" s="1205">
        <f>VLOOKUP($B8,'Comps - Dataset'!$B$5:$AT$45,'Comps - Outputs'!R$57,0)</f>
        <v>30.083196651203973</v>
      </c>
      <c r="S8" s="971">
        <f>VLOOKUP($B8,'Comps - Dataset'!$B$5:$AT$45,'Comps - Outputs'!S$57,0)</f>
        <v>25.280106206214246</v>
      </c>
      <c r="T8" s="1315">
        <f>VLOOKUP($B8,'Comps - Dataset'!$B$5:$AT$45,'Comps - Outputs'!T$57,0)</f>
        <v>0.7162496718704493</v>
      </c>
      <c r="U8" s="2"/>
    </row>
    <row r="9" spans="1:24" ht="13">
      <c r="B9" s="1313" t="str">
        <f>'Comps - Dataset'!B10</f>
        <v>Wuliangye Yibin Co.,Ltd.</v>
      </c>
      <c r="D9" s="1314">
        <f>VLOOKUP($B9,'Comps - Dataset'!$B$5:$AT$45,'Comps - Outputs'!D$57,0)</f>
        <v>77881.00816901408</v>
      </c>
      <c r="E9" s="1314">
        <f>VLOOKUP($B9,'Comps - Dataset'!$B$5:$AT$45,'Comps - Outputs'!E$57,0)</f>
        <v>64463.640845070426</v>
      </c>
      <c r="F9" s="1314">
        <f>VLOOKUP($B9,'Comps - Dataset'!$B$5:$AT$45,'Comps - Outputs'!F$57,0)</f>
        <v>55.108732394366193</v>
      </c>
      <c r="G9" s="1314">
        <f>VLOOKUP($B9,'Comps - Dataset'!$B$5:$AT$45,'Comps - Outputs'!G$57,0)</f>
        <v>12965.013126760563</v>
      </c>
      <c r="H9" s="1314">
        <f>VLOOKUP($B9,'Comps - Dataset'!$B$5:$AT$45,'Comps - Outputs'!H$57,0)</f>
        <v>12700.018563380283</v>
      </c>
      <c r="I9" s="1314">
        <f>VLOOKUP($B9,'Comps - Dataset'!$B$5:$AT$45,'Comps - Outputs'!I$57,0)</f>
        <v>6291.7881126760567</v>
      </c>
      <c r="J9" s="1314">
        <f>VLOOKUP($B9,'Comps - Dataset'!$B$5:$AT$45,'Comps - Outputs'!J$57,0)</f>
        <v>4698.0697183098591</v>
      </c>
      <c r="K9" s="970">
        <f>VLOOKUP($B9,'Comps - Dataset'!$B$5:$AT$45,'Comps - Outputs'!K$57,0)</f>
        <v>-0.20026644826644824</v>
      </c>
      <c r="L9" s="1205">
        <f>VLOOKUP($B9,'Comps - Dataset'!$B$5:$AT$45,'Comps - Outputs'!L$57,0)</f>
        <v>5.6886453387762348</v>
      </c>
      <c r="M9" s="1205">
        <f>VLOOKUP($B9,'Comps - Dataset'!$B$5:$AT$45,'Comps - Outputs'!M$57,0)</f>
        <v>5.0758698125802226</v>
      </c>
      <c r="N9" s="971">
        <f>VLOOKUP($B9,'Comps - Dataset'!$B$5:$AT$45,'Comps - Outputs'!N$57,0)</f>
        <v>4.3553338189012756</v>
      </c>
      <c r="O9" s="1205">
        <f>VLOOKUP($B9,'Comps - Dataset'!$B$5:$AT$45,'Comps - Outputs'!O$57,0)</f>
        <v>11.801553841338809</v>
      </c>
      <c r="P9" s="1205">
        <f>VLOOKUP($B9,'Comps - Dataset'!$B$5:$AT$45,'Comps - Outputs'!P$57,0)</f>
        <v>10.245678921576461</v>
      </c>
      <c r="Q9" s="971">
        <f>VLOOKUP($B9,'Comps - Dataset'!$B$5:$AT$45,'Comps - Outputs'!Q$57,0)</f>
        <v>8.6937740900374045</v>
      </c>
      <c r="R9" s="1205">
        <f>VLOOKUP($B9,'Comps - Dataset'!$B$5:$AT$45,'Comps - Outputs'!R$57,0)</f>
        <v>18.783579917535775</v>
      </c>
      <c r="S9" s="971">
        <f>VLOOKUP($B9,'Comps - Dataset'!$B$5:$AT$45,'Comps - Outputs'!S$57,0)</f>
        <v>16.577235511318026</v>
      </c>
      <c r="T9" s="1315">
        <f>VLOOKUP($B9,'Comps - Dataset'!$B$5:$AT$45,'Comps - Outputs'!T$57,0)</f>
        <v>0.49541566268399306</v>
      </c>
      <c r="U9" s="2"/>
    </row>
    <row r="10" spans="1:24" ht="13">
      <c r="B10" s="1313" t="str">
        <f>'Comps - Dataset'!B11</f>
        <v>Pernod Ricard SA</v>
      </c>
      <c r="D10" s="1314">
        <f>VLOOKUP($B10,'Comps - Dataset'!$B$5:$AT$45,'Comps - Outputs'!D$57,0)</f>
        <v>44317.054945054952</v>
      </c>
      <c r="E10" s="1314">
        <f>VLOOKUP($B10,'Comps - Dataset'!$B$5:$AT$45,'Comps - Outputs'!E$57,0)</f>
        <v>56703.632967032965</v>
      </c>
      <c r="F10" s="1314">
        <f>VLOOKUP($B10,'Comps - Dataset'!$B$5:$AT$45,'Comps - Outputs'!F$57,0)</f>
        <v>13057.915384615386</v>
      </c>
      <c r="G10" s="1314">
        <f>VLOOKUP($B10,'Comps - Dataset'!$B$5:$AT$45,'Comps - Outputs'!G$57,0)</f>
        <v>1767.9402197802199</v>
      </c>
      <c r="H10" s="1314">
        <f>VLOOKUP($B10,'Comps - Dataset'!$B$5:$AT$45,'Comps - Outputs'!H$57,0)</f>
        <v>13787.832527472528</v>
      </c>
      <c r="I10" s="1314">
        <f>VLOOKUP($B10,'Comps - Dataset'!$B$5:$AT$45,'Comps - Outputs'!I$57,0)</f>
        <v>4294.504945054945</v>
      </c>
      <c r="J10" s="1314">
        <f>VLOOKUP($B10,'Comps - Dataset'!$B$5:$AT$45,'Comps - Outputs'!J$57,0)</f>
        <v>2578.6345054945054</v>
      </c>
      <c r="K10" s="970">
        <f>VLOOKUP($B10,'Comps - Dataset'!$B$5:$AT$45,'Comps - Outputs'!K$57,0)</f>
        <v>0.19910497042401265</v>
      </c>
      <c r="L10" s="1205">
        <f>VLOOKUP($B10,'Comps - Dataset'!$B$5:$AT$45,'Comps - Outputs'!L$57,0)</f>
        <v>4.2519560735989455</v>
      </c>
      <c r="M10" s="1205">
        <f>VLOOKUP($B10,'Comps - Dataset'!$B$5:$AT$45,'Comps - Outputs'!M$57,0)</f>
        <v>4.1125849805652814</v>
      </c>
      <c r="N10" s="971">
        <f>VLOOKUP($B10,'Comps - Dataset'!$B$5:$AT$45,'Comps - Outputs'!N$57,0)</f>
        <v>3.9422015258888106</v>
      </c>
      <c r="O10" s="1205">
        <f>VLOOKUP($B10,'Comps - Dataset'!$B$5:$AT$45,'Comps - Outputs'!O$57,0)</f>
        <v>14.897886851220361</v>
      </c>
      <c r="P10" s="1205">
        <f>VLOOKUP($B10,'Comps - Dataset'!$B$5:$AT$45,'Comps - Outputs'!P$57,0)</f>
        <v>13.203764739478601</v>
      </c>
      <c r="Q10" s="971">
        <f>VLOOKUP($B10,'Comps - Dataset'!$B$5:$AT$45,'Comps - Outputs'!Q$57,0)</f>
        <v>12.553128429054627</v>
      </c>
      <c r="R10" s="1205">
        <f>VLOOKUP($B10,'Comps - Dataset'!$B$5:$AT$45,'Comps - Outputs'!R$57,0)</f>
        <v>17.830592105263158</v>
      </c>
      <c r="S10" s="971">
        <f>VLOOKUP($B10,'Comps - Dataset'!$B$5:$AT$45,'Comps - Outputs'!S$57,0)</f>
        <v>17.186249098360008</v>
      </c>
      <c r="T10" s="1315">
        <f>VLOOKUP($B10,'Comps - Dataset'!$B$5:$AT$45,'Comps - Outputs'!T$57,0)</f>
        <v>0.31147063445237377</v>
      </c>
      <c r="U10" s="2"/>
    </row>
    <row r="11" spans="1:24" ht="13">
      <c r="B11" s="1313" t="str">
        <f>'Comps - Dataset'!B12</f>
        <v>Jiangsu Yanghe Brewery Joint-Stock Co., Ltd.</v>
      </c>
      <c r="D11" s="1314">
        <f>VLOOKUP($B11,'Comps - Dataset'!$B$5:$AT$45,'Comps - Outputs'!D$57,0)</f>
        <v>23469.783380281689</v>
      </c>
      <c r="E11" s="1314">
        <f>VLOOKUP($B11,'Comps - Dataset'!$B$5:$AT$45,'Comps - Outputs'!E$57,0)</f>
        <v>19296.000845070423</v>
      </c>
      <c r="F11" s="1314">
        <f>VLOOKUP($B11,'Comps - Dataset'!$B$5:$AT$45,'Comps - Outputs'!F$57,0)</f>
        <v>3.8214084507042254</v>
      </c>
      <c r="G11" s="1314">
        <f>VLOOKUP($B11,'Comps - Dataset'!$B$5:$AT$45,'Comps - Outputs'!G$57,0)</f>
        <v>4544.5094366197181</v>
      </c>
      <c r="H11" s="1314">
        <f>VLOOKUP($B11,'Comps - Dataset'!$B$5:$AT$45,'Comps - Outputs'!H$57,0)</f>
        <v>5363.3668732394362</v>
      </c>
      <c r="I11" s="1314">
        <f>VLOOKUP($B11,'Comps - Dataset'!$B$5:$AT$45,'Comps - Outputs'!I$57,0)</f>
        <v>2248.9692676056338</v>
      </c>
      <c r="J11" s="1314">
        <f>VLOOKUP($B11,'Comps - Dataset'!$B$5:$AT$45,'Comps - Outputs'!J$57,0)</f>
        <v>1687.302676056338</v>
      </c>
      <c r="K11" s="970">
        <f>VLOOKUP($B11,'Comps - Dataset'!$B$5:$AT$45,'Comps - Outputs'!K$57,0)</f>
        <v>-0.23531756992688099</v>
      </c>
      <c r="L11" s="1205">
        <f>VLOOKUP($B11,'Comps - Dataset'!$B$5:$AT$45,'Comps - Outputs'!L$57,0)</f>
        <v>4.0541528449787663</v>
      </c>
      <c r="M11" s="1205">
        <f>VLOOKUP($B11,'Comps - Dataset'!$B$5:$AT$45,'Comps - Outputs'!M$57,0)</f>
        <v>3.5977402443506112</v>
      </c>
      <c r="N11" s="971">
        <f>VLOOKUP($B11,'Comps - Dataset'!$B$5:$AT$45,'Comps - Outputs'!N$57,0)</f>
        <v>3.0779435354507543</v>
      </c>
      <c r="O11" s="1205">
        <f>VLOOKUP($B11,'Comps - Dataset'!$B$5:$AT$45,'Comps - Outputs'!O$57,0)</f>
        <v>9.91981595409192</v>
      </c>
      <c r="P11" s="1205">
        <f>VLOOKUP($B11,'Comps - Dataset'!$B$5:$AT$45,'Comps - Outputs'!P$57,0)</f>
        <v>8.5799308701154118</v>
      </c>
      <c r="Q11" s="971">
        <f>VLOOKUP($B11,'Comps - Dataset'!$B$5:$AT$45,'Comps - Outputs'!Q$57,0)</f>
        <v>7.3092585185608439</v>
      </c>
      <c r="R11" s="1205">
        <f>VLOOKUP($B11,'Comps - Dataset'!$B$5:$AT$45,'Comps - Outputs'!R$57,0)</f>
        <v>15.908861622358556</v>
      </c>
      <c r="S11" s="971">
        <f>VLOOKUP($B11,'Comps - Dataset'!$B$5:$AT$45,'Comps - Outputs'!S$57,0)</f>
        <v>13.909646273504785</v>
      </c>
      <c r="T11" s="1315">
        <f>VLOOKUP($B11,'Comps - Dataset'!$B$5:$AT$45,'Comps - Outputs'!T$57,0)</f>
        <v>0.41932042330105829</v>
      </c>
      <c r="U11" s="2"/>
    </row>
    <row r="12" spans="1:24" ht="13">
      <c r="B12" s="1313" t="str">
        <f>'Comps - Dataset'!B13</f>
        <v>Brown-Forman Corporation</v>
      </c>
      <c r="D12" s="1314">
        <f>VLOOKUP($B12,'Comps - Dataset'!$B$5:$AT$45,'Comps - Outputs'!D$57,0)</f>
        <v>26484.7</v>
      </c>
      <c r="E12" s="1314">
        <f>VLOOKUP($B12,'Comps - Dataset'!$B$5:$AT$45,'Comps - Outputs'!E$57,0)</f>
        <v>29221.7</v>
      </c>
      <c r="F12" s="1314">
        <f>VLOOKUP($B12,'Comps - Dataset'!$B$5:$AT$45,'Comps - Outputs'!F$57,0)</f>
        <v>2998</v>
      </c>
      <c r="G12" s="1314">
        <f>VLOOKUP($B12,'Comps - Dataset'!$B$5:$AT$45,'Comps - Outputs'!G$57,0)</f>
        <v>374</v>
      </c>
      <c r="H12" s="1314">
        <f>VLOOKUP($B12,'Comps - Dataset'!$B$5:$AT$45,'Comps - Outputs'!H$57,0)</f>
        <v>4409.47</v>
      </c>
      <c r="I12" s="1314">
        <f>VLOOKUP($B12,'Comps - Dataset'!$B$5:$AT$45,'Comps - Outputs'!I$57,0)</f>
        <v>1500.68</v>
      </c>
      <c r="J12" s="1314">
        <f>VLOOKUP($B12,'Comps - Dataset'!$B$5:$AT$45,'Comps - Outputs'!J$57,0)</f>
        <v>1026.71</v>
      </c>
      <c r="K12" s="970">
        <f>VLOOKUP($B12,'Comps - Dataset'!$B$5:$AT$45,'Comps - Outputs'!K$57,0)</f>
        <v>8.9796281530506436E-2</v>
      </c>
      <c r="L12" s="1205">
        <f>VLOOKUP($B12,'Comps - Dataset'!$B$5:$AT$45,'Comps - Outputs'!L$57,0)</f>
        <v>6.8402855805243448</v>
      </c>
      <c r="M12" s="1205">
        <f>VLOOKUP($B12,'Comps - Dataset'!$B$5:$AT$45,'Comps - Outputs'!M$57,0)</f>
        <v>6.6270322737199709</v>
      </c>
      <c r="N12" s="971">
        <f>VLOOKUP($B12,'Comps - Dataset'!$B$5:$AT$45,'Comps - Outputs'!N$57,0)</f>
        <v>6.4010523226012781</v>
      </c>
      <c r="O12" s="1205">
        <f>VLOOKUP($B12,'Comps - Dataset'!$B$5:$AT$45,'Comps - Outputs'!O$57,0)</f>
        <v>22.104160363086233</v>
      </c>
      <c r="P12" s="1205">
        <f>VLOOKUP($B12,'Comps - Dataset'!$B$5:$AT$45,'Comps - Outputs'!P$57,0)</f>
        <v>19.47230588799744</v>
      </c>
      <c r="Q12" s="971">
        <f>VLOOKUP($B12,'Comps - Dataset'!$B$5:$AT$45,'Comps - Outputs'!Q$57,0)</f>
        <v>19.016620678883797</v>
      </c>
      <c r="R12" s="1205">
        <f>VLOOKUP($B12,'Comps - Dataset'!$B$5:$AT$45,'Comps - Outputs'!R$57,0)</f>
        <v>33.954743589743593</v>
      </c>
      <c r="S12" s="971">
        <f>VLOOKUP($B12,'Comps - Dataset'!$B$5:$AT$45,'Comps - Outputs'!S$57,0)</f>
        <v>25.795696934869632</v>
      </c>
      <c r="T12" s="1315">
        <f>VLOOKUP($B12,'Comps - Dataset'!$B$5:$AT$45,'Comps - Outputs'!T$57,0)</f>
        <v>0.34033115090929295</v>
      </c>
      <c r="U12" s="2"/>
    </row>
    <row r="13" spans="1:24" ht="13">
      <c r="B13" s="1313" t="str">
        <f>'Comps - Dataset'!B14</f>
        <v>Davide Campari-Milano N.V.</v>
      </c>
      <c r="D13" s="1314">
        <f>VLOOKUP($B13,'Comps - Dataset'!$B$5:$AT$45,'Comps - Outputs'!D$57,0)</f>
        <v>12503.9010989011</v>
      </c>
      <c r="E13" s="1314">
        <f>VLOOKUP($B13,'Comps - Dataset'!$B$5:$AT$45,'Comps - Outputs'!E$57,0)</f>
        <v>14539.783516483518</v>
      </c>
      <c r="F13" s="1314">
        <f>VLOOKUP($B13,'Comps - Dataset'!$B$5:$AT$45,'Comps - Outputs'!F$57,0)</f>
        <v>2257.8560439560442</v>
      </c>
      <c r="G13" s="1314">
        <f>VLOOKUP($B13,'Comps - Dataset'!$B$5:$AT$45,'Comps - Outputs'!G$57,0)</f>
        <v>494.01395604395606</v>
      </c>
      <c r="H13" s="1314">
        <f>VLOOKUP($B13,'Comps - Dataset'!$B$5:$AT$45,'Comps - Outputs'!H$57,0)</f>
        <v>3424.188461538462</v>
      </c>
      <c r="I13" s="1314">
        <f>VLOOKUP($B13,'Comps - Dataset'!$B$5:$AT$45,'Comps - Outputs'!I$57,0)</f>
        <v>861.5479120879121</v>
      </c>
      <c r="J13" s="1314">
        <f>VLOOKUP($B13,'Comps - Dataset'!$B$5:$AT$45,'Comps - Outputs'!J$57,0)</f>
        <v>490.09978021978026</v>
      </c>
      <c r="K13" s="970">
        <f>VLOOKUP($B13,'Comps - Dataset'!$B$5:$AT$45,'Comps - Outputs'!K$57,0)</f>
        <v>0.1213114408417738</v>
      </c>
      <c r="L13" s="1205">
        <f>VLOOKUP($B13,'Comps - Dataset'!$B$5:$AT$45,'Comps - Outputs'!L$57,0)</f>
        <v>4.5653820235535738</v>
      </c>
      <c r="M13" s="1205">
        <f>VLOOKUP($B13,'Comps - Dataset'!$B$5:$AT$45,'Comps - Outputs'!M$57,0)</f>
        <v>4.2461983853397198</v>
      </c>
      <c r="N13" s="971">
        <f>VLOOKUP($B13,'Comps - Dataset'!$B$5:$AT$45,'Comps - Outputs'!N$57,0)</f>
        <v>3.8696770894531847</v>
      </c>
      <c r="O13" s="1205">
        <f>VLOOKUP($B13,'Comps - Dataset'!$B$5:$AT$45,'Comps - Outputs'!O$57,0)</f>
        <v>19.757117067074017</v>
      </c>
      <c r="P13" s="1205">
        <f>VLOOKUP($B13,'Comps - Dataset'!$B$5:$AT$45,'Comps - Outputs'!P$57,0)</f>
        <v>16.876349315555981</v>
      </c>
      <c r="Q13" s="971">
        <f>VLOOKUP($B13,'Comps - Dataset'!$B$5:$AT$45,'Comps - Outputs'!Q$57,0)</f>
        <v>14.546542063719276</v>
      </c>
      <c r="R13" s="1205">
        <f>VLOOKUP($B13,'Comps - Dataset'!$B$5:$AT$45,'Comps - Outputs'!R$57,0)</f>
        <v>32.436373276776251</v>
      </c>
      <c r="S13" s="971">
        <f>VLOOKUP($B13,'Comps - Dataset'!$B$5:$AT$45,'Comps - Outputs'!S$57,0)</f>
        <v>25.512970222704144</v>
      </c>
      <c r="T13" s="1315">
        <f>VLOOKUP($B13,'Comps - Dataset'!$B$5:$AT$45,'Comps - Outputs'!T$57,0)</f>
        <v>0.25160645267194937</v>
      </c>
      <c r="U13" s="2"/>
    </row>
    <row r="14" spans="1:24" ht="13">
      <c r="B14" s="1313" t="str">
        <f>'Comps - Dataset'!B15</f>
        <v>Rémy Cointreau SA</v>
      </c>
      <c r="D14" s="1314">
        <f>VLOOKUP($B14,'Comps - Dataset'!$B$5:$AT$45,'Comps - Outputs'!D$57,0)</f>
        <v>5985.9296703296704</v>
      </c>
      <c r="E14" s="1314">
        <f>VLOOKUP($B14,'Comps - Dataset'!$B$5:$AT$45,'Comps - Outputs'!E$57,0)</f>
        <v>6635.2945054945058</v>
      </c>
      <c r="F14" s="1314">
        <f>VLOOKUP($B14,'Comps - Dataset'!$B$5:$AT$45,'Comps - Outputs'!F$57,0)</f>
        <v>670.72417582417586</v>
      </c>
      <c r="G14" s="1314">
        <f>VLOOKUP($B14,'Comps - Dataset'!$B$5:$AT$45,'Comps - Outputs'!G$57,0)</f>
        <v>80.981538461538463</v>
      </c>
      <c r="H14" s="1314">
        <f>VLOOKUP($B14,'Comps - Dataset'!$B$5:$AT$45,'Comps - Outputs'!H$57,0)</f>
        <v>1415.9403296703299</v>
      </c>
      <c r="I14" s="1314">
        <f>VLOOKUP($B14,'Comps - Dataset'!$B$5:$AT$45,'Comps - Outputs'!I$57,0)</f>
        <v>425.34725274725275</v>
      </c>
      <c r="J14" s="1314">
        <f>VLOOKUP($B14,'Comps - Dataset'!$B$5:$AT$45,'Comps - Outputs'!J$57,0)</f>
        <v>243.83373626373628</v>
      </c>
      <c r="K14" s="970">
        <f>VLOOKUP($B14,'Comps - Dataset'!$B$5:$AT$45,'Comps - Outputs'!K$57,0)</f>
        <v>8.8879647598804803E-2</v>
      </c>
      <c r="L14" s="1205">
        <f>VLOOKUP($B14,'Comps - Dataset'!$B$5:$AT$45,'Comps - Outputs'!L$57,0)</f>
        <v>4.5812870448772225</v>
      </c>
      <c r="M14" s="1205">
        <f>VLOOKUP($B14,'Comps - Dataset'!$B$5:$AT$45,'Comps - Outputs'!M$57,0)</f>
        <v>4.6861399216161788</v>
      </c>
      <c r="N14" s="971">
        <f>VLOOKUP($B14,'Comps - Dataset'!$B$5:$AT$45,'Comps - Outputs'!N$57,0)</f>
        <v>4.4606738485214903</v>
      </c>
      <c r="O14" s="1205">
        <f>VLOOKUP($B14,'Comps - Dataset'!$B$5:$AT$45,'Comps - Outputs'!O$57,0)</f>
        <v>19.567811934900543</v>
      </c>
      <c r="P14" s="1205">
        <f>VLOOKUP($B14,'Comps - Dataset'!$B$5:$AT$45,'Comps - Outputs'!P$57,0)</f>
        <v>15.599711677078327</v>
      </c>
      <c r="Q14" s="971">
        <f>VLOOKUP($B14,'Comps - Dataset'!$B$5:$AT$45,'Comps - Outputs'!Q$57,0)</f>
        <v>14.599298434970317</v>
      </c>
      <c r="R14" s="1205">
        <f>VLOOKUP($B14,'Comps - Dataset'!$B$5:$AT$45,'Comps - Outputs'!R$57,0)</f>
        <v>29.762195121951216</v>
      </c>
      <c r="S14" s="971">
        <f>VLOOKUP($B14,'Comps - Dataset'!$B$5:$AT$45,'Comps - Outputs'!S$57,0)</f>
        <v>24.549226706903053</v>
      </c>
      <c r="T14" s="1315">
        <f>VLOOKUP($B14,'Comps - Dataset'!$B$5:$AT$45,'Comps - Outputs'!T$57,0)</f>
        <v>0.30039913676749735</v>
      </c>
      <c r="U14" s="2"/>
    </row>
    <row r="15" spans="1:24" ht="13">
      <c r="B15" s="1313" t="str">
        <f>'Comps - Dataset'!B16</f>
        <v>Becle, S.A.B. de C.V.</v>
      </c>
      <c r="D15" s="1314">
        <f>VLOOKUP($B15,'Comps - Dataset'!$B$5:$AT$45,'Comps - Outputs'!D$57,0)</f>
        <v>6711.3047985782005</v>
      </c>
      <c r="E15" s="1314">
        <f>VLOOKUP($B15,'Comps - Dataset'!$B$5:$AT$45,'Comps - Outputs'!E$57,0)</f>
        <v>8107.4247630331765</v>
      </c>
      <c r="F15" s="1314">
        <f>VLOOKUP($B15,'Comps - Dataset'!$B$5:$AT$45,'Comps - Outputs'!F$57,0)</f>
        <v>1222.5171800947871</v>
      </c>
      <c r="G15" s="1314">
        <f>VLOOKUP($B15,'Comps - Dataset'!$B$5:$AT$45,'Comps - Outputs'!G$57,0)</f>
        <v>267.78409360189573</v>
      </c>
      <c r="H15" s="1314">
        <f>VLOOKUP($B15,'Comps - Dataset'!$B$5:$AT$45,'Comps - Outputs'!H$57,0)</f>
        <v>2886.4212381516591</v>
      </c>
      <c r="I15" s="1314">
        <f>VLOOKUP($B15,'Comps - Dataset'!$B$5:$AT$45,'Comps - Outputs'!I$57,0)</f>
        <v>579.71406990521336</v>
      </c>
      <c r="J15" s="1314">
        <f>VLOOKUP($B15,'Comps - Dataset'!$B$5:$AT$45,'Comps - Outputs'!J$57,0)</f>
        <v>314.92100118483415</v>
      </c>
      <c r="K15" s="970">
        <f>VLOOKUP($B15,'Comps - Dataset'!$B$5:$AT$45,'Comps - Outputs'!K$57,0)</f>
        <v>0.11776033875098256</v>
      </c>
      <c r="L15" s="1205">
        <f>VLOOKUP($B15,'Comps - Dataset'!$B$5:$AT$45,'Comps - Outputs'!L$57,0)</f>
        <v>3.0421937673557542</v>
      </c>
      <c r="M15" s="1205">
        <f>VLOOKUP($B15,'Comps - Dataset'!$B$5:$AT$45,'Comps - Outputs'!M$57,0)</f>
        <v>2.8088155172475191</v>
      </c>
      <c r="N15" s="971">
        <f>VLOOKUP($B15,'Comps - Dataset'!$B$5:$AT$45,'Comps - Outputs'!N$57,0)</f>
        <v>2.5012763555530184</v>
      </c>
      <c r="O15" s="1205">
        <f>VLOOKUP($B15,'Comps - Dataset'!$B$5:$AT$45,'Comps - Outputs'!O$57,0)</f>
        <v>19.361315660284735</v>
      </c>
      <c r="P15" s="1205">
        <f>VLOOKUP($B15,'Comps - Dataset'!$B$5:$AT$45,'Comps - Outputs'!P$57,0)</f>
        <v>13.9852130281378</v>
      </c>
      <c r="Q15" s="971">
        <f>VLOOKUP($B15,'Comps - Dataset'!$B$5:$AT$45,'Comps - Outputs'!Q$57,0)</f>
        <v>10.441055780584016</v>
      </c>
      <c r="R15" s="1205">
        <f>VLOOKUP($B15,'Comps - Dataset'!$B$5:$AT$45,'Comps - Outputs'!R$57,0)</f>
        <v>27.331519464210963</v>
      </c>
      <c r="S15" s="971">
        <f>VLOOKUP($B15,'Comps - Dataset'!$B$5:$AT$45,'Comps - Outputs'!S$57,0)</f>
        <v>21.311074121218056</v>
      </c>
      <c r="T15" s="1315">
        <f>VLOOKUP($B15,'Comps - Dataset'!$B$5:$AT$45,'Comps - Outputs'!T$57,0)</f>
        <v>0.20084181139009272</v>
      </c>
      <c r="U15" s="2"/>
    </row>
    <row r="16" spans="1:24" ht="13">
      <c r="B16" s="1313" t="str">
        <f>'Comps - Dataset'!B17</f>
        <v>Emperador Inc.</v>
      </c>
      <c r="D16" s="1314">
        <f>VLOOKUP($B16,'Comps - Dataset'!$B$5:$AT$45,'Comps - Outputs'!D$57,0)</f>
        <v>5889.1406052963421</v>
      </c>
      <c r="E16" s="1314">
        <f>VLOOKUP($B16,'Comps - Dataset'!$B$5:$AT$45,'Comps - Outputs'!E$57,0)</f>
        <v>6206.5691767249155</v>
      </c>
      <c r="F16" s="1314">
        <f>VLOOKUP($B16,'Comps - Dataset'!$B$5:$AT$45,'Comps - Outputs'!F$57,0)</f>
        <v>438.91605116195279</v>
      </c>
      <c r="G16" s="1314">
        <f>VLOOKUP($B16,'Comps - Dataset'!$B$5:$AT$45,'Comps - Outputs'!G$57,0)</f>
        <v>229.18502972437398</v>
      </c>
      <c r="H16" s="1314">
        <f>VLOOKUP($B16,'Comps - Dataset'!$B$5:$AT$45,'Comps - Outputs'!H$57,0)</f>
        <v>1319.4300846694289</v>
      </c>
      <c r="I16" s="1314">
        <f>VLOOKUP($B16,'Comps - Dataset'!$B$5:$AT$45,'Comps - Outputs'!I$57,0)</f>
        <v>302.65793550711578</v>
      </c>
      <c r="J16" s="1314">
        <f>VLOOKUP($B16,'Comps - Dataset'!$B$5:$AT$45,'Comps - Outputs'!J$57,0)</f>
        <v>206.49869392902178</v>
      </c>
      <c r="K16" s="970">
        <f>VLOOKUP($B16,'Comps - Dataset'!$B$5:$AT$45,'Comps - Outputs'!K$57,0)</f>
        <v>3.3791780203479463E-2</v>
      </c>
      <c r="L16" s="1205">
        <f>VLOOKUP($B16,'Comps - Dataset'!$B$5:$AT$45,'Comps - Outputs'!L$57,0)</f>
        <v>5.1324892419728574</v>
      </c>
      <c r="M16" s="1205">
        <f>VLOOKUP($B16,'Comps - Dataset'!$B$5:$AT$45,'Comps - Outputs'!M$57,0)</f>
        <v>4.7039773072022335</v>
      </c>
      <c r="N16" s="971">
        <f>VLOOKUP($B16,'Comps - Dataset'!$B$5:$AT$45,'Comps - Outputs'!N$57,0)</f>
        <v>4.2522368105310075</v>
      </c>
      <c r="O16" s="1205">
        <f>VLOOKUP($B16,'Comps - Dataset'!$B$5:$AT$45,'Comps - Outputs'!O$57,0)</f>
        <v>24.494865718799375</v>
      </c>
      <c r="P16" s="1205">
        <f>VLOOKUP($B16,'Comps - Dataset'!$B$5:$AT$45,'Comps - Outputs'!P$57,0)</f>
        <v>20.506877397169692</v>
      </c>
      <c r="Q16" s="971">
        <f>VLOOKUP($B16,'Comps - Dataset'!$B$5:$AT$45,'Comps - Outputs'!Q$57,0)</f>
        <v>17.354356707146458</v>
      </c>
      <c r="R16" s="1205">
        <f>VLOOKUP($B16,'Comps - Dataset'!$B$5:$AT$45,'Comps - Outputs'!R$57,0)</f>
        <v>33.879677605066206</v>
      </c>
      <c r="S16" s="971">
        <f>VLOOKUP($B16,'Comps - Dataset'!$B$5:$AT$45,'Comps - Outputs'!S$57,0)</f>
        <v>28.519021080688152</v>
      </c>
      <c r="T16" s="1315">
        <f>VLOOKUP($B16,'Comps - Dataset'!$B$5:$AT$45,'Comps - Outputs'!T$57,0)</f>
        <v>0.2293853528305321</v>
      </c>
      <c r="U16" s="2"/>
    </row>
    <row r="17" spans="1:24" ht="13">
      <c r="B17" s="1313" t="str">
        <f>'Comps - Dataset'!B18</f>
        <v>Treasury Wine Estates Limited</v>
      </c>
      <c r="D17" s="1314">
        <f>VLOOKUP($B17,'Comps - Dataset'!$B$5:$AT$45,'Comps - Outputs'!D$57,0)</f>
        <v>5596.7624161073818</v>
      </c>
      <c r="E17" s="1314">
        <f>VLOOKUP($B17,'Comps - Dataset'!$B$5:$AT$45,'Comps - Outputs'!E$57,0)</f>
        <v>6528.7570469798657</v>
      </c>
      <c r="F17" s="1314">
        <f>VLOOKUP($B17,'Comps - Dataset'!$B$5:$AT$45,'Comps - Outputs'!F$57,0)</f>
        <v>1299.9570469798657</v>
      </c>
      <c r="G17" s="1314">
        <f>VLOOKUP($B17,'Comps - Dataset'!$B$5:$AT$45,'Comps - Outputs'!G$57,0)</f>
        <v>379.60214765100676</v>
      </c>
      <c r="H17" s="1314">
        <f>VLOOKUP($B17,'Comps - Dataset'!$B$5:$AT$45,'Comps - Outputs'!H$57,0)</f>
        <v>1817.8485906040269</v>
      </c>
      <c r="I17" s="1314">
        <f>VLOOKUP($B17,'Comps - Dataset'!$B$5:$AT$45,'Comps - Outputs'!I$57,0)</f>
        <v>543.49691275167788</v>
      </c>
      <c r="J17" s="1314">
        <f>VLOOKUP($B17,'Comps - Dataset'!$B$5:$AT$45,'Comps - Outputs'!J$57,0)</f>
        <v>272.87570469798658</v>
      </c>
      <c r="K17" s="970">
        <f>VLOOKUP($B17,'Comps - Dataset'!$B$5:$AT$45,'Comps - Outputs'!K$57,0)</f>
        <v>0.14096939014672102</v>
      </c>
      <c r="L17" s="1205">
        <f>VLOOKUP($B17,'Comps - Dataset'!$B$5:$AT$45,'Comps - Outputs'!L$57,0)</f>
        <v>3.9107241063244729</v>
      </c>
      <c r="M17" s="1205">
        <f>VLOOKUP($B17,'Comps - Dataset'!$B$5:$AT$45,'Comps - Outputs'!M$57,0)</f>
        <v>3.5914746039495613</v>
      </c>
      <c r="N17" s="971">
        <f>VLOOKUP($B17,'Comps - Dataset'!$B$5:$AT$45,'Comps - Outputs'!N$57,0)</f>
        <v>3.16228715992529</v>
      </c>
      <c r="O17" s="1205">
        <f>VLOOKUP($B17,'Comps - Dataset'!$B$5:$AT$45,'Comps - Outputs'!O$57,0)</f>
        <v>16.913054968287526</v>
      </c>
      <c r="P17" s="1205">
        <f>VLOOKUP($B17,'Comps - Dataset'!$B$5:$AT$45,'Comps - Outputs'!P$57,0)</f>
        <v>12.012500703868461</v>
      </c>
      <c r="Q17" s="971">
        <f>VLOOKUP($B17,'Comps - Dataset'!$B$5:$AT$45,'Comps - Outputs'!Q$57,0)</f>
        <v>10.228547683357572</v>
      </c>
      <c r="R17" s="1205">
        <f>VLOOKUP($B17,'Comps - Dataset'!$B$5:$AT$45,'Comps - Outputs'!R$57,0)</f>
        <v>32.773596176821982</v>
      </c>
      <c r="S17" s="971">
        <f>VLOOKUP($B17,'Comps - Dataset'!$B$5:$AT$45,'Comps - Outputs'!S$57,0)</f>
        <v>20.510299450446745</v>
      </c>
      <c r="T17" s="1315">
        <f>VLOOKUP($B17,'Comps - Dataset'!$B$5:$AT$45,'Comps - Outputs'!T$57,0)</f>
        <v>0.29897809727436492</v>
      </c>
      <c r="U17" s="2"/>
    </row>
    <row r="18" spans="1:24" ht="6" customHeight="1">
      <c r="B18" s="1316"/>
      <c r="D18" s="1317"/>
      <c r="E18" s="1317"/>
      <c r="F18" s="1317"/>
      <c r="G18" s="1317"/>
      <c r="H18" s="1317"/>
      <c r="I18" s="1317"/>
      <c r="J18" s="1317"/>
      <c r="K18" s="1318"/>
      <c r="L18" s="843"/>
      <c r="M18" s="843"/>
      <c r="N18" s="843"/>
      <c r="O18" s="843"/>
      <c r="P18" s="843"/>
      <c r="Q18" s="843"/>
      <c r="R18" s="843"/>
      <c r="S18" s="843"/>
      <c r="T18" s="1319"/>
      <c r="U18" s="2"/>
    </row>
    <row r="19" spans="1:24" ht="13">
      <c r="B19" s="1320" t="s">
        <v>798</v>
      </c>
      <c r="C19" s="846"/>
      <c r="D19" s="846"/>
      <c r="E19" s="846"/>
      <c r="F19" s="846"/>
      <c r="G19" s="846"/>
      <c r="H19" s="846"/>
      <c r="I19" s="846"/>
      <c r="J19" s="846"/>
      <c r="K19" s="847">
        <f t="shared" ref="K19:T19" si="0">AVERAGE(K8:K17)</f>
        <v>2.7217916572257094E-2</v>
      </c>
      <c r="L19" s="848">
        <f t="shared" si="0"/>
        <v>5.6867669882894027</v>
      </c>
      <c r="M19" s="848">
        <f t="shared" si="0"/>
        <v>5.2060107430351623</v>
      </c>
      <c r="N19" s="849">
        <f t="shared" si="0"/>
        <v>4.6382451919110768</v>
      </c>
      <c r="O19" s="848">
        <f t="shared" si="0"/>
        <v>18.038018471132411</v>
      </c>
      <c r="P19" s="848">
        <f t="shared" si="0"/>
        <v>14.808830833270068</v>
      </c>
      <c r="Q19" s="849">
        <f t="shared" si="0"/>
        <v>12.936936395105153</v>
      </c>
      <c r="R19" s="848">
        <f t="shared" si="0"/>
        <v>27.274433553093171</v>
      </c>
      <c r="S19" s="849">
        <f t="shared" si="0"/>
        <v>21.915152560622683</v>
      </c>
      <c r="T19" s="1315">
        <f t="shared" si="0"/>
        <v>0.35639983941516035</v>
      </c>
      <c r="U19" s="2"/>
    </row>
    <row r="20" spans="1:24" ht="6.75" customHeight="1">
      <c r="A20" s="420"/>
      <c r="B20" s="1276"/>
      <c r="T20" s="1321"/>
      <c r="U20" s="2"/>
      <c r="V20" s="420"/>
      <c r="W20" s="420"/>
      <c r="X20" s="420"/>
    </row>
    <row r="21" spans="1:24" ht="13">
      <c r="B21" s="1322" t="str">
        <f>'Comps - Dataset'!B20</f>
        <v>Beer</v>
      </c>
      <c r="C21" s="72"/>
      <c r="D21" s="853"/>
      <c r="E21" s="853"/>
      <c r="F21" s="853"/>
      <c r="G21" s="853"/>
      <c r="H21" s="853"/>
      <c r="I21" s="853"/>
      <c r="J21" s="853"/>
      <c r="K21" s="72"/>
      <c r="L21" s="72"/>
      <c r="M21" s="854"/>
      <c r="N21" s="72"/>
      <c r="O21" s="72"/>
      <c r="P21" s="854"/>
      <c r="Q21" s="854"/>
      <c r="R21" s="72"/>
      <c r="S21" s="72"/>
      <c r="T21" s="1323"/>
      <c r="U21" s="2"/>
    </row>
    <row r="22" spans="1:24" ht="6.75" customHeight="1">
      <c r="A22" s="420"/>
      <c r="B22" s="1276"/>
      <c r="T22" s="1321"/>
      <c r="U22" s="2"/>
      <c r="V22" s="420"/>
      <c r="W22" s="420"/>
      <c r="X22" s="420"/>
    </row>
    <row r="23" spans="1:24" ht="13">
      <c r="B23" s="1313" t="str">
        <f>'Comps - Dataset'!B21</f>
        <v>China Resources Beer</v>
      </c>
      <c r="D23" s="1314">
        <f>VLOOKUP($B23,'Comps - Dataset'!$B$5:$AT$45,'Comps - Outputs'!D$57,0)</f>
        <v>13977</v>
      </c>
      <c r="E23" s="1314">
        <f>VLOOKUP($B23,'Comps - Dataset'!$B$5:$AT$45,'Comps - Outputs'!E$57,0)</f>
        <v>13994.3</v>
      </c>
      <c r="F23" s="1314">
        <f>VLOOKUP($B23,'Comps - Dataset'!$B$5:$AT$45,'Comps - Outputs'!F$57,0)</f>
        <v>169.2</v>
      </c>
      <c r="G23" s="1314">
        <f>VLOOKUP($B23,'Comps - Dataset'!$B$5:$AT$45,'Comps - Outputs'!G$57,0)</f>
        <v>1455.65</v>
      </c>
      <c r="H23" s="1314">
        <f>VLOOKUP($B23,'Comps - Dataset'!$B$5:$AT$45,'Comps - Outputs'!H$57,0)</f>
        <v>5806.76</v>
      </c>
      <c r="I23" s="1314">
        <f>VLOOKUP($B23,'Comps - Dataset'!$B$5:$AT$45,'Comps - Outputs'!I$57,0)</f>
        <v>1341.29</v>
      </c>
      <c r="J23" s="1314">
        <f>VLOOKUP($B23,'Comps - Dataset'!$B$5:$AT$45,'Comps - Outputs'!J$57,0)</f>
        <v>819.07</v>
      </c>
      <c r="K23" s="970">
        <f>VLOOKUP($B23,'Comps - Dataset'!$B$5:$AT$45,'Comps - Outputs'!K$57,0)</f>
        <v>-9.1926713018871981E-2</v>
      </c>
      <c r="L23" s="1205">
        <f>VLOOKUP($B23,'Comps - Dataset'!$B$5:$AT$45,'Comps - Outputs'!L$57,0)</f>
        <v>2.6298648826414595</v>
      </c>
      <c r="M23" s="1205">
        <f>VLOOKUP($B23,'Comps - Dataset'!$B$5:$AT$45,'Comps - Outputs'!M$57,0)</f>
        <v>2.4100014465898365</v>
      </c>
      <c r="N23" s="971">
        <f>VLOOKUP($B23,'Comps - Dataset'!$B$5:$AT$45,'Comps - Outputs'!N$57,0)</f>
        <v>2.1321236221252216</v>
      </c>
      <c r="O23" s="1205">
        <f>VLOOKUP($B23,'Comps - Dataset'!$B$5:$AT$45,'Comps - Outputs'!O$57,0)</f>
        <v>14.893891017454235</v>
      </c>
      <c r="P23" s="1205">
        <f>VLOOKUP($B23,'Comps - Dataset'!$B$5:$AT$45,'Comps - Outputs'!P$57,0)</f>
        <v>10.433463307711234</v>
      </c>
      <c r="Q23" s="971">
        <f>VLOOKUP($B23,'Comps - Dataset'!$B$5:$AT$45,'Comps - Outputs'!Q$57,0)</f>
        <v>8.3650937869857849</v>
      </c>
      <c r="R23" s="1205">
        <f>VLOOKUP($B23,'Comps - Dataset'!$B$5:$AT$45,'Comps - Outputs'!R$57,0)</f>
        <v>19.289263041678165</v>
      </c>
      <c r="S23" s="971">
        <f>VLOOKUP($B23,'Comps - Dataset'!$B$5:$AT$45,'Comps - Outputs'!S$57,0)</f>
        <v>17.064475563749127</v>
      </c>
      <c r="T23" s="1315">
        <f>VLOOKUP($B23,'Comps - Dataset'!$B$5:$AT$45,'Comps - Outputs'!T$57,0)</f>
        <v>0.23098767643229615</v>
      </c>
      <c r="U23" s="2"/>
    </row>
    <row r="24" spans="1:24" ht="13">
      <c r="B24" s="1313" t="str">
        <f>'Comps - Dataset'!B22</f>
        <v>Molson Coors Beverage Company</v>
      </c>
      <c r="D24" s="1314">
        <f>VLOOKUP($B24,'Comps - Dataset'!$B$5:$AT$45,'Comps - Outputs'!D$57,0)</f>
        <v>13444.5</v>
      </c>
      <c r="E24" s="1314">
        <f>VLOOKUP($B24,'Comps - Dataset'!$B$5:$AT$45,'Comps - Outputs'!E$57,0)</f>
        <v>19420.5</v>
      </c>
      <c r="F24" s="1314">
        <f>VLOOKUP($B24,'Comps - Dataset'!$B$5:$AT$45,'Comps - Outputs'!F$57,0)</f>
        <v>6706.3</v>
      </c>
      <c r="G24" s="1314">
        <f>VLOOKUP($B24,'Comps - Dataset'!$B$5:$AT$45,'Comps - Outputs'!G$57,0)</f>
        <v>600</v>
      </c>
      <c r="H24" s="1314">
        <f>VLOOKUP($B24,'Comps - Dataset'!$B$5:$AT$45,'Comps - Outputs'!H$57,0)</f>
        <v>11725.25</v>
      </c>
      <c r="I24" s="1314">
        <f>VLOOKUP($B24,'Comps - Dataset'!$B$5:$AT$45,'Comps - Outputs'!I$57,0)</f>
        <v>2331.39</v>
      </c>
      <c r="J24" s="1314">
        <f>VLOOKUP($B24,'Comps - Dataset'!$B$5:$AT$45,'Comps - Outputs'!J$57,0)</f>
        <v>1154.97</v>
      </c>
      <c r="K24" s="970">
        <f>VLOOKUP($B24,'Comps - Dataset'!$B$5:$AT$45,'Comps - Outputs'!K$57,0)</f>
        <v>0.31442547823176542</v>
      </c>
      <c r="L24" s="1205">
        <f>VLOOKUP($B24,'Comps - Dataset'!$B$5:$AT$45,'Comps - Outputs'!L$57,0)</f>
        <v>1.6827689588243451</v>
      </c>
      <c r="M24" s="1205">
        <f>VLOOKUP($B24,'Comps - Dataset'!$B$5:$AT$45,'Comps - Outputs'!M$57,0)</f>
        <v>1.6562973070936653</v>
      </c>
      <c r="N24" s="971">
        <f>VLOOKUP($B24,'Comps - Dataset'!$B$5:$AT$45,'Comps - Outputs'!N$57,0)</f>
        <v>1.6319473622292062</v>
      </c>
      <c r="O24" s="1205">
        <f>VLOOKUP($B24,'Comps - Dataset'!$B$5:$AT$45,'Comps - Outputs'!O$57,0)</f>
        <v>8.9863958169450751</v>
      </c>
      <c r="P24" s="1205">
        <f>VLOOKUP($B24,'Comps - Dataset'!$B$5:$AT$45,'Comps - Outputs'!P$57,0)</f>
        <v>8.3300091361805624</v>
      </c>
      <c r="Q24" s="971">
        <f>VLOOKUP($B24,'Comps - Dataset'!$B$5:$AT$45,'Comps - Outputs'!Q$57,0)</f>
        <v>8.0175125709048576</v>
      </c>
      <c r="R24" s="1205">
        <f>VLOOKUP($B24,'Comps - Dataset'!$B$5:$AT$45,'Comps - Outputs'!R$57,0)</f>
        <v>52.702861622892982</v>
      </c>
      <c r="S24" s="971">
        <f>VLOOKUP($B24,'Comps - Dataset'!$B$5:$AT$45,'Comps - Outputs'!S$57,0)</f>
        <v>11.640562092521883</v>
      </c>
      <c r="T24" s="1315">
        <f>VLOOKUP($B24,'Comps - Dataset'!$B$5:$AT$45,'Comps - Outputs'!T$57,0)</f>
        <v>0.19883499285729514</v>
      </c>
      <c r="U24" s="2"/>
    </row>
    <row r="25" spans="1:24" ht="13">
      <c r="B25" s="1313" t="str">
        <f>'Comps - Dataset'!B23</f>
        <v>Carlsberg A/S</v>
      </c>
      <c r="D25" s="1314">
        <f>VLOOKUP($B25,'Comps - Dataset'!$B$5:$AT$45,'Comps - Outputs'!D$57,0)</f>
        <v>17453.407573025608</v>
      </c>
      <c r="E25" s="1314">
        <f>VLOOKUP($B25,'Comps - Dataset'!$B$5:$AT$45,'Comps - Outputs'!E$57,0)</f>
        <v>21212.621565091962</v>
      </c>
      <c r="F25" s="1314">
        <f>VLOOKUP($B25,'Comps - Dataset'!$B$5:$AT$45,'Comps - Outputs'!F$57,0)</f>
        <v>4143.8203750450775</v>
      </c>
      <c r="G25" s="1314">
        <f>VLOOKUP($B25,'Comps - Dataset'!$B$5:$AT$45,'Comps - Outputs'!G$57,0)</f>
        <v>1180.8368698160839</v>
      </c>
      <c r="H25" s="1314">
        <f>VLOOKUP($B25,'Comps - Dataset'!$B$5:$AT$45,'Comps - Outputs'!H$57,0)</f>
        <v>10980.958517850706</v>
      </c>
      <c r="I25" s="1314">
        <f>VLOOKUP($B25,'Comps - Dataset'!$B$5:$AT$45,'Comps - Outputs'!I$57,0)</f>
        <v>2348.5259177785792</v>
      </c>
      <c r="J25" s="1314">
        <f>VLOOKUP($B25,'Comps - Dataset'!$B$5:$AT$45,'Comps - Outputs'!J$57,0)</f>
        <v>1106.0216516408223</v>
      </c>
      <c r="K25" s="970">
        <f>VLOOKUP($B25,'Comps - Dataset'!$B$5:$AT$45,'Comps - Outputs'!K$57,0)</f>
        <v>0.13968021331719582</v>
      </c>
      <c r="L25" s="1205">
        <f>VLOOKUP($B25,'Comps - Dataset'!$B$5:$AT$45,'Comps - Outputs'!L$57,0)</f>
        <v>2.019689287385297</v>
      </c>
      <c r="M25" s="1205">
        <f>VLOOKUP($B25,'Comps - Dataset'!$B$5:$AT$45,'Comps - Outputs'!M$57,0)</f>
        <v>1.9317641106291958</v>
      </c>
      <c r="N25" s="971">
        <f>VLOOKUP($B25,'Comps - Dataset'!$B$5:$AT$45,'Comps - Outputs'!N$57,0)</f>
        <v>1.8321591943613613</v>
      </c>
      <c r="O25" s="1205">
        <f>VLOOKUP($B25,'Comps - Dataset'!$B$5:$AT$45,'Comps - Outputs'!O$57,0)</f>
        <v>11.349860485082635</v>
      </c>
      <c r="P25" s="1205">
        <f>VLOOKUP($B25,'Comps - Dataset'!$B$5:$AT$45,'Comps - Outputs'!P$57,0)</f>
        <v>9.032313164828313</v>
      </c>
      <c r="Q25" s="971">
        <f>VLOOKUP($B25,'Comps - Dataset'!$B$5:$AT$45,'Comps - Outputs'!Q$57,0)</f>
        <v>8.3576404392269676</v>
      </c>
      <c r="R25" s="1205">
        <f>VLOOKUP($B25,'Comps - Dataset'!$B$5:$AT$45,'Comps - Outputs'!R$57,0)</f>
        <v>15.653175031480485</v>
      </c>
      <c r="S25" s="971">
        <f>VLOOKUP($B25,'Comps - Dataset'!$B$5:$AT$45,'Comps - Outputs'!S$57,0)</f>
        <v>15.780348917340687</v>
      </c>
      <c r="T25" s="1315">
        <f>VLOOKUP($B25,'Comps - Dataset'!$B$5:$AT$45,'Comps - Outputs'!T$57,0)</f>
        <v>0.21387257897029688</v>
      </c>
      <c r="U25" s="2"/>
    </row>
    <row r="26" spans="1:24" ht="13">
      <c r="B26" s="1313" t="str">
        <f>'Comps - Dataset'!B24</f>
        <v>The Boston Beer Company, Inc.</v>
      </c>
      <c r="D26" s="1314">
        <f>VLOOKUP($B26,'Comps - Dataset'!$B$5:$AT$45,'Comps - Outputs'!D$57,0)</f>
        <v>4179.8999999999996</v>
      </c>
      <c r="E26" s="1314">
        <f>VLOOKUP($B26,'Comps - Dataset'!$B$5:$AT$45,'Comps - Outputs'!E$57,0)</f>
        <v>3916.7</v>
      </c>
      <c r="F26" s="1314">
        <f>VLOOKUP($B26,'Comps - Dataset'!$B$5:$AT$45,'Comps - Outputs'!F$57,0)</f>
        <v>55.6</v>
      </c>
      <c r="G26" s="1314">
        <f>VLOOKUP($B26,'Comps - Dataset'!$B$5:$AT$45,'Comps - Outputs'!G$57,0)</f>
        <v>180.56</v>
      </c>
      <c r="H26" s="1314">
        <f>VLOOKUP($B26,'Comps - Dataset'!$B$5:$AT$45,'Comps - Outputs'!H$57,0)</f>
        <v>2091.42</v>
      </c>
      <c r="I26" s="1314">
        <f>VLOOKUP($B26,'Comps - Dataset'!$B$5:$AT$45,'Comps - Outputs'!I$57,0)</f>
        <v>268.06</v>
      </c>
      <c r="J26" s="1314">
        <f>VLOOKUP($B26,'Comps - Dataset'!$B$5:$AT$45,'Comps - Outputs'!J$57,0)</f>
        <v>121.88</v>
      </c>
      <c r="K26" s="970">
        <f>VLOOKUP($B26,'Comps - Dataset'!$B$5:$AT$45,'Comps - Outputs'!K$57,0)</f>
        <v>-3.1904409324175965E-2</v>
      </c>
      <c r="L26" s="1205">
        <f>VLOOKUP($B26,'Comps - Dataset'!$B$5:$AT$45,'Comps - Outputs'!L$57,0)</f>
        <v>1.8990981380915437</v>
      </c>
      <c r="M26" s="1205">
        <f>VLOOKUP($B26,'Comps - Dataset'!$B$5:$AT$45,'Comps - Outputs'!M$57,0)</f>
        <v>1.8727467462298342</v>
      </c>
      <c r="N26" s="971">
        <f>VLOOKUP($B26,'Comps - Dataset'!$B$5:$AT$45,'Comps - Outputs'!N$57,0)</f>
        <v>1.7707961280930271</v>
      </c>
      <c r="O26" s="1205">
        <f>VLOOKUP($B26,'Comps - Dataset'!$B$5:$AT$45,'Comps - Outputs'!O$57,0)</f>
        <v>17.950045829514206</v>
      </c>
      <c r="P26" s="1205">
        <f>VLOOKUP($B26,'Comps - Dataset'!$B$5:$AT$45,'Comps - Outputs'!P$57,0)</f>
        <v>14.611281056479891</v>
      </c>
      <c r="Q26" s="971">
        <f>VLOOKUP($B26,'Comps - Dataset'!$B$5:$AT$45,'Comps - Outputs'!Q$57,0)</f>
        <v>12.856392581651075</v>
      </c>
      <c r="R26" s="1205">
        <f>VLOOKUP($B26,'Comps - Dataset'!$B$5:$AT$45,'Comps - Outputs'!R$57,0)</f>
        <v>50.360240963855418</v>
      </c>
      <c r="S26" s="971">
        <f>VLOOKUP($B26,'Comps - Dataset'!$B$5:$AT$45,'Comps - Outputs'!S$57,0)</f>
        <v>34.295208401706596</v>
      </c>
      <c r="T26" s="1315">
        <f>VLOOKUP($B26,'Comps - Dataset'!$B$5:$AT$45,'Comps - Outputs'!T$57,0)</f>
        <v>0.12817129031949584</v>
      </c>
      <c r="U26" s="2"/>
    </row>
    <row r="27" spans="1:24" ht="13">
      <c r="B27" s="1313" t="str">
        <f>'Comps - Dataset'!B25</f>
        <v>Heineken N.V.</v>
      </c>
      <c r="D27" s="1314">
        <f>VLOOKUP($B27,'Comps - Dataset'!$B$5:$AT$45,'Comps - Outputs'!D$57,0)</f>
        <v>54470.202197802202</v>
      </c>
      <c r="E27" s="1314">
        <f>VLOOKUP($B27,'Comps - Dataset'!$B$5:$AT$45,'Comps - Outputs'!E$57,0)</f>
        <v>76831.490109890117</v>
      </c>
      <c r="F27" s="1314">
        <f>VLOOKUP($B27,'Comps - Dataset'!$B$5:$AT$45,'Comps - Outputs'!F$57,0)</f>
        <v>17994.784615384615</v>
      </c>
      <c r="G27" s="1314">
        <f>VLOOKUP($B27,'Comps - Dataset'!$B$5:$AT$45,'Comps - Outputs'!G$57,0)</f>
        <v>3038.136263736264</v>
      </c>
      <c r="H27" s="1314">
        <f>VLOOKUP($B27,'Comps - Dataset'!$B$5:$AT$45,'Comps - Outputs'!H$57,0)</f>
        <v>34619.301098901102</v>
      </c>
      <c r="I27" s="1314">
        <f>VLOOKUP($B27,'Comps - Dataset'!$B$5:$AT$45,'Comps - Outputs'!I$57,0)</f>
        <v>7551.9679120879127</v>
      </c>
      <c r="J27" s="1314">
        <f>VLOOKUP($B27,'Comps - Dataset'!$B$5:$AT$45,'Comps - Outputs'!J$57,0)</f>
        <v>3323.3396703296703</v>
      </c>
      <c r="K27" s="970">
        <f>VLOOKUP($B27,'Comps - Dataset'!$B$5:$AT$45,'Comps - Outputs'!K$57,0)</f>
        <v>0.19466820609955943</v>
      </c>
      <c r="L27" s="1205">
        <f>VLOOKUP($B27,'Comps - Dataset'!$B$5:$AT$45,'Comps - Outputs'!L$57,0)</f>
        <v>2.349761208211437</v>
      </c>
      <c r="M27" s="1205">
        <f>VLOOKUP($B27,'Comps - Dataset'!$B$5:$AT$45,'Comps - Outputs'!M$57,0)</f>
        <v>2.2193252801492553</v>
      </c>
      <c r="N27" s="971">
        <f>VLOOKUP($B27,'Comps - Dataset'!$B$5:$AT$45,'Comps - Outputs'!N$57,0)</f>
        <v>2.079968127842764</v>
      </c>
      <c r="O27" s="1205">
        <f>VLOOKUP($B27,'Comps - Dataset'!$B$5:$AT$45,'Comps - Outputs'!O$57,0)</f>
        <v>13.349290622724933</v>
      </c>
      <c r="P27" s="1205">
        <f>VLOOKUP($B27,'Comps - Dataset'!$B$5:$AT$45,'Comps - Outputs'!P$57,0)</f>
        <v>10.173704523679353</v>
      </c>
      <c r="Q27" s="971">
        <f>VLOOKUP($B27,'Comps - Dataset'!$B$5:$AT$45,'Comps - Outputs'!Q$57,0)</f>
        <v>9.2472136906467828</v>
      </c>
      <c r="R27" s="1205">
        <f>VLOOKUP($B27,'Comps - Dataset'!$B$5:$AT$45,'Comps - Outputs'!R$57,0)</f>
        <v>19.266483516483515</v>
      </c>
      <c r="S27" s="971">
        <f>VLOOKUP($B27,'Comps - Dataset'!$B$5:$AT$45,'Comps - Outputs'!S$57,0)</f>
        <v>16.390200100250009</v>
      </c>
      <c r="T27" s="1315">
        <f>VLOOKUP($B27,'Comps - Dataset'!$B$5:$AT$45,'Comps - Outputs'!T$57,0)</f>
        <v>0.21814328055073387</v>
      </c>
      <c r="U27" s="2"/>
    </row>
    <row r="28" spans="1:24" ht="13">
      <c r="B28" s="1313" t="str">
        <f>'Comps - Dataset'!B26</f>
        <v>Tsingtao Brewery Company Limited</v>
      </c>
      <c r="D28" s="1314">
        <f>VLOOKUP($B28,'Comps - Dataset'!$B$5:$AT$45,'Comps - Outputs'!D$57,0)</f>
        <v>11387</v>
      </c>
      <c r="E28" s="1314">
        <f>VLOOKUP($B28,'Comps - Dataset'!$B$5:$AT$45,'Comps - Outputs'!E$57,0)</f>
        <v>8462.7000000000007</v>
      </c>
      <c r="F28" s="1314">
        <f>VLOOKUP($B28,'Comps - Dataset'!$B$5:$AT$45,'Comps - Outputs'!F$57,0)</f>
        <v>52.1</v>
      </c>
      <c r="G28" s="1314">
        <f>VLOOKUP($B28,'Comps - Dataset'!$B$5:$AT$45,'Comps - Outputs'!G$57,0)</f>
        <v>3583.93</v>
      </c>
      <c r="H28" s="1314">
        <f>VLOOKUP($B28,'Comps - Dataset'!$B$5:$AT$45,'Comps - Outputs'!H$57,0)</f>
        <v>5039.8</v>
      </c>
      <c r="I28" s="1314">
        <f>VLOOKUP($B28,'Comps - Dataset'!$B$5:$AT$45,'Comps - Outputs'!I$57,0)</f>
        <v>982.53</v>
      </c>
      <c r="J28" s="1314">
        <f>VLOOKUP($B28,'Comps - Dataset'!$B$5:$AT$45,'Comps - Outputs'!J$57,0)</f>
        <v>676.59</v>
      </c>
      <c r="K28" s="970">
        <f>VLOOKUP($B28,'Comps - Dataset'!$B$5:$AT$45,'Comps - Outputs'!K$57,0)</f>
        <v>-0.41734080139908064</v>
      </c>
      <c r="L28" s="1205">
        <f>VLOOKUP($B28,'Comps - Dataset'!$B$5:$AT$45,'Comps - Outputs'!L$57,0)</f>
        <v>1.7810211297247245</v>
      </c>
      <c r="M28" s="1205">
        <f>VLOOKUP($B28,'Comps - Dataset'!$B$5:$AT$45,'Comps - Outputs'!M$57,0)</f>
        <v>1.6791737767371724</v>
      </c>
      <c r="N28" s="971">
        <f>VLOOKUP($B28,'Comps - Dataset'!$B$5:$AT$45,'Comps - Outputs'!N$57,0)</f>
        <v>1.5671840798231096</v>
      </c>
      <c r="O28" s="1205">
        <f>VLOOKUP($B28,'Comps - Dataset'!$B$5:$AT$45,'Comps - Outputs'!O$57,0)</f>
        <v>11.650192731277535</v>
      </c>
      <c r="P28" s="1205">
        <f>VLOOKUP($B28,'Comps - Dataset'!$B$5:$AT$45,'Comps - Outputs'!P$57,0)</f>
        <v>8.6131721168819286</v>
      </c>
      <c r="Q28" s="971">
        <f>VLOOKUP($B28,'Comps - Dataset'!$B$5:$AT$45,'Comps - Outputs'!Q$57,0)</f>
        <v>7.542244483262631</v>
      </c>
      <c r="R28" s="1205">
        <f>VLOOKUP($B28,'Comps - Dataset'!$B$5:$AT$45,'Comps - Outputs'!R$57,0)</f>
        <v>18.747118867303261</v>
      </c>
      <c r="S28" s="971">
        <f>VLOOKUP($B28,'Comps - Dataset'!$B$5:$AT$45,'Comps - Outputs'!S$57,0)</f>
        <v>16.829985663400286</v>
      </c>
      <c r="T28" s="1315">
        <f>VLOOKUP($B28,'Comps - Dataset'!$B$5:$AT$45,'Comps - Outputs'!T$57,0)</f>
        <v>0.19495416484781142</v>
      </c>
      <c r="U28" s="2"/>
    </row>
    <row r="29" spans="1:24" ht="13">
      <c r="B29" s="1313" t="str">
        <f>'Comps - Dataset'!B27</f>
        <v>Anheuser-Busch InBev SA/NV</v>
      </c>
      <c r="D29" s="1314">
        <f>VLOOKUP($B29,'Comps - Dataset'!$B$5:$AT$45,'Comps - Outputs'!D$57,0)</f>
        <v>128165.85494505496</v>
      </c>
      <c r="E29" s="1314">
        <f>VLOOKUP($B29,'Comps - Dataset'!$B$5:$AT$45,'Comps - Outputs'!E$57,0)</f>
        <v>216867.9263736264</v>
      </c>
      <c r="F29" s="1314">
        <f>VLOOKUP($B29,'Comps - Dataset'!$B$5:$AT$45,'Comps - Outputs'!F$57,0)</f>
        <v>81946.285714285725</v>
      </c>
      <c r="G29" s="1314">
        <f>VLOOKUP($B29,'Comps - Dataset'!$B$5:$AT$45,'Comps - Outputs'!G$57,0)</f>
        <v>10291.318681318682</v>
      </c>
      <c r="H29" s="1314">
        <f>VLOOKUP($B29,'Comps - Dataset'!$B$5:$AT$45,'Comps - Outputs'!H$57,0)</f>
        <v>63906.472747252745</v>
      </c>
      <c r="I29" s="1314">
        <f>VLOOKUP($B29,'Comps - Dataset'!$B$5:$AT$45,'Comps - Outputs'!I$57,0)</f>
        <v>21900.897032967034</v>
      </c>
      <c r="J29" s="1314">
        <f>VLOOKUP($B29,'Comps - Dataset'!$B$5:$AT$45,'Comps - Outputs'!J$57,0)</f>
        <v>6973.6203296703288</v>
      </c>
      <c r="K29" s="970">
        <f>VLOOKUP($B29,'Comps - Dataset'!$B$5:$AT$45,'Comps - Outputs'!K$57,0)</f>
        <v>0.33040831916065716</v>
      </c>
      <c r="L29" s="1205">
        <f>VLOOKUP($B29,'Comps - Dataset'!$B$5:$AT$45,'Comps - Outputs'!L$57,0)</f>
        <v>3.5619655895929503</v>
      </c>
      <c r="M29" s="1205">
        <f>VLOOKUP($B29,'Comps - Dataset'!$B$5:$AT$45,'Comps - Outputs'!M$57,0)</f>
        <v>3.3935205160098474</v>
      </c>
      <c r="N29" s="971">
        <f>VLOOKUP($B29,'Comps - Dataset'!$B$5:$AT$45,'Comps - Outputs'!N$57,0)</f>
        <v>3.2043479836554232</v>
      </c>
      <c r="O29" s="1205">
        <f>VLOOKUP($B29,'Comps - Dataset'!$B$5:$AT$45,'Comps - Outputs'!O$57,0)</f>
        <v>11.859416653160682</v>
      </c>
      <c r="P29" s="1205">
        <f>VLOOKUP($B29,'Comps - Dataset'!$B$5:$AT$45,'Comps - Outputs'!P$57,0)</f>
        <v>9.902239440109641</v>
      </c>
      <c r="Q29" s="971">
        <f>VLOOKUP($B29,'Comps - Dataset'!$B$5:$AT$45,'Comps - Outputs'!Q$57,0)</f>
        <v>9.1252369419608304</v>
      </c>
      <c r="R29" s="1205">
        <f>VLOOKUP($B29,'Comps - Dataset'!$B$5:$AT$45,'Comps - Outputs'!R$57,0)</f>
        <v>19.92842841252185</v>
      </c>
      <c r="S29" s="971">
        <f>VLOOKUP($B29,'Comps - Dataset'!$B$5:$AT$45,'Comps - Outputs'!S$57,0)</f>
        <v>18.378668308016973</v>
      </c>
      <c r="T29" s="1315">
        <f>VLOOKUP($B29,'Comps - Dataset'!$B$5:$AT$45,'Comps - Outputs'!T$57,0)</f>
        <v>0.34270232875446133</v>
      </c>
      <c r="U29" s="2"/>
    </row>
    <row r="30" spans="1:24" ht="13">
      <c r="B30" s="1313" t="str">
        <f>'Comps - Dataset'!B28</f>
        <v>Budweiser Brewing Company APAC Limited</v>
      </c>
      <c r="D30" s="1314">
        <f>VLOOKUP($B30,'Comps - Dataset'!$B$5:$AT$45,'Comps - Outputs'!D$57,0)</f>
        <v>21896.6</v>
      </c>
      <c r="E30" s="1314">
        <f>VLOOKUP($B30,'Comps - Dataset'!$B$5:$AT$45,'Comps - Outputs'!E$57,0)</f>
        <v>19864.3</v>
      </c>
      <c r="F30" s="1314">
        <f>VLOOKUP($B30,'Comps - Dataset'!$B$5:$AT$45,'Comps - Outputs'!F$57,0)</f>
        <v>224</v>
      </c>
      <c r="G30" s="1314">
        <f>VLOOKUP($B30,'Comps - Dataset'!$B$5:$AT$45,'Comps - Outputs'!G$57,0)</f>
        <v>2458</v>
      </c>
      <c r="H30" s="1314">
        <f>VLOOKUP($B30,'Comps - Dataset'!$B$5:$AT$45,'Comps - Outputs'!H$57,0)</f>
        <v>7375.49</v>
      </c>
      <c r="I30" s="1314">
        <f>VLOOKUP($B30,'Comps - Dataset'!$B$5:$AT$45,'Comps - Outputs'!I$57,0)</f>
        <v>2305.56</v>
      </c>
      <c r="J30" s="1314">
        <f>VLOOKUP($B30,'Comps - Dataset'!$B$5:$AT$45,'Comps - Outputs'!J$57,0)</f>
        <v>1125.5</v>
      </c>
      <c r="K30" s="970">
        <f>VLOOKUP($B30,'Comps - Dataset'!$B$5:$AT$45,'Comps - Outputs'!K$57,0)</f>
        <v>-0.11246306187482066</v>
      </c>
      <c r="L30" s="1205">
        <f>VLOOKUP($B30,'Comps - Dataset'!$B$5:$AT$45,'Comps - Outputs'!L$57,0)</f>
        <v>2.9524821640903682</v>
      </c>
      <c r="M30" s="1205">
        <f>VLOOKUP($B30,'Comps - Dataset'!$B$5:$AT$45,'Comps - Outputs'!M$57,0)</f>
        <v>2.6932854630675389</v>
      </c>
      <c r="N30" s="971">
        <f>VLOOKUP($B30,'Comps - Dataset'!$B$5:$AT$45,'Comps - Outputs'!N$57,0)</f>
        <v>2.4590860023372354</v>
      </c>
      <c r="O30" s="1205">
        <f>VLOOKUP($B30,'Comps - Dataset'!$B$5:$AT$45,'Comps - Outputs'!O$57,0)</f>
        <v>11.000276885590875</v>
      </c>
      <c r="P30" s="1205">
        <f>VLOOKUP($B30,'Comps - Dataset'!$B$5:$AT$45,'Comps - Outputs'!P$57,0)</f>
        <v>8.6158243550373879</v>
      </c>
      <c r="Q30" s="971">
        <f>VLOOKUP($B30,'Comps - Dataset'!$B$5:$AT$45,'Comps - Outputs'!Q$57,0)</f>
        <v>7.5597206629497844</v>
      </c>
      <c r="R30" s="1205">
        <f>VLOOKUP($B30,'Comps - Dataset'!$B$5:$AT$45,'Comps - Outputs'!R$57,0)</f>
        <v>25.37265353418308</v>
      </c>
      <c r="S30" s="971">
        <f>VLOOKUP($B30,'Comps - Dataset'!$B$5:$AT$45,'Comps - Outputs'!S$57,0)</f>
        <v>19.454997778764991</v>
      </c>
      <c r="T30" s="1315">
        <f>VLOOKUP($B30,'Comps - Dataset'!$B$5:$AT$45,'Comps - Outputs'!T$57,0)</f>
        <v>0.31259753589253053</v>
      </c>
      <c r="U30" s="2"/>
    </row>
    <row r="31" spans="1:24" ht="13">
      <c r="B31" s="1313" t="str">
        <f>'Comps - Dataset'!B29</f>
        <v>Ambev S.A.</v>
      </c>
      <c r="D31" s="1314">
        <f>VLOOKUP($B31,'Comps - Dataset'!$B$5:$AT$45,'Comps - Outputs'!D$57,0)</f>
        <v>46271.947433264882</v>
      </c>
      <c r="E31" s="1314">
        <f>VLOOKUP($B31,'Comps - Dataset'!$B$5:$AT$45,'Comps - Outputs'!E$57,0)</f>
        <v>43680.20492813141</v>
      </c>
      <c r="F31" s="1314">
        <f>VLOOKUP($B31,'Comps - Dataset'!$B$5:$AT$45,'Comps - Outputs'!F$57,0)</f>
        <v>789.91355236139623</v>
      </c>
      <c r="G31" s="1314">
        <f>VLOOKUP($B31,'Comps - Dataset'!$B$5:$AT$45,'Comps - Outputs'!G$57,0)</f>
        <v>3159.77568788501</v>
      </c>
      <c r="H31" s="1314">
        <f>VLOOKUP($B31,'Comps - Dataset'!$B$5:$AT$45,'Comps - Outputs'!H$57,0)</f>
        <v>17668.603716632442</v>
      </c>
      <c r="I31" s="1314">
        <f>VLOOKUP($B31,'Comps - Dataset'!$B$5:$AT$45,'Comps - Outputs'!I$57,0)</f>
        <v>5512.2765297741262</v>
      </c>
      <c r="J31" s="1314">
        <f>VLOOKUP($B31,'Comps - Dataset'!$B$5:$AT$45,'Comps - Outputs'!J$57,0)</f>
        <v>2977.3353182751539</v>
      </c>
      <c r="K31" s="970">
        <f>VLOOKUP($B31,'Comps - Dataset'!$B$5:$AT$45,'Comps - Outputs'!K$57,0)</f>
        <v>-5.4254830979452405E-2</v>
      </c>
      <c r="L31" s="1205">
        <f>VLOOKUP($B31,'Comps - Dataset'!$B$5:$AT$45,'Comps - Outputs'!L$57,0)</f>
        <v>2.5791153616258216</v>
      </c>
      <c r="M31" s="1205">
        <f>VLOOKUP($B31,'Comps - Dataset'!$B$5:$AT$45,'Comps - Outputs'!M$57,0)</f>
        <v>2.4721933678897781</v>
      </c>
      <c r="N31" s="971">
        <f>VLOOKUP($B31,'Comps - Dataset'!$B$5:$AT$45,'Comps - Outputs'!N$57,0)</f>
        <v>2.2894840030711388</v>
      </c>
      <c r="O31" s="1205">
        <f>VLOOKUP($B31,'Comps - Dataset'!$B$5:$AT$45,'Comps - Outputs'!O$57,0)</f>
        <v>9.1934631610346447</v>
      </c>
      <c r="P31" s="1205">
        <f>VLOOKUP($B31,'Comps - Dataset'!$B$5:$AT$45,'Comps - Outputs'!P$57,0)</f>
        <v>7.924167935370483</v>
      </c>
      <c r="Q31" s="971">
        <f>VLOOKUP($B31,'Comps - Dataset'!$B$5:$AT$45,'Comps - Outputs'!Q$57,0)</f>
        <v>7.0748399706175551</v>
      </c>
      <c r="R31" s="1205">
        <f>VLOOKUP($B31,'Comps - Dataset'!$B$5:$AT$45,'Comps - Outputs'!R$57,0)</f>
        <v>14.935075967979088</v>
      </c>
      <c r="S31" s="971">
        <f>VLOOKUP($B31,'Comps - Dataset'!$B$5:$AT$45,'Comps - Outputs'!S$57,0)</f>
        <v>15.541396076297984</v>
      </c>
      <c r="T31" s="1315">
        <f>VLOOKUP($B31,'Comps - Dataset'!$B$5:$AT$45,'Comps - Outputs'!T$57,0)</f>
        <v>0.31198144562974789</v>
      </c>
      <c r="U31" s="2"/>
    </row>
    <row r="32" spans="1:24" ht="13">
      <c r="B32" s="1313" t="str">
        <f>'Comps - Dataset'!B30</f>
        <v>Kirin Holdings Company, Limited</v>
      </c>
      <c r="D32" s="1314">
        <f>VLOOKUP($B32,'Comps - Dataset'!$B$5:$AT$45,'Comps - Outputs'!D$57,0)</f>
        <v>11779.012444690266</v>
      </c>
      <c r="E32" s="1314">
        <f>VLOOKUP($B32,'Comps - Dataset'!$B$5:$AT$45,'Comps - Outputs'!E$57,0)</f>
        <v>17787.766205752214</v>
      </c>
      <c r="F32" s="1314">
        <f>VLOOKUP($B32,'Comps - Dataset'!$B$5:$AT$45,'Comps - Outputs'!F$57,0)</f>
        <v>3622.2003318584075</v>
      </c>
      <c r="G32" s="1314">
        <f>VLOOKUP($B32,'Comps - Dataset'!$B$5:$AT$45,'Comps - Outputs'!G$57,0)</f>
        <v>667.73613384955752</v>
      </c>
      <c r="H32" s="1314">
        <f>VLOOKUP($B32,'Comps - Dataset'!$B$5:$AT$45,'Comps - Outputs'!H$57,0)</f>
        <v>14753.589961283185</v>
      </c>
      <c r="I32" s="1314">
        <f>VLOOKUP($B32,'Comps - Dataset'!$B$5:$AT$45,'Comps - Outputs'!I$57,0)</f>
        <v>2016.7308019911504</v>
      </c>
      <c r="J32" s="1314">
        <f>VLOOKUP($B32,'Comps - Dataset'!$B$5:$AT$45,'Comps - Outputs'!J$57,0)</f>
        <v>0</v>
      </c>
      <c r="K32" s="970">
        <f>VLOOKUP($B32,'Comps - Dataset'!$B$5:$AT$45,'Comps - Outputs'!K$57,0)</f>
        <v>0.1660952906528215</v>
      </c>
      <c r="L32" s="1205">
        <f>VLOOKUP($B32,'Comps - Dataset'!$B$5:$AT$45,'Comps - Outputs'!L$57,0)</f>
        <v>1.2349562230088249</v>
      </c>
      <c r="M32" s="1205">
        <f>VLOOKUP($B32,'Comps - Dataset'!$B$5:$AT$45,'Comps - Outputs'!M$57,0)</f>
        <v>1.2056568097955414</v>
      </c>
      <c r="N32" s="971">
        <f>VLOOKUP($B32,'Comps - Dataset'!$B$5:$AT$45,'Comps - Outputs'!N$57,0)</f>
        <v>1.1754103905370403</v>
      </c>
      <c r="O32" s="1205">
        <f>VLOOKUP($B32,'Comps - Dataset'!$B$5:$AT$45,'Comps - Outputs'!O$57,0)</f>
        <v>10.988367056494029</v>
      </c>
      <c r="P32" s="1205">
        <f>VLOOKUP($B32,'Comps - Dataset'!$B$5:$AT$45,'Comps - Outputs'!P$57,0)</f>
        <v>8.8200994342874459</v>
      </c>
      <c r="Q32" s="971">
        <f>VLOOKUP($B32,'Comps - Dataset'!$B$5:$AT$45,'Comps - Outputs'!Q$57,0)</f>
        <v>8.2402045399706747</v>
      </c>
      <c r="R32" s="1205">
        <f>VLOOKUP($B32,'Comps - Dataset'!$B$5:$AT$45,'Comps - Outputs'!R$57,0)</f>
        <v>25.828025477707005</v>
      </c>
      <c r="S32" s="971" t="str">
        <f>VLOOKUP($B32,'Comps - Dataset'!$B$5:$AT$45,'Comps - Outputs'!S$57,0)</f>
        <v>n.m.</v>
      </c>
      <c r="T32" s="1315">
        <f>VLOOKUP($B32,'Comps - Dataset'!$B$5:$AT$45,'Comps - Outputs'!T$57,0)</f>
        <v>0.13669424236972263</v>
      </c>
      <c r="U32" s="2"/>
    </row>
    <row r="33" spans="1:24" ht="13">
      <c r="B33" s="1313" t="str">
        <f>'Comps - Dataset'!B31</f>
        <v>Sapporo Holdings Limited</v>
      </c>
      <c r="D33" s="1314">
        <f>VLOOKUP($B33,'Comps - Dataset'!$B$5:$AT$45,'Comps - Outputs'!D$57,0)</f>
        <v>3172.6556415929208</v>
      </c>
      <c r="E33" s="1314">
        <f>VLOOKUP($B33,'Comps - Dataset'!$B$5:$AT$45,'Comps - Outputs'!E$57,0)</f>
        <v>4766.2955752212392</v>
      </c>
      <c r="F33" s="1314">
        <f>VLOOKUP($B33,'Comps - Dataset'!$B$5:$AT$45,'Comps - Outputs'!F$57,0)</f>
        <v>1822.4189159292039</v>
      </c>
      <c r="G33" s="1314">
        <f>VLOOKUP($B33,'Comps - Dataset'!$B$5:$AT$45,'Comps - Outputs'!G$57,0)</f>
        <v>165.03338495575221</v>
      </c>
      <c r="H33" s="1314">
        <f>VLOOKUP($B33,'Comps - Dataset'!$B$5:$AT$45,'Comps - Outputs'!H$57,0)</f>
        <v>3499.9978982300886</v>
      </c>
      <c r="I33" s="1314">
        <f>VLOOKUP($B33,'Comps - Dataset'!$B$5:$AT$45,'Comps - Outputs'!I$57,0)</f>
        <v>267.6633960176992</v>
      </c>
      <c r="J33" s="1314">
        <f>VLOOKUP($B33,'Comps - Dataset'!$B$5:$AT$45,'Comps - Outputs'!J$57,0)</f>
        <v>0</v>
      </c>
      <c r="K33" s="970">
        <f>VLOOKUP($B33,'Comps - Dataset'!$B$5:$AT$45,'Comps - Outputs'!K$57,0)</f>
        <v>0.34773032952252864</v>
      </c>
      <c r="L33" s="1205">
        <f>VLOOKUP($B33,'Comps - Dataset'!$B$5:$AT$45,'Comps - Outputs'!L$57,0)</f>
        <v>1.3487528344671202</v>
      </c>
      <c r="M33" s="1205">
        <f>VLOOKUP($B33,'Comps - Dataset'!$B$5:$AT$45,'Comps - Outputs'!M$57,0)</f>
        <v>1.3617995535458762</v>
      </c>
      <c r="N33" s="971">
        <f>VLOOKUP($B33,'Comps - Dataset'!$B$5:$AT$45,'Comps - Outputs'!N$57,0)</f>
        <v>1.3393492964644489</v>
      </c>
      <c r="O33" s="1205">
        <f>VLOOKUP($B33,'Comps - Dataset'!$B$5:$AT$45,'Comps - Outputs'!O$57,0)</f>
        <v>21.492321589882565</v>
      </c>
      <c r="P33" s="1205">
        <f>VLOOKUP($B33,'Comps - Dataset'!$B$5:$AT$45,'Comps - Outputs'!P$57,0)</f>
        <v>17.80705037048125</v>
      </c>
      <c r="Q33" s="971">
        <f>VLOOKUP($B33,'Comps - Dataset'!$B$5:$AT$45,'Comps - Outputs'!Q$57,0)</f>
        <v>15.965642195678432</v>
      </c>
      <c r="R33" s="1205">
        <f>VLOOKUP($B33,'Comps - Dataset'!$B$5:$AT$45,'Comps - Outputs'!R$57,0)</f>
        <v>142.67567567567568</v>
      </c>
      <c r="S33" s="971" t="str">
        <f>VLOOKUP($B33,'Comps - Dataset'!$B$5:$AT$45,'Comps - Outputs'!S$57,0)</f>
        <v>n.m.</v>
      </c>
      <c r="T33" s="1315">
        <f>VLOOKUP($B33,'Comps - Dataset'!$B$5:$AT$45,'Comps - Outputs'!T$57,0)</f>
        <v>7.6475301928910791E-2</v>
      </c>
      <c r="U33" s="2"/>
    </row>
    <row r="34" spans="1:24" ht="13">
      <c r="B34" s="1313" t="str">
        <f>'Comps - Dataset'!B32</f>
        <v>Asahi Group Holdings, Ltd.</v>
      </c>
      <c r="D34" s="1314">
        <f>VLOOKUP($B34,'Comps - Dataset'!$B$5:$AT$45,'Comps - Outputs'!D$57,0)</f>
        <v>19173.161172566375</v>
      </c>
      <c r="E34" s="1314">
        <f>VLOOKUP($B34,'Comps - Dataset'!$B$5:$AT$45,'Comps - Outputs'!E$57,0)</f>
        <v>29028.286615044253</v>
      </c>
      <c r="F34" s="1314">
        <f>VLOOKUP($B34,'Comps - Dataset'!$B$5:$AT$45,'Comps - Outputs'!F$57,0)</f>
        <v>10367.674502212391</v>
      </c>
      <c r="G34" s="1314">
        <f>VLOOKUP($B34,'Comps - Dataset'!$B$5:$AT$45,'Comps - Outputs'!G$57,0)</f>
        <v>328.6644469026549</v>
      </c>
      <c r="H34" s="1314">
        <f>VLOOKUP($B34,'Comps - Dataset'!$B$5:$AT$45,'Comps - Outputs'!H$57,0)</f>
        <v>19179.732057522124</v>
      </c>
      <c r="I34" s="1314">
        <f>VLOOKUP($B34,'Comps - Dataset'!$B$5:$AT$45,'Comps - Outputs'!I$57,0)</f>
        <v>2839.3835619469028</v>
      </c>
      <c r="J34" s="1314">
        <f>VLOOKUP($B34,'Comps - Dataset'!$B$5:$AT$45,'Comps - Outputs'!J$57,0)</f>
        <v>0</v>
      </c>
      <c r="K34" s="970">
        <f>VLOOKUP($B34,'Comps - Dataset'!$B$5:$AT$45,'Comps - Outputs'!K$57,0)</f>
        <v>0.34583543246768483</v>
      </c>
      <c r="L34" s="1205">
        <f>VLOOKUP($B34,'Comps - Dataset'!$B$5:$AT$45,'Comps - Outputs'!L$57,0)</f>
        <v>1.5618623651973333</v>
      </c>
      <c r="M34" s="1205">
        <f>VLOOKUP($B34,'Comps - Dataset'!$B$5:$AT$45,'Comps - Outputs'!M$57,0)</f>
        <v>1.5134875986789196</v>
      </c>
      <c r="N34" s="971">
        <f>VLOOKUP($B34,'Comps - Dataset'!$B$5:$AT$45,'Comps - Outputs'!N$57,0)</f>
        <v>1.4770804366174788</v>
      </c>
      <c r="O34" s="1205">
        <f>VLOOKUP($B34,'Comps - Dataset'!$B$5:$AT$45,'Comps - Outputs'!O$57,0)</f>
        <v>10.539021019710525</v>
      </c>
      <c r="P34" s="1205">
        <f>VLOOKUP($B34,'Comps - Dataset'!$B$5:$AT$45,'Comps - Outputs'!P$57,0)</f>
        <v>10.22344673825617</v>
      </c>
      <c r="Q34" s="971">
        <f>VLOOKUP($B34,'Comps - Dataset'!$B$5:$AT$45,'Comps - Outputs'!Q$57,0)</f>
        <v>9.4882036708421467</v>
      </c>
      <c r="R34" s="1205">
        <f>VLOOKUP($B34,'Comps - Dataset'!$B$5:$AT$45,'Comps - Outputs'!R$57,0)</f>
        <v>16.276700680272111</v>
      </c>
      <c r="S34" s="971" t="str">
        <f>VLOOKUP($B34,'Comps - Dataset'!$B$5:$AT$45,'Comps - Outputs'!S$57,0)</f>
        <v>n.m.</v>
      </c>
      <c r="T34" s="1315">
        <f>VLOOKUP($B34,'Comps - Dataset'!$B$5:$AT$45,'Comps - Outputs'!T$57,0)</f>
        <v>0.14804083568171231</v>
      </c>
      <c r="U34" s="2"/>
    </row>
    <row r="35" spans="1:24" ht="6.75" customHeight="1">
      <c r="A35" s="420"/>
      <c r="B35" s="1276"/>
      <c r="T35" s="1321"/>
      <c r="U35" s="2"/>
      <c r="V35" s="420"/>
      <c r="W35" s="420"/>
      <c r="X35" s="420"/>
    </row>
    <row r="36" spans="1:24" ht="13">
      <c r="B36" s="1320" t="s">
        <v>798</v>
      </c>
      <c r="C36" s="846"/>
      <c r="D36" s="846"/>
      <c r="E36" s="846"/>
      <c r="F36" s="846"/>
      <c r="G36" s="846"/>
      <c r="H36" s="846"/>
      <c r="I36" s="846"/>
      <c r="J36" s="846"/>
      <c r="K36" s="847">
        <f t="shared" ref="K36:T36" si="1">AVERAGE(K23:K34)</f>
        <v>9.4246121071317593E-2</v>
      </c>
      <c r="L36" s="848">
        <f t="shared" si="1"/>
        <v>2.1334448452384351</v>
      </c>
      <c r="M36" s="848">
        <f t="shared" si="1"/>
        <v>2.0341043313680385</v>
      </c>
      <c r="N36" s="849">
        <f t="shared" si="1"/>
        <v>1.9132447189297874</v>
      </c>
      <c r="O36" s="848">
        <f t="shared" si="1"/>
        <v>12.771045239072663</v>
      </c>
      <c r="P36" s="848">
        <f t="shared" si="1"/>
        <v>10.373897631608637</v>
      </c>
      <c r="Q36" s="849">
        <f t="shared" si="1"/>
        <v>9.3199954612247922</v>
      </c>
      <c r="R36" s="848">
        <f t="shared" si="1"/>
        <v>35.086308566002721</v>
      </c>
      <c r="S36" s="849">
        <f t="shared" si="1"/>
        <v>18.375093655783171</v>
      </c>
      <c r="T36" s="1315">
        <f t="shared" si="1"/>
        <v>0.20945463951958454</v>
      </c>
      <c r="U36" s="2"/>
    </row>
    <row r="37" spans="1:24" ht="6.75" customHeight="1">
      <c r="A37" s="420"/>
      <c r="B37" s="1276"/>
      <c r="T37" s="1321"/>
      <c r="U37" s="2"/>
      <c r="V37" s="420"/>
      <c r="W37" s="420"/>
      <c r="X37" s="420"/>
    </row>
    <row r="38" spans="1:24" ht="13">
      <c r="B38" s="1322" t="str">
        <f>'Comps - Dataset'!B34</f>
        <v>Mixed Offering</v>
      </c>
      <c r="C38" s="72"/>
      <c r="D38" s="853"/>
      <c r="E38" s="853"/>
      <c r="F38" s="853"/>
      <c r="G38" s="853"/>
      <c r="H38" s="853"/>
      <c r="I38" s="853"/>
      <c r="J38" s="853"/>
      <c r="K38" s="72"/>
      <c r="L38" s="72"/>
      <c r="M38" s="854"/>
      <c r="N38" s="72"/>
      <c r="O38" s="72"/>
      <c r="P38" s="854"/>
      <c r="Q38" s="854"/>
      <c r="R38" s="72"/>
      <c r="S38" s="72"/>
      <c r="T38" s="1324"/>
      <c r="U38" s="2"/>
    </row>
    <row r="39" spans="1:24" ht="6.75" customHeight="1">
      <c r="A39" s="420"/>
      <c r="B39" s="1276"/>
      <c r="T39" s="1321"/>
      <c r="U39" s="2"/>
      <c r="V39" s="420"/>
      <c r="W39" s="420"/>
      <c r="X39" s="420"/>
    </row>
    <row r="40" spans="1:24" ht="13">
      <c r="B40" s="1313" t="str">
        <f>'Comps - Dataset'!B35</f>
        <v>Constellation Brands, Inc.</v>
      </c>
      <c r="D40" s="1314">
        <f>VLOOKUP($B40,'Comps - Dataset'!$B$5:$AT$45,'Comps - Outputs'!D$57,0)</f>
        <v>43057.9</v>
      </c>
      <c r="E40" s="1314">
        <f>VLOOKUP($B40,'Comps - Dataset'!$B$5:$AT$45,'Comps - Outputs'!E$57,0)</f>
        <v>55014.3</v>
      </c>
      <c r="F40" s="1314">
        <f>VLOOKUP($B40,'Comps - Dataset'!$B$5:$AT$45,'Comps - Outputs'!F$57,0)</f>
        <v>12960.1</v>
      </c>
      <c r="G40" s="1314">
        <f>VLOOKUP($B40,'Comps - Dataset'!$B$5:$AT$45,'Comps - Outputs'!G$57,0)</f>
        <v>133.5</v>
      </c>
      <c r="H40" s="1314">
        <f>VLOOKUP($B40,'Comps - Dataset'!$B$5:$AT$45,'Comps - Outputs'!H$57,0)</f>
        <v>10433.540000000001</v>
      </c>
      <c r="I40" s="1314">
        <f>VLOOKUP($B40,'Comps - Dataset'!$B$5:$AT$45,'Comps - Outputs'!I$57,0)</f>
        <v>3785.92</v>
      </c>
      <c r="J40" s="1314">
        <f>VLOOKUP($B40,'Comps - Dataset'!$B$5:$AT$45,'Comps - Outputs'!J$57,0)</f>
        <v>2315.5500000000002</v>
      </c>
      <c r="K40" s="970">
        <f>VLOOKUP($B40,'Comps - Dataset'!$B$5:$AT$45,'Comps - Outputs'!K$57,0)</f>
        <v>0.23315029001550505</v>
      </c>
      <c r="L40" s="1205">
        <f>VLOOKUP($B40,'Comps - Dataset'!$B$5:$AT$45,'Comps - Outputs'!L$57,0)</f>
        <v>5.6217351318209694</v>
      </c>
      <c r="M40" s="1205">
        <f>VLOOKUP($B40,'Comps - Dataset'!$B$5:$AT$45,'Comps - Outputs'!M$57,0)</f>
        <v>5.2728316563697462</v>
      </c>
      <c r="N40" s="971">
        <f>VLOOKUP($B40,'Comps - Dataset'!$B$5:$AT$45,'Comps - Outputs'!N$57,0)</f>
        <v>5.1221978386219469</v>
      </c>
      <c r="O40" s="1205">
        <f>VLOOKUP($B40,'Comps - Dataset'!$B$5:$AT$45,'Comps - Outputs'!O$57,0)</f>
        <v>16.003228903045642</v>
      </c>
      <c r="P40" s="1205">
        <f>VLOOKUP($B40,'Comps - Dataset'!$B$5:$AT$45,'Comps - Outputs'!P$57,0)</f>
        <v>14.531289620488547</v>
      </c>
      <c r="Q40" s="971">
        <f>VLOOKUP($B40,'Comps - Dataset'!$B$5:$AT$45,'Comps - Outputs'!Q$57,0)</f>
        <v>13.692608659941611</v>
      </c>
      <c r="R40" s="1205">
        <f>VLOOKUP($B40,'Comps - Dataset'!$B$5:$AT$45,'Comps - Outputs'!R$57,0)</f>
        <v>28.391072135038904</v>
      </c>
      <c r="S40" s="971">
        <f>VLOOKUP($B40,'Comps - Dataset'!$B$5:$AT$45,'Comps - Outputs'!S$57,0)</f>
        <v>18.5951069940187</v>
      </c>
      <c r="T40" s="1315">
        <f>VLOOKUP($B40,'Comps - Dataset'!$B$5:$AT$45,'Comps - Outputs'!T$57,0)</f>
        <v>0.36286054397644518</v>
      </c>
      <c r="U40" s="2"/>
    </row>
    <row r="41" spans="1:24" ht="13">
      <c r="B41" s="1313" t="str">
        <f>'Comps - Dataset'!B36</f>
        <v>Thai Beverage Public Company Limited</v>
      </c>
      <c r="D41" s="1314">
        <f>VLOOKUP($B41,'Comps - Dataset'!$B$5:$AT$45,'Comps - Outputs'!D$57,0)</f>
        <v>9436.6225563909793</v>
      </c>
      <c r="E41" s="1314">
        <f>VLOOKUP($B41,'Comps - Dataset'!$B$5:$AT$45,'Comps - Outputs'!E$57,0)</f>
        <v>15126.383458646616</v>
      </c>
      <c r="F41" s="1314">
        <f>VLOOKUP($B41,'Comps - Dataset'!$B$5:$AT$45,'Comps - Outputs'!F$57,0)</f>
        <v>5938.5172932330825</v>
      </c>
      <c r="G41" s="1314">
        <f>VLOOKUP($B41,'Comps - Dataset'!$B$5:$AT$45,'Comps - Outputs'!G$57,0)</f>
        <v>1324.1315789473683</v>
      </c>
      <c r="H41" s="1314">
        <f>VLOOKUP($B41,'Comps - Dataset'!$B$5:$AT$45,'Comps - Outputs'!H$57,0)</f>
        <v>8247.4481203007508</v>
      </c>
      <c r="I41" s="1314">
        <f>VLOOKUP($B41,'Comps - Dataset'!$B$5:$AT$45,'Comps - Outputs'!I$57,0)</f>
        <v>1336.8666165413536</v>
      </c>
      <c r="J41" s="1314">
        <f>VLOOKUP($B41,'Comps - Dataset'!$B$5:$AT$45,'Comps - Outputs'!J$57,0)</f>
        <v>821.51067669172937</v>
      </c>
      <c r="K41" s="970">
        <f>VLOOKUP($B41,'Comps - Dataset'!$B$5:$AT$45,'Comps - Outputs'!K$57,0)</f>
        <v>0.30505545009491458</v>
      </c>
      <c r="L41" s="1205">
        <f>VLOOKUP($B41,'Comps - Dataset'!$B$5:$AT$45,'Comps - Outputs'!L$57,0)</f>
        <v>1.9098715176186236</v>
      </c>
      <c r="M41" s="1205">
        <f>VLOOKUP($B41,'Comps - Dataset'!$B$5:$AT$45,'Comps - Outputs'!M$57,0)</f>
        <v>1.834068337018532</v>
      </c>
      <c r="N41" s="971">
        <f>VLOOKUP($B41,'Comps - Dataset'!$B$5:$AT$45,'Comps - Outputs'!N$57,0)</f>
        <v>1.7293969255933694</v>
      </c>
      <c r="O41" s="1205">
        <f>VLOOKUP($B41,'Comps - Dataset'!$B$5:$AT$45,'Comps - Outputs'!O$57,0)</f>
        <v>12.122325393621315</v>
      </c>
      <c r="P41" s="1205">
        <f>VLOOKUP($B41,'Comps - Dataset'!$B$5:$AT$45,'Comps - Outputs'!P$57,0)</f>
        <v>11.314803789311847</v>
      </c>
      <c r="Q41" s="971">
        <f>VLOOKUP($B41,'Comps - Dataset'!$B$5:$AT$45,'Comps - Outputs'!Q$57,0)</f>
        <v>10.719717253935954</v>
      </c>
      <c r="R41" s="1205">
        <f>VLOOKUP($B41,'Comps - Dataset'!$B$5:$AT$45,'Comps - Outputs'!R$57,0)</f>
        <v>12.121392519735991</v>
      </c>
      <c r="S41" s="971">
        <f>VLOOKUP($B41,'Comps - Dataset'!$B$5:$AT$45,'Comps - Outputs'!S$57,0)</f>
        <v>11.486914076872134</v>
      </c>
      <c r="T41" s="1315">
        <f>VLOOKUP($B41,'Comps - Dataset'!$B$5:$AT$45,'Comps - Outputs'!T$57,0)</f>
        <v>0.16209457726089987</v>
      </c>
      <c r="U41" s="2"/>
    </row>
    <row r="42" spans="1:24" ht="13">
      <c r="B42" s="1313" t="str">
        <f>'Comps - Dataset'!B37</f>
        <v>Royal Unibrew A/S</v>
      </c>
      <c r="D42" s="1314">
        <f>VLOOKUP($B42,'Comps - Dataset'!$B$5:$AT$45,'Comps - Outputs'!D$57,0)</f>
        <v>3208.2289938694557</v>
      </c>
      <c r="E42" s="1314">
        <f>VLOOKUP($B42,'Comps - Dataset'!$B$5:$AT$45,'Comps - Outputs'!E$57,0)</f>
        <v>4142.215759105663</v>
      </c>
      <c r="F42" s="1314">
        <f>VLOOKUP($B42,'Comps - Dataset'!$B$5:$AT$45,'Comps - Outputs'!F$57,0)</f>
        <v>676.14504147133084</v>
      </c>
      <c r="G42" s="1314">
        <f>VLOOKUP($B42,'Comps - Dataset'!$B$5:$AT$45,'Comps - Outputs'!G$57,0)</f>
        <v>30.959058781103501</v>
      </c>
      <c r="H42" s="1314">
        <f>VLOOKUP($B42,'Comps - Dataset'!$B$5:$AT$45,'Comps - Outputs'!H$57,0)</f>
        <v>2069.523321312658</v>
      </c>
      <c r="I42" s="1314">
        <f>VLOOKUP($B42,'Comps - Dataset'!$B$5:$AT$45,'Comps - Outputs'!I$57,0)</f>
        <v>359.81506671474938</v>
      </c>
      <c r="J42" s="1314">
        <f>VLOOKUP($B42,'Comps - Dataset'!$B$5:$AT$45,'Comps - Outputs'!J$57,0)</f>
        <v>183.69843851424451</v>
      </c>
      <c r="K42" s="970">
        <f>VLOOKUP($B42,'Comps - Dataset'!$B$5:$AT$45,'Comps - Outputs'!K$57,0)</f>
        <v>0.1557586615984311</v>
      </c>
      <c r="L42" s="1205">
        <f>VLOOKUP($B42,'Comps - Dataset'!$B$5:$AT$45,'Comps - Outputs'!L$57,0)</f>
        <v>2.3278476018711607</v>
      </c>
      <c r="M42" s="1205">
        <f>VLOOKUP($B42,'Comps - Dataset'!$B$5:$AT$45,'Comps - Outputs'!M$57,0)</f>
        <v>2.0015313267783501</v>
      </c>
      <c r="N42" s="971">
        <f>VLOOKUP($B42,'Comps - Dataset'!$B$5:$AT$45,'Comps - Outputs'!N$57,0)</f>
        <v>1.8651920827669675</v>
      </c>
      <c r="O42" s="1205">
        <f>VLOOKUP($B42,'Comps - Dataset'!$B$5:$AT$45,'Comps - Outputs'!O$57,0)</f>
        <v>13.667438782263403</v>
      </c>
      <c r="P42" s="1205">
        <f>VLOOKUP($B42,'Comps - Dataset'!$B$5:$AT$45,'Comps - Outputs'!P$57,0)</f>
        <v>11.512068677183791</v>
      </c>
      <c r="Q42" s="971">
        <f>VLOOKUP($B42,'Comps - Dataset'!$B$5:$AT$45,'Comps - Outputs'!Q$57,0)</f>
        <v>10.121547773666283</v>
      </c>
      <c r="R42" s="1205">
        <f>VLOOKUP($B42,'Comps - Dataset'!$B$5:$AT$45,'Comps - Outputs'!R$57,0)</f>
        <v>21.455399061032864</v>
      </c>
      <c r="S42" s="971">
        <f>VLOOKUP($B42,'Comps - Dataset'!$B$5:$AT$45,'Comps - Outputs'!S$57,0)</f>
        <v>17.464650324834853</v>
      </c>
      <c r="T42" s="1315">
        <f>VLOOKUP($B42,'Comps - Dataset'!$B$5:$AT$45,'Comps - Outputs'!T$57,0)</f>
        <v>0.17386374099255172</v>
      </c>
      <c r="U42" s="2"/>
    </row>
    <row r="43" spans="1:24" ht="13">
      <c r="B43" s="1313" t="str">
        <f>'Comps - Dataset'!B38</f>
        <v>HiteJinro Co., Ltd.</v>
      </c>
      <c r="D43" s="1314">
        <f>VLOOKUP($B43,'Comps - Dataset'!$B$5:$AT$45,'Comps - Outputs'!D$57,0)</f>
        <v>1210.2261015402169</v>
      </c>
      <c r="E43" s="1314">
        <f>VLOOKUP($B43,'Comps - Dataset'!$B$5:$AT$45,'Comps - Outputs'!E$57,0)</f>
        <v>1793.2613120365088</v>
      </c>
      <c r="F43" s="1314">
        <f>VLOOKUP($B43,'Comps - Dataset'!$B$5:$AT$45,'Comps - Outputs'!F$57,0)</f>
        <v>772.17371515497246</v>
      </c>
      <c r="G43" s="1314">
        <f>VLOOKUP($B43,'Comps - Dataset'!$B$5:$AT$45,'Comps - Outputs'!G$57,0)</f>
        <v>270.79146948088987</v>
      </c>
      <c r="H43" s="1314">
        <f>VLOOKUP($B43,'Comps - Dataset'!$B$5:$AT$45,'Comps - Outputs'!H$57,0)</f>
        <v>2012.5177956265452</v>
      </c>
      <c r="I43" s="1314">
        <f>VLOOKUP($B43,'Comps - Dataset'!$B$5:$AT$45,'Comps - Outputs'!I$57,0)</f>
        <v>246.02023281992777</v>
      </c>
      <c r="J43" s="1314">
        <f>VLOOKUP($B43,'Comps - Dataset'!$B$5:$AT$45,'Comps - Outputs'!J$57,0)</f>
        <v>62.809202738163151</v>
      </c>
      <c r="K43" s="970">
        <f>VLOOKUP($B43,'Comps - Dataset'!$B$5:$AT$45,'Comps - Outputs'!K$57,0)</f>
        <v>0.27959240647682865</v>
      </c>
      <c r="L43" s="1205">
        <f>VLOOKUP($B43,'Comps - Dataset'!$B$5:$AT$45,'Comps - Outputs'!L$57,0)</f>
        <v>0.93951634055500188</v>
      </c>
      <c r="M43" s="1205">
        <f>VLOOKUP($B43,'Comps - Dataset'!$B$5:$AT$45,'Comps - Outputs'!M$57,0)</f>
        <v>0.89105364232479922</v>
      </c>
      <c r="N43" s="971">
        <f>VLOOKUP($B43,'Comps - Dataset'!$B$5:$AT$45,'Comps - Outputs'!N$57,0)</f>
        <v>0.85537030226904764</v>
      </c>
      <c r="O43" s="1205">
        <f>VLOOKUP($B43,'Comps - Dataset'!$B$5:$AT$45,'Comps - Outputs'!O$57,0)</f>
        <v>8.9639639639639626</v>
      </c>
      <c r="P43" s="1205">
        <f>VLOOKUP($B43,'Comps - Dataset'!$B$5:$AT$45,'Comps - Outputs'!P$57,0)</f>
        <v>7.2890806234992462</v>
      </c>
      <c r="Q43" s="971">
        <f>VLOOKUP($B43,'Comps - Dataset'!$B$5:$AT$45,'Comps - Outputs'!Q$57,0)</f>
        <v>6.4021447721179623</v>
      </c>
      <c r="R43" s="1205">
        <f>VLOOKUP($B43,'Comps - Dataset'!$B$5:$AT$45,'Comps - Outputs'!R$57,0)</f>
        <v>91.568181818181827</v>
      </c>
      <c r="S43" s="971">
        <f>VLOOKUP($B43,'Comps - Dataset'!$B$5:$AT$45,'Comps - Outputs'!S$57,0)</f>
        <v>19.26829268292683</v>
      </c>
      <c r="T43" s="1315">
        <f>VLOOKUP($B43,'Comps - Dataset'!$B$5:$AT$45,'Comps - Outputs'!T$57,0)</f>
        <v>0.12224499746266132</v>
      </c>
      <c r="U43" s="2"/>
    </row>
    <row r="44" spans="1:24" ht="6.75" customHeight="1">
      <c r="A44" s="420"/>
      <c r="B44" s="1276"/>
      <c r="T44" s="1321"/>
      <c r="U44" s="2"/>
      <c r="V44" s="420"/>
      <c r="W44" s="420"/>
      <c r="X44" s="420"/>
    </row>
    <row r="45" spans="1:24" ht="13">
      <c r="B45" s="1320" t="s">
        <v>798</v>
      </c>
      <c r="C45" s="846"/>
      <c r="D45" s="846"/>
      <c r="E45" s="846"/>
      <c r="F45" s="846"/>
      <c r="G45" s="846"/>
      <c r="H45" s="846"/>
      <c r="I45" s="846"/>
      <c r="J45" s="846"/>
      <c r="K45" s="847">
        <f t="shared" ref="K45:T45" si="2">AVERAGE(K40:K43)</f>
        <v>0.24338920204641984</v>
      </c>
      <c r="L45" s="848">
        <f t="shared" si="2"/>
        <v>2.6997426479664388</v>
      </c>
      <c r="M45" s="848">
        <f t="shared" si="2"/>
        <v>2.4998712406228569</v>
      </c>
      <c r="N45" s="849">
        <f t="shared" si="2"/>
        <v>2.393039287312833</v>
      </c>
      <c r="O45" s="848">
        <f t="shared" si="2"/>
        <v>12.68923926072358</v>
      </c>
      <c r="P45" s="848">
        <f t="shared" si="2"/>
        <v>11.161810677620858</v>
      </c>
      <c r="Q45" s="849">
        <f t="shared" si="2"/>
        <v>10.234004614915452</v>
      </c>
      <c r="R45" s="848">
        <f t="shared" si="2"/>
        <v>38.384011383497395</v>
      </c>
      <c r="S45" s="849">
        <f t="shared" si="2"/>
        <v>16.703741019663127</v>
      </c>
      <c r="T45" s="1315">
        <f t="shared" si="2"/>
        <v>0.20526596492313953</v>
      </c>
      <c r="U45" s="2"/>
    </row>
    <row r="46" spans="1:24" ht="6.75" customHeight="1">
      <c r="A46" s="420"/>
      <c r="B46" s="1276"/>
      <c r="T46" s="1321"/>
      <c r="U46" s="2"/>
      <c r="V46" s="420"/>
      <c r="W46" s="420"/>
      <c r="X46" s="420"/>
    </row>
    <row r="47" spans="1:24" ht="13">
      <c r="B47" s="1322" t="str">
        <f>'Comps - Dataset'!B40</f>
        <v>Other</v>
      </c>
      <c r="C47" s="72"/>
      <c r="D47" s="853"/>
      <c r="E47" s="853"/>
      <c r="F47" s="853"/>
      <c r="G47" s="853"/>
      <c r="H47" s="853"/>
      <c r="I47" s="853"/>
      <c r="J47" s="853"/>
      <c r="K47" s="72"/>
      <c r="L47" s="72"/>
      <c r="M47" s="854"/>
      <c r="N47" s="72"/>
      <c r="O47" s="72"/>
      <c r="P47" s="854"/>
      <c r="Q47" s="854"/>
      <c r="R47" s="72"/>
      <c r="S47" s="72"/>
      <c r="T47" s="1324"/>
      <c r="U47" s="2"/>
    </row>
    <row r="48" spans="1:24" ht="6.75" customHeight="1">
      <c r="A48" s="420"/>
      <c r="B48" s="1276"/>
      <c r="T48" s="1321"/>
      <c r="U48" s="2"/>
      <c r="V48" s="420"/>
      <c r="W48" s="420"/>
      <c r="X48" s="420"/>
    </row>
    <row r="49" spans="1:24" ht="13">
      <c r="B49" s="1313" t="str">
        <f>'Comps - Dataset'!B41</f>
        <v>Fevertree Drinks PLC</v>
      </c>
      <c r="D49" s="1314">
        <f>VLOOKUP($B49,'Comps - Dataset'!$B$5:$AT$45,'Comps - Outputs'!D$57,0)</f>
        <v>1576.1012658227849</v>
      </c>
      <c r="E49" s="1314">
        <f>VLOOKUP($B49,'Comps - Dataset'!$B$5:$AT$45,'Comps - Outputs'!E$57,0)</f>
        <v>1500.253164556962</v>
      </c>
      <c r="F49" s="1314">
        <f>VLOOKUP($B49,'Comps - Dataset'!$B$5:$AT$45,'Comps - Outputs'!F$57,0)</f>
        <v>21.468354430379748</v>
      </c>
      <c r="G49" s="1314">
        <f>VLOOKUP($B49,'Comps - Dataset'!$B$5:$AT$45,'Comps - Outputs'!G$57,0)</f>
        <v>120.98227848101266</v>
      </c>
      <c r="H49" s="1314">
        <f>VLOOKUP($B49,'Comps - Dataset'!$B$5:$AT$45,'Comps - Outputs'!H$57,0)</f>
        <v>515.22025316455699</v>
      </c>
      <c r="I49" s="1314">
        <f>VLOOKUP($B49,'Comps - Dataset'!$B$5:$AT$45,'Comps - Outputs'!I$57,0)</f>
        <v>60.92151898734177</v>
      </c>
      <c r="J49" s="1314">
        <f>VLOOKUP($B49,'Comps - Dataset'!$B$5:$AT$45,'Comps - Outputs'!J$57,0)</f>
        <v>35.999999999999993</v>
      </c>
      <c r="K49" s="970">
        <f>VLOOKUP($B49,'Comps - Dataset'!$B$5:$AT$45,'Comps - Outputs'!K$57,0)</f>
        <v>-6.6331420857239282E-2</v>
      </c>
      <c r="L49" s="1205">
        <f>VLOOKUP($B49,'Comps - Dataset'!$B$5:$AT$45,'Comps - Outputs'!L$57,0)</f>
        <v>3.2922222222222222</v>
      </c>
      <c r="M49" s="1205">
        <f>VLOOKUP($B49,'Comps - Dataset'!$B$5:$AT$45,'Comps - Outputs'!M$57,0)</f>
        <v>2.9118676048586818</v>
      </c>
      <c r="N49" s="971">
        <f>VLOOKUP($B49,'Comps - Dataset'!$B$5:$AT$45,'Comps - Outputs'!N$57,0)</f>
        <v>2.5081262273989302</v>
      </c>
      <c r="O49" s="1205">
        <f>VLOOKUP($B49,'Comps - Dataset'!$B$5:$AT$45,'Comps - Outputs'!O$57,0)</f>
        <v>51.620209059233453</v>
      </c>
      <c r="P49" s="1205">
        <f>VLOOKUP($B49,'Comps - Dataset'!$B$5:$AT$45,'Comps - Outputs'!P$57,0)</f>
        <v>24.625997340425531</v>
      </c>
      <c r="Q49" s="971">
        <f>VLOOKUP($B49,'Comps - Dataset'!$B$5:$AT$45,'Comps - Outputs'!Q$57,0)</f>
        <v>15.106556541246048</v>
      </c>
      <c r="R49" s="1205">
        <f>VLOOKUP($B49,'Comps - Dataset'!$B$5:$AT$45,'Comps - Outputs'!R$57,0)</f>
        <v>104.45637583892616</v>
      </c>
      <c r="S49" s="971">
        <f>VLOOKUP($B49,'Comps - Dataset'!$B$5:$AT$45,'Comps - Outputs'!S$57,0)</f>
        <v>43.780590717299589</v>
      </c>
      <c r="T49" s="1315">
        <f>VLOOKUP($B49,'Comps - Dataset'!$B$5:$AT$45,'Comps - Outputs'!T$57,0)</f>
        <v>0.11824364165258067</v>
      </c>
      <c r="U49" s="2"/>
    </row>
    <row r="50" spans="1:24" ht="6.75" customHeight="1">
      <c r="A50" s="420"/>
      <c r="B50" s="1276"/>
      <c r="T50" s="1321"/>
      <c r="U50" s="2"/>
      <c r="V50" s="420"/>
      <c r="W50" s="420"/>
      <c r="X50" s="420"/>
    </row>
    <row r="51" spans="1:24" ht="13">
      <c r="B51" s="1320" t="s">
        <v>798</v>
      </c>
      <c r="C51" s="846"/>
      <c r="D51" s="846"/>
      <c r="E51" s="846"/>
      <c r="F51" s="846"/>
      <c r="G51" s="846"/>
      <c r="H51" s="846"/>
      <c r="I51" s="846"/>
      <c r="J51" s="846"/>
      <c r="K51" s="847">
        <f t="shared" ref="K51:T51" si="3">AVERAGE(K49:K49)</f>
        <v>-6.6331420857239282E-2</v>
      </c>
      <c r="L51" s="848">
        <f t="shared" si="3"/>
        <v>3.2922222222222222</v>
      </c>
      <c r="M51" s="848">
        <f t="shared" si="3"/>
        <v>2.9118676048586818</v>
      </c>
      <c r="N51" s="849">
        <f t="shared" si="3"/>
        <v>2.5081262273989302</v>
      </c>
      <c r="O51" s="848">
        <f t="shared" si="3"/>
        <v>51.620209059233453</v>
      </c>
      <c r="P51" s="848">
        <f t="shared" si="3"/>
        <v>24.625997340425531</v>
      </c>
      <c r="Q51" s="849">
        <f t="shared" si="3"/>
        <v>15.106556541246048</v>
      </c>
      <c r="R51" s="848">
        <f t="shared" si="3"/>
        <v>104.45637583892616</v>
      </c>
      <c r="S51" s="849">
        <f t="shared" si="3"/>
        <v>43.780590717299589</v>
      </c>
      <c r="T51" s="1315">
        <f t="shared" si="3"/>
        <v>0.11824364165258067</v>
      </c>
      <c r="U51" s="2"/>
    </row>
    <row r="52" spans="1:24" ht="6.75" customHeight="1">
      <c r="A52" s="420"/>
      <c r="B52" s="1276"/>
      <c r="T52" s="1325"/>
      <c r="U52" s="2"/>
      <c r="V52" s="420"/>
      <c r="W52" s="420"/>
      <c r="X52" s="420"/>
    </row>
    <row r="53" spans="1:24" ht="13">
      <c r="B53" s="1326" t="s">
        <v>813</v>
      </c>
      <c r="C53" s="856"/>
      <c r="D53" s="856"/>
      <c r="E53" s="856"/>
      <c r="F53" s="856"/>
      <c r="G53" s="856"/>
      <c r="H53" s="856"/>
      <c r="I53" s="856"/>
      <c r="J53" s="856"/>
      <c r="K53" s="857">
        <f t="shared" ref="K53:T53" si="4">AVERAGE(K49:K49,K40:K43,K23:K34,K8:K17)</f>
        <v>8.5568815033586001E-2</v>
      </c>
      <c r="L53" s="858">
        <f t="shared" si="4"/>
        <v>3.576303734809009</v>
      </c>
      <c r="M53" s="858">
        <f t="shared" si="4"/>
        <v>3.3103967397821559</v>
      </c>
      <c r="N53" s="859">
        <f t="shared" si="4"/>
        <v>3.015617478626611</v>
      </c>
      <c r="O53" s="858">
        <f t="shared" si="4"/>
        <v>16.148514580826809</v>
      </c>
      <c r="P53" s="858">
        <f t="shared" si="4"/>
        <v>12.66104888751531</v>
      </c>
      <c r="Q53" s="859">
        <f t="shared" si="4"/>
        <v>11.009329055061368</v>
      </c>
      <c r="R53" s="858">
        <f t="shared" si="4"/>
        <v>35.250831840588148</v>
      </c>
      <c r="S53" s="859">
        <f t="shared" si="4"/>
        <v>20.63012180434281</v>
      </c>
      <c r="T53" s="1327">
        <f t="shared" si="4"/>
        <v>0.2598800581382133</v>
      </c>
      <c r="U53" s="2"/>
      <c r="V53" s="420"/>
      <c r="W53" s="420"/>
      <c r="X53" s="420"/>
    </row>
    <row r="54" spans="1:24" ht="6.75" customHeight="1">
      <c r="A54" s="420"/>
      <c r="B54" s="1276"/>
      <c r="T54" s="1325"/>
      <c r="U54" s="2"/>
      <c r="V54" s="420"/>
      <c r="W54" s="420"/>
      <c r="X54" s="420"/>
    </row>
    <row r="55" spans="1:24" ht="13">
      <c r="B55" s="1328" t="str">
        <f>'Comps - Dataset'!$B$44</f>
        <v>Diageo PLC</v>
      </c>
      <c r="C55" s="861"/>
      <c r="D55" s="861">
        <f>VLOOKUP($B55,'Comps - Dataset'!$B$5:$AT$45,'Comps - Outputs'!D$57,0)</f>
        <v>80281.113924050645</v>
      </c>
      <c r="E55" s="861">
        <f>VLOOKUP($B55,'Comps - Dataset'!$B$5:$AT$45,'Comps - Outputs'!E$57,0)</f>
        <v>102064.91139240508</v>
      </c>
      <c r="F55" s="861">
        <f>VLOOKUP($B55,'Comps - Dataset'!$B$5:$AT$45,'Comps - Outputs'!F$57,0)</f>
        <v>21995.848101265823</v>
      </c>
      <c r="G55" s="861">
        <f>VLOOKUP($B55,'Comps - Dataset'!$B$5:$AT$45,'Comps - Outputs'!G$57,0)</f>
        <v>2078.0962025316453</v>
      </c>
      <c r="H55" s="861">
        <f>VLOOKUP($B55,'Comps - Dataset'!$B$5:$AT$45,'Comps - Outputs'!H$57,0)</f>
        <v>21278.167088607595</v>
      </c>
      <c r="I55" s="862">
        <f>VLOOKUP($B55,'Comps - Dataset'!$B$5:$AT$45,'Comps - Outputs'!I$57,0)</f>
        <v>7123.9493670886077</v>
      </c>
      <c r="J55" s="846">
        <f>VLOOKUP($B55,'Comps - Dataset'!$B$5:$AT$45,'Comps - Outputs'!J$57,0)</f>
        <v>4368.506329113924</v>
      </c>
      <c r="K55" s="863">
        <f>VLOOKUP($B55,'Comps - Dataset'!$B$5:$AT$45,'Comps - Outputs'!K$57,0)</f>
        <v>0.19514788801566835</v>
      </c>
      <c r="L55" s="864">
        <f>VLOOKUP($B55,'Comps - Dataset'!$B$5:$AT$45,'Comps - Outputs'!L$57,0)</f>
        <v>4.6982011588284935</v>
      </c>
      <c r="M55" s="864">
        <f>VLOOKUP($B55,'Comps - Dataset'!$B$5:$AT$45,'Comps - Outputs'!M$57,0)</f>
        <v>4.7966965842208742</v>
      </c>
      <c r="N55" s="865">
        <f>VLOOKUP($B55,'Comps - Dataset'!$B$5:$AT$45,'Comps - Outputs'!N$57,0)</f>
        <v>4.556203548708055</v>
      </c>
      <c r="O55" s="864">
        <f>VLOOKUP($B55,'Comps - Dataset'!$B$5:$AT$45,'Comps - Outputs'!O$57,0)</f>
        <v>14.207454081560734</v>
      </c>
      <c r="P55" s="864">
        <f>VLOOKUP($B55,'Comps - Dataset'!$B$5:$AT$45,'Comps - Outputs'!P$57,0)</f>
        <v>14.327012466417436</v>
      </c>
      <c r="Q55" s="865">
        <f>VLOOKUP($B55,'Comps - Dataset'!$B$5:$AT$45,'Comps - Outputs'!Q$57,0)</f>
        <v>13.480353737056527</v>
      </c>
      <c r="R55" s="864">
        <f>VLOOKUP($B55,'Comps - Dataset'!$B$5:$AT$45,'Comps - Outputs'!R$57,0)</f>
        <v>16.936401119442845</v>
      </c>
      <c r="S55" s="865">
        <f>VLOOKUP($B55,'Comps - Dataset'!$B$5:$AT$45,'Comps - Outputs'!S$57,0)</f>
        <v>18.377245647789707</v>
      </c>
      <c r="T55" s="1329">
        <f>VLOOKUP($B55,'Comps - Dataset'!$B$5:$AT$45,'Comps - Outputs'!T$57,0)</f>
        <v>0.33480089414763525</v>
      </c>
      <c r="U55" s="2"/>
    </row>
    <row r="56" spans="1:24" ht="13">
      <c r="B56" s="1276"/>
      <c r="T56" s="1309"/>
      <c r="U56" s="2"/>
    </row>
    <row r="57" spans="1:24" ht="13">
      <c r="B57" s="1330" t="s">
        <v>807</v>
      </c>
      <c r="C57" s="1285"/>
      <c r="D57" s="1331">
        <v>16</v>
      </c>
      <c r="E57" s="1331">
        <v>17</v>
      </c>
      <c r="F57" s="1331">
        <v>18</v>
      </c>
      <c r="G57" s="1331">
        <v>19</v>
      </c>
      <c r="H57" s="1331">
        <v>20</v>
      </c>
      <c r="I57" s="1331">
        <v>21</v>
      </c>
      <c r="J57" s="1331">
        <v>22</v>
      </c>
      <c r="K57" s="1331">
        <v>27</v>
      </c>
      <c r="L57" s="1331">
        <f>'Comps - Dataset'!AE67</f>
        <v>30</v>
      </c>
      <c r="M57" s="1331">
        <f>'Comps - Dataset'!AF67</f>
        <v>31</v>
      </c>
      <c r="N57" s="1331">
        <f>'Comps - Dataset'!AG67</f>
        <v>32</v>
      </c>
      <c r="O57" s="1331">
        <f>'Comps - Dataset'!AI67</f>
        <v>34</v>
      </c>
      <c r="P57" s="1331">
        <f>'Comps - Dataset'!AJ67</f>
        <v>35</v>
      </c>
      <c r="Q57" s="1331">
        <f>'Comps - Dataset'!AK67</f>
        <v>36</v>
      </c>
      <c r="R57" s="1331">
        <f>'Comps - Dataset'!AM67</f>
        <v>38</v>
      </c>
      <c r="S57" s="1331">
        <f>'Comps - Dataset'!AN67</f>
        <v>39</v>
      </c>
      <c r="T57" s="1332">
        <f>'Comps - Dataset'!AQ67</f>
        <v>42</v>
      </c>
      <c r="U57" s="2"/>
    </row>
    <row r="58" spans="1:24" ht="13">
      <c r="U58" s="2"/>
    </row>
    <row r="59" spans="1:24" ht="13" hidden="1">
      <c r="U59" s="2"/>
    </row>
    <row r="60" spans="1:24" ht="13" hidden="1">
      <c r="U60" s="2"/>
    </row>
    <row r="61" spans="1:24" ht="13" hidden="1">
      <c r="U61" s="2"/>
    </row>
    <row r="62" spans="1:24" ht="13" hidden="1">
      <c r="U62" s="2"/>
    </row>
    <row r="63" spans="1:24" ht="13" hidden="1">
      <c r="U63" s="2"/>
    </row>
    <row r="64" spans="1:24" ht="13" hidden="1">
      <c r="U64" s="2"/>
    </row>
    <row r="65" spans="21:21" ht="13" hidden="1">
      <c r="U65" s="2"/>
    </row>
    <row r="66" spans="21:21" ht="13" hidden="1">
      <c r="U66" s="2"/>
    </row>
    <row r="67" spans="21:21" ht="13" hidden="1">
      <c r="U67" s="2"/>
    </row>
    <row r="68" spans="21:21" ht="13" hidden="1">
      <c r="U68" s="2"/>
    </row>
    <row r="69" spans="21:21" ht="13" hidden="1">
      <c r="U69" s="2"/>
    </row>
    <row r="70" spans="21:21" ht="13" hidden="1">
      <c r="U70" s="2"/>
    </row>
    <row r="71" spans="21:21" ht="13" hidden="1">
      <c r="U71" s="2"/>
    </row>
    <row r="72" spans="21:21" ht="13" hidden="1">
      <c r="U72" s="2"/>
    </row>
    <row r="73" spans="21:21" ht="13" hidden="1">
      <c r="U73" s="2"/>
    </row>
    <row r="74" spans="21:21" ht="13" hidden="1">
      <c r="U74" s="2"/>
    </row>
    <row r="75" spans="21:21" ht="13" hidden="1">
      <c r="U75" s="2"/>
    </row>
    <row r="76" spans="21:21" ht="13" hidden="1">
      <c r="U76" s="2"/>
    </row>
    <row r="77" spans="21:21" ht="13" hidden="1">
      <c r="U77" s="2"/>
    </row>
    <row r="78" spans="21:21" ht="13" hidden="1">
      <c r="U78" s="2"/>
    </row>
    <row r="79" spans="21:21" ht="13" hidden="1">
      <c r="U79" s="2"/>
    </row>
    <row r="80" spans="21:21" ht="13" hidden="1">
      <c r="U80" s="2"/>
    </row>
    <row r="81" spans="21:21" ht="13" hidden="1">
      <c r="U81" s="2"/>
    </row>
    <row r="82" spans="21:21" ht="13" hidden="1">
      <c r="U82" s="2"/>
    </row>
    <row r="83" spans="21:21" ht="13" hidden="1">
      <c r="U83" s="2"/>
    </row>
    <row r="84" spans="21:21" ht="13" hidden="1">
      <c r="U84" s="2"/>
    </row>
    <row r="85" spans="21:21" ht="13" hidden="1">
      <c r="U85" s="2"/>
    </row>
    <row r="86" spans="21:21" ht="13" hidden="1">
      <c r="U86" s="2"/>
    </row>
    <row r="87" spans="21:21" ht="13" hidden="1">
      <c r="U87" s="2"/>
    </row>
    <row r="88" spans="21:21" ht="13" hidden="1">
      <c r="U88" s="2"/>
    </row>
    <row r="89" spans="21:21" ht="13" hidden="1">
      <c r="U89" s="2"/>
    </row>
    <row r="90" spans="21:21" ht="13" hidden="1">
      <c r="U90" s="2"/>
    </row>
    <row r="91" spans="21:21" ht="13" hidden="1">
      <c r="U91" s="2"/>
    </row>
    <row r="92" spans="21:21" ht="13" hidden="1">
      <c r="U92" s="2"/>
    </row>
    <row r="93" spans="21:21" ht="13" hidden="1">
      <c r="U93" s="2"/>
    </row>
    <row r="94" spans="21:21" ht="13" hidden="1">
      <c r="U94" s="2"/>
    </row>
    <row r="95" spans="21:21" ht="13" hidden="1">
      <c r="U95" s="2"/>
    </row>
    <row r="96" spans="21:21" ht="13" hidden="1">
      <c r="U96" s="2"/>
    </row>
    <row r="97" spans="21:21" ht="13" hidden="1">
      <c r="U97" s="2"/>
    </row>
    <row r="98" spans="21:21" ht="13" hidden="1">
      <c r="U98" s="2"/>
    </row>
    <row r="99" spans="21:21" ht="13" hidden="1">
      <c r="U99" s="2"/>
    </row>
    <row r="100" spans="21:21" ht="13" hidden="1">
      <c r="U100" s="2"/>
    </row>
    <row r="101" spans="21:21" ht="13" hidden="1">
      <c r="U101" s="2"/>
    </row>
    <row r="102" spans="21:21" ht="13" hidden="1">
      <c r="U102" s="2"/>
    </row>
    <row r="103" spans="21:21" ht="13" hidden="1">
      <c r="U103" s="2"/>
    </row>
    <row r="104" spans="21:21" ht="13" hidden="1">
      <c r="U104" s="2"/>
    </row>
    <row r="105" spans="21:21" ht="13" hidden="1">
      <c r="U105" s="2"/>
    </row>
    <row r="106" spans="21:21" ht="13" hidden="1">
      <c r="U106" s="2"/>
    </row>
    <row r="107" spans="21:21" ht="13" hidden="1">
      <c r="U107" s="2"/>
    </row>
    <row r="108" spans="21:21" ht="13" hidden="1">
      <c r="U108" s="2"/>
    </row>
    <row r="109" spans="21:21" ht="13" hidden="1">
      <c r="U109" s="2"/>
    </row>
    <row r="110" spans="21:21" ht="13" hidden="1">
      <c r="U110" s="2"/>
    </row>
    <row r="111" spans="21:21" ht="13" hidden="1">
      <c r="U111" s="2"/>
    </row>
    <row r="112" spans="21:21" ht="13" hidden="1">
      <c r="U112" s="2"/>
    </row>
    <row r="113" spans="21:21" ht="13" hidden="1">
      <c r="U113" s="2"/>
    </row>
    <row r="114" spans="21:21" ht="13" hidden="1">
      <c r="U114" s="2"/>
    </row>
    <row r="115" spans="21:21" ht="13" hidden="1">
      <c r="U115" s="2"/>
    </row>
    <row r="116" spans="21:21" ht="13" hidden="1">
      <c r="U116" s="2"/>
    </row>
    <row r="117" spans="21:21" ht="13" hidden="1">
      <c r="U117" s="2"/>
    </row>
    <row r="118" spans="21:21" ht="13" hidden="1">
      <c r="U118" s="2"/>
    </row>
    <row r="119" spans="21:21" ht="13" hidden="1">
      <c r="U119" s="2"/>
    </row>
    <row r="120" spans="21:21" ht="13" hidden="1">
      <c r="U120" s="2"/>
    </row>
    <row r="121" spans="21:21" ht="13" hidden="1">
      <c r="U121" s="2"/>
    </row>
    <row r="122" spans="21:21" ht="13" hidden="1">
      <c r="U122" s="2"/>
    </row>
    <row r="123" spans="21:21" ht="13" hidden="1">
      <c r="U123" s="2"/>
    </row>
    <row r="124" spans="21:21" ht="13" hidden="1">
      <c r="U124" s="2"/>
    </row>
    <row r="125" spans="21:21" ht="13" hidden="1">
      <c r="U125" s="2"/>
    </row>
    <row r="126" spans="21:21" ht="13" hidden="1">
      <c r="U126" s="2"/>
    </row>
    <row r="127" spans="21:21" ht="13" hidden="1">
      <c r="U127" s="2"/>
    </row>
    <row r="128" spans="21:21" ht="13" hidden="1">
      <c r="U128" s="2"/>
    </row>
    <row r="129" spans="21:21" ht="13" hidden="1">
      <c r="U129" s="2"/>
    </row>
    <row r="130" spans="21:21" ht="13" hidden="1">
      <c r="U130" s="2"/>
    </row>
    <row r="131" spans="21:21" ht="13" hidden="1">
      <c r="U131" s="2"/>
    </row>
    <row r="132" spans="21:21" ht="13" hidden="1">
      <c r="U132" s="2"/>
    </row>
    <row r="133" spans="21:21" ht="13" hidden="1">
      <c r="U133" s="2"/>
    </row>
    <row r="134" spans="21:21" ht="13" hidden="1">
      <c r="U134" s="2"/>
    </row>
    <row r="135" spans="21:21" ht="13" hidden="1">
      <c r="U135" s="2"/>
    </row>
    <row r="136" spans="21:21" ht="13" hidden="1">
      <c r="U136" s="2"/>
    </row>
    <row r="137" spans="21:21" ht="13" hidden="1">
      <c r="U137" s="2"/>
    </row>
    <row r="138" spans="21:21" ht="13" hidden="1">
      <c r="U138" s="2"/>
    </row>
    <row r="139" spans="21:21" ht="13" hidden="1">
      <c r="U139" s="2"/>
    </row>
    <row r="140" spans="21:21" ht="13" hidden="1">
      <c r="U140" s="2"/>
    </row>
    <row r="141" spans="21:21" ht="13" hidden="1">
      <c r="U141" s="2"/>
    </row>
    <row r="142" spans="21:21" ht="13" hidden="1">
      <c r="U142" s="2"/>
    </row>
    <row r="143" spans="21:21" ht="13" hidden="1">
      <c r="U143" s="2"/>
    </row>
    <row r="144" spans="21:21" ht="13" hidden="1">
      <c r="U144" s="2"/>
    </row>
    <row r="145" spans="21:21" ht="13" hidden="1">
      <c r="U145" s="2"/>
    </row>
    <row r="146" spans="21:21" ht="13" hidden="1">
      <c r="U146" s="2"/>
    </row>
    <row r="147" spans="21:21" ht="13" hidden="1">
      <c r="U147" s="2"/>
    </row>
    <row r="148" spans="21:21" ht="13" hidden="1">
      <c r="U148" s="2"/>
    </row>
    <row r="149" spans="21:21" ht="13" hidden="1">
      <c r="U149" s="2"/>
    </row>
    <row r="150" spans="21:21" ht="13" hidden="1">
      <c r="U150" s="2"/>
    </row>
    <row r="151" spans="21:21" ht="13" hidden="1">
      <c r="U151" s="2"/>
    </row>
    <row r="152" spans="21:21" ht="13" hidden="1">
      <c r="U152" s="2"/>
    </row>
    <row r="153" spans="21:21" ht="13" hidden="1">
      <c r="U153" s="2"/>
    </row>
    <row r="154" spans="21:21" ht="13" hidden="1">
      <c r="U154" s="2"/>
    </row>
    <row r="155" spans="21:21" ht="13" hidden="1">
      <c r="U155" s="2"/>
    </row>
    <row r="156" spans="21:21" ht="13" hidden="1">
      <c r="U156" s="2"/>
    </row>
    <row r="157" spans="21:21" ht="13" hidden="1">
      <c r="U157" s="2"/>
    </row>
    <row r="158" spans="21:21" ht="13" hidden="1">
      <c r="U158" s="2"/>
    </row>
    <row r="159" spans="21:21" ht="13" hidden="1">
      <c r="U159" s="2"/>
    </row>
    <row r="160" spans="21:21" ht="13" hidden="1">
      <c r="U160" s="2"/>
    </row>
    <row r="161" spans="21:21" ht="13" hidden="1">
      <c r="U161" s="2"/>
    </row>
    <row r="162" spans="21:21" ht="13" hidden="1">
      <c r="U162" s="2"/>
    </row>
    <row r="163" spans="21:21" ht="13" hidden="1">
      <c r="U163" s="2"/>
    </row>
    <row r="164" spans="21:21" ht="13" hidden="1">
      <c r="U164" s="2"/>
    </row>
    <row r="165" spans="21:21" ht="13" hidden="1">
      <c r="U165" s="2"/>
    </row>
    <row r="166" spans="21:21" ht="13" hidden="1">
      <c r="U166" s="2"/>
    </row>
    <row r="167" spans="21:21" ht="13" hidden="1">
      <c r="U167" s="2"/>
    </row>
    <row r="168" spans="21:21" ht="13" hidden="1">
      <c r="U168" s="2"/>
    </row>
    <row r="169" spans="21:21" ht="13" hidden="1">
      <c r="U169" s="2"/>
    </row>
    <row r="170" spans="21:21" ht="13" hidden="1">
      <c r="U170" s="2"/>
    </row>
    <row r="171" spans="21:21" ht="13" hidden="1">
      <c r="U171" s="2"/>
    </row>
    <row r="172" spans="21:21" ht="13" hidden="1">
      <c r="U172" s="2"/>
    </row>
    <row r="173" spans="21:21" ht="13" hidden="1">
      <c r="U173" s="2"/>
    </row>
    <row r="174" spans="21:21" ht="13" hidden="1">
      <c r="U174" s="2"/>
    </row>
    <row r="175" spans="21:21" ht="13" hidden="1">
      <c r="U175" s="2"/>
    </row>
    <row r="176" spans="21:21" ht="13" hidden="1">
      <c r="U176" s="2"/>
    </row>
    <row r="177" spans="21:21" ht="13" hidden="1">
      <c r="U177" s="2"/>
    </row>
    <row r="178" spans="21:21" ht="13" hidden="1">
      <c r="U178" s="2"/>
    </row>
    <row r="179" spans="21:21" ht="13" hidden="1">
      <c r="U179" s="2"/>
    </row>
    <row r="180" spans="21:21" ht="13" hidden="1">
      <c r="U180" s="2"/>
    </row>
    <row r="181" spans="21:21" ht="13" hidden="1">
      <c r="U181" s="2"/>
    </row>
    <row r="182" spans="21:21" ht="13" hidden="1">
      <c r="U182" s="2"/>
    </row>
    <row r="183" spans="21:21" ht="13" hidden="1">
      <c r="U183" s="2"/>
    </row>
    <row r="184" spans="21:21" ht="13" hidden="1">
      <c r="U184" s="2"/>
    </row>
    <row r="185" spans="21:21" ht="13" hidden="1">
      <c r="U185" s="2"/>
    </row>
    <row r="186" spans="21:21" ht="13" hidden="1">
      <c r="U186" s="2"/>
    </row>
    <row r="187" spans="21:21" ht="13" hidden="1">
      <c r="U187" s="2"/>
    </row>
    <row r="188" spans="21:21" ht="13" hidden="1">
      <c r="U188" s="2"/>
    </row>
    <row r="189" spans="21:21" ht="13" hidden="1">
      <c r="U189" s="2"/>
    </row>
    <row r="190" spans="21:21" ht="13" hidden="1">
      <c r="U190" s="2"/>
    </row>
    <row r="191" spans="21:21" ht="13" hidden="1">
      <c r="U191" s="2"/>
    </row>
    <row r="192" spans="21:21" ht="13" hidden="1">
      <c r="U192" s="2"/>
    </row>
    <row r="193" spans="21:21" ht="13" hidden="1">
      <c r="U193" s="2"/>
    </row>
    <row r="194" spans="21:21" ht="13" hidden="1">
      <c r="U194" s="2"/>
    </row>
    <row r="195" spans="21:21" ht="13" hidden="1">
      <c r="U195" s="2"/>
    </row>
    <row r="196" spans="21:21" ht="13" hidden="1">
      <c r="U196" s="2"/>
    </row>
    <row r="197" spans="21:21" ht="13" hidden="1">
      <c r="U197" s="2"/>
    </row>
    <row r="198" spans="21:21" ht="13" hidden="1">
      <c r="U198" s="2"/>
    </row>
    <row r="199" spans="21:21" ht="13" hidden="1">
      <c r="U199" s="2"/>
    </row>
    <row r="200" spans="21:21" ht="13" hidden="1">
      <c r="U200" s="2"/>
    </row>
    <row r="201" spans="21:21" ht="13" hidden="1">
      <c r="U201" s="2"/>
    </row>
    <row r="202" spans="21:21" ht="13" hidden="1">
      <c r="U202" s="2"/>
    </row>
    <row r="203" spans="21:21" ht="13" hidden="1">
      <c r="U203" s="2"/>
    </row>
    <row r="204" spans="21:21" ht="13" hidden="1">
      <c r="U204" s="2"/>
    </row>
    <row r="205" spans="21:21" ht="13" hidden="1">
      <c r="U205" s="2"/>
    </row>
    <row r="206" spans="21:21" ht="13" hidden="1">
      <c r="U206" s="2"/>
    </row>
    <row r="207" spans="21:21" ht="13" hidden="1">
      <c r="U207" s="2"/>
    </row>
    <row r="208" spans="21:21" ht="13" hidden="1">
      <c r="U208" s="2"/>
    </row>
    <row r="209" spans="21:21" ht="13" hidden="1">
      <c r="U209" s="2"/>
    </row>
    <row r="210" spans="21:21" ht="13" hidden="1">
      <c r="U210" s="2"/>
    </row>
    <row r="211" spans="21:21" ht="13" hidden="1">
      <c r="U211" s="2"/>
    </row>
    <row r="212" spans="21:21" ht="13" hidden="1">
      <c r="U212" s="2"/>
    </row>
    <row r="213" spans="21:21" ht="13" hidden="1">
      <c r="U213" s="2"/>
    </row>
    <row r="214" spans="21:21" ht="13" hidden="1">
      <c r="U214" s="2"/>
    </row>
    <row r="215" spans="21:21" ht="13" hidden="1">
      <c r="U215" s="2"/>
    </row>
    <row r="216" spans="21:21" ht="13" hidden="1">
      <c r="U216" s="2"/>
    </row>
    <row r="217" spans="21:21" ht="13" hidden="1">
      <c r="U217" s="2"/>
    </row>
    <row r="218" spans="21:21" ht="13" hidden="1">
      <c r="U218" s="2"/>
    </row>
    <row r="219" spans="21:21" ht="13" hidden="1">
      <c r="U219" s="2"/>
    </row>
    <row r="220" spans="21:21" ht="13" hidden="1">
      <c r="U220" s="2"/>
    </row>
    <row r="221" spans="21:21" ht="13" hidden="1">
      <c r="U221" s="2"/>
    </row>
    <row r="222" spans="21:21" ht="13" hidden="1">
      <c r="U222" s="2"/>
    </row>
    <row r="223" spans="21:21" ht="13" hidden="1">
      <c r="U223" s="2"/>
    </row>
    <row r="224" spans="21:21" ht="13" hidden="1">
      <c r="U224" s="2"/>
    </row>
    <row r="225" spans="21:21" ht="13" hidden="1">
      <c r="U225" s="2"/>
    </row>
    <row r="226" spans="21:21" ht="13" hidden="1">
      <c r="U226" s="2"/>
    </row>
    <row r="227" spans="21:21" ht="13" hidden="1">
      <c r="U227" s="2"/>
    </row>
    <row r="228" spans="21:21" ht="13" hidden="1">
      <c r="U228" s="2"/>
    </row>
    <row r="229" spans="21:21" ht="13" hidden="1">
      <c r="U229" s="2"/>
    </row>
    <row r="230" spans="21:21" ht="13" hidden="1">
      <c r="U230" s="2"/>
    </row>
    <row r="231" spans="21:21" ht="13" hidden="1">
      <c r="U231" s="2"/>
    </row>
    <row r="232" spans="21:21" ht="13" hidden="1">
      <c r="U232" s="2"/>
    </row>
    <row r="233" spans="21:21" ht="13" hidden="1">
      <c r="U233" s="2"/>
    </row>
    <row r="234" spans="21:21" ht="13" hidden="1">
      <c r="U234" s="2"/>
    </row>
    <row r="235" spans="21:21" ht="13" hidden="1">
      <c r="U235" s="2"/>
    </row>
    <row r="236" spans="21:21" ht="13" hidden="1">
      <c r="U236" s="2"/>
    </row>
    <row r="237" spans="21:21" ht="13" hidden="1">
      <c r="U237" s="2"/>
    </row>
    <row r="238" spans="21:21" ht="13" hidden="1">
      <c r="U238" s="2"/>
    </row>
    <row r="239" spans="21:21" ht="13" hidden="1">
      <c r="U239" s="2"/>
    </row>
    <row r="240" spans="21:21" ht="13" hidden="1">
      <c r="U240" s="2"/>
    </row>
    <row r="241" spans="21:21" ht="13" hidden="1">
      <c r="U241" s="2"/>
    </row>
    <row r="242" spans="21:21" ht="13" hidden="1">
      <c r="U242" s="2"/>
    </row>
    <row r="243" spans="21:21" ht="13" hidden="1">
      <c r="U243" s="2"/>
    </row>
    <row r="244" spans="21:21" ht="13" hidden="1">
      <c r="U244" s="2"/>
    </row>
    <row r="245" spans="21:21" ht="13" hidden="1">
      <c r="U245" s="2"/>
    </row>
    <row r="246" spans="21:21" ht="13" hidden="1">
      <c r="U246" s="2"/>
    </row>
    <row r="247" spans="21:21" ht="13" hidden="1">
      <c r="U247" s="2"/>
    </row>
    <row r="248" spans="21:21" ht="13" hidden="1">
      <c r="U248" s="2"/>
    </row>
    <row r="249" spans="21:21" ht="13" hidden="1">
      <c r="U249" s="2"/>
    </row>
    <row r="250" spans="21:21" ht="13" hidden="1">
      <c r="U250" s="2"/>
    </row>
    <row r="251" spans="21:21" ht="13" hidden="1">
      <c r="U251" s="2"/>
    </row>
    <row r="252" spans="21:21" ht="13" hidden="1">
      <c r="U252" s="2"/>
    </row>
    <row r="253" spans="21:21" ht="13" hidden="1">
      <c r="U253" s="2"/>
    </row>
    <row r="254" spans="21:21" ht="13" hidden="1">
      <c r="U254" s="2"/>
    </row>
    <row r="255" spans="21:21" ht="13" hidden="1">
      <c r="U255" s="2"/>
    </row>
    <row r="256" spans="21:21" ht="13" hidden="1">
      <c r="U256" s="2"/>
    </row>
    <row r="257" spans="21:21" ht="13" hidden="1">
      <c r="U257" s="2"/>
    </row>
    <row r="258" spans="21:21" ht="13" hidden="1">
      <c r="U258" s="2"/>
    </row>
    <row r="259" spans="21:21" ht="13" hidden="1">
      <c r="U259" s="2"/>
    </row>
    <row r="260" spans="21:21" ht="13" hidden="1">
      <c r="U260" s="2"/>
    </row>
    <row r="261" spans="21:21" ht="13" hidden="1">
      <c r="U261" s="2"/>
    </row>
    <row r="262" spans="21:21" ht="13" hidden="1">
      <c r="U262" s="2"/>
    </row>
    <row r="263" spans="21:21" ht="13" hidden="1">
      <c r="U263" s="2"/>
    </row>
    <row r="264" spans="21:21" ht="13" hidden="1">
      <c r="U264" s="2"/>
    </row>
    <row r="265" spans="21:21" ht="13" hidden="1">
      <c r="U265" s="2"/>
    </row>
    <row r="266" spans="21:21" ht="13" hidden="1">
      <c r="U266" s="2"/>
    </row>
    <row r="267" spans="21:21" ht="13" hidden="1">
      <c r="U267" s="2"/>
    </row>
    <row r="268" spans="21:21" ht="13" hidden="1">
      <c r="U268" s="2"/>
    </row>
    <row r="269" spans="21:21" ht="13" hidden="1">
      <c r="U269" s="2"/>
    </row>
    <row r="270" spans="21:21" ht="13" hidden="1">
      <c r="U270" s="2"/>
    </row>
    <row r="271" spans="21:21" ht="13" hidden="1">
      <c r="U271" s="2"/>
    </row>
    <row r="272" spans="21:21" ht="13" hidden="1">
      <c r="U272" s="2"/>
    </row>
    <row r="273" spans="21:21" ht="13" hidden="1">
      <c r="U273" s="2"/>
    </row>
    <row r="274" spans="21:21" ht="13" hidden="1">
      <c r="U274" s="2"/>
    </row>
    <row r="275" spans="21:21" ht="13" hidden="1">
      <c r="U275" s="2"/>
    </row>
    <row r="276" spans="21:21" ht="13" hidden="1">
      <c r="U276" s="2"/>
    </row>
    <row r="277" spans="21:21" ht="13" hidden="1">
      <c r="U277" s="2"/>
    </row>
    <row r="278" spans="21:21" ht="13" hidden="1">
      <c r="U278" s="2"/>
    </row>
    <row r="279" spans="21:21" ht="13" hidden="1">
      <c r="U279" s="2"/>
    </row>
    <row r="280" spans="21:21" ht="13" hidden="1">
      <c r="U280" s="2"/>
    </row>
    <row r="281" spans="21:21" ht="13" hidden="1">
      <c r="U281" s="2"/>
    </row>
    <row r="282" spans="21:21" ht="13" hidden="1">
      <c r="U282" s="2"/>
    </row>
    <row r="283" spans="21:21" ht="13" hidden="1">
      <c r="U283" s="2"/>
    </row>
    <row r="284" spans="21:21" ht="13" hidden="1">
      <c r="U284" s="2"/>
    </row>
    <row r="285" spans="21:21" ht="13" hidden="1">
      <c r="U285" s="2"/>
    </row>
    <row r="286" spans="21:21" ht="13" hidden="1">
      <c r="U286" s="2"/>
    </row>
    <row r="287" spans="21:21" ht="13" hidden="1">
      <c r="U287" s="2"/>
    </row>
    <row r="288" spans="21:21" ht="13" hidden="1">
      <c r="U288" s="2"/>
    </row>
    <row r="289" spans="21:21" ht="13" hidden="1">
      <c r="U289" s="2"/>
    </row>
    <row r="290" spans="21:21" ht="13" hidden="1">
      <c r="U290" s="2"/>
    </row>
    <row r="291" spans="21:21" ht="13" hidden="1">
      <c r="U291" s="2"/>
    </row>
    <row r="292" spans="21:21" ht="13" hidden="1">
      <c r="U292" s="2"/>
    </row>
    <row r="293" spans="21:21" ht="13" hidden="1">
      <c r="U293" s="2"/>
    </row>
    <row r="294" spans="21:21" ht="13" hidden="1">
      <c r="U294" s="2"/>
    </row>
    <row r="295" spans="21:21" ht="13" hidden="1">
      <c r="U295" s="2"/>
    </row>
    <row r="296" spans="21:21" ht="13" hidden="1">
      <c r="U296" s="2"/>
    </row>
    <row r="297" spans="21:21" ht="13" hidden="1">
      <c r="U297" s="2"/>
    </row>
    <row r="298" spans="21:21" ht="13" hidden="1">
      <c r="U298" s="2"/>
    </row>
    <row r="299" spans="21:21" ht="13" hidden="1">
      <c r="U299" s="2"/>
    </row>
    <row r="300" spans="21:21" ht="13" hidden="1">
      <c r="U300" s="2"/>
    </row>
    <row r="301" spans="21:21" ht="13" hidden="1">
      <c r="U301" s="2"/>
    </row>
    <row r="302" spans="21:21" ht="13" hidden="1">
      <c r="U302" s="2"/>
    </row>
    <row r="303" spans="21:21" ht="13" hidden="1">
      <c r="U303" s="2"/>
    </row>
    <row r="304" spans="21:21" ht="13" hidden="1">
      <c r="U304" s="2"/>
    </row>
    <row r="305" spans="21:21" ht="13" hidden="1">
      <c r="U305" s="2"/>
    </row>
    <row r="306" spans="21:21" ht="13" hidden="1">
      <c r="U306" s="2"/>
    </row>
    <row r="307" spans="21:21" ht="13" hidden="1">
      <c r="U307" s="2"/>
    </row>
    <row r="308" spans="21:21" ht="13" hidden="1">
      <c r="U308" s="2"/>
    </row>
    <row r="309" spans="21:21" ht="13" hidden="1">
      <c r="U309" s="2"/>
    </row>
    <row r="310" spans="21:21" ht="13" hidden="1">
      <c r="U310" s="2"/>
    </row>
    <row r="311" spans="21:21" ht="13" hidden="1">
      <c r="U311" s="2"/>
    </row>
    <row r="312" spans="21:21" ht="13" hidden="1">
      <c r="U312" s="2"/>
    </row>
    <row r="313" spans="21:21" ht="13" hidden="1">
      <c r="U313" s="2"/>
    </row>
    <row r="314" spans="21:21" ht="13" hidden="1">
      <c r="U314" s="2"/>
    </row>
    <row r="315" spans="21:21" ht="13" hidden="1">
      <c r="U315" s="2"/>
    </row>
    <row r="316" spans="21:21" ht="13" hidden="1">
      <c r="U316" s="2"/>
    </row>
    <row r="317" spans="21:21" ht="13" hidden="1">
      <c r="U317" s="2"/>
    </row>
    <row r="318" spans="21:21" ht="13" hidden="1">
      <c r="U318" s="2"/>
    </row>
    <row r="319" spans="21:21" ht="13" hidden="1">
      <c r="U319" s="2"/>
    </row>
    <row r="320" spans="21:21" ht="13" hidden="1">
      <c r="U320" s="2"/>
    </row>
    <row r="321" spans="21:21" ht="13" hidden="1">
      <c r="U321" s="2"/>
    </row>
    <row r="322" spans="21:21" ht="13" hidden="1">
      <c r="U322" s="2"/>
    </row>
    <row r="323" spans="21:21" ht="13" hidden="1">
      <c r="U323" s="2"/>
    </row>
    <row r="324" spans="21:21" ht="13" hidden="1">
      <c r="U324" s="2"/>
    </row>
    <row r="325" spans="21:21" ht="13" hidden="1">
      <c r="U325" s="2"/>
    </row>
    <row r="326" spans="21:21" ht="13" hidden="1">
      <c r="U326" s="2"/>
    </row>
    <row r="327" spans="21:21" ht="13" hidden="1">
      <c r="U327" s="2"/>
    </row>
    <row r="328" spans="21:21" ht="13" hidden="1">
      <c r="U328" s="2"/>
    </row>
  </sheetData>
  <conditionalFormatting sqref="D8:J18">
    <cfRule type="cellIs" dxfId="42" priority="12" stopIfTrue="1" operator="equal">
      <formula>#REF!</formula>
    </cfRule>
  </conditionalFormatting>
  <conditionalFormatting sqref="D23:J34">
    <cfRule type="cellIs" dxfId="41" priority="10" stopIfTrue="1" operator="equal">
      <formula>#REF!</formula>
    </cfRule>
  </conditionalFormatting>
  <conditionalFormatting sqref="D40:J43">
    <cfRule type="cellIs" dxfId="40" priority="11" stopIfTrue="1" operator="equal">
      <formula>#REF!</formula>
    </cfRule>
  </conditionalFormatting>
  <conditionalFormatting sqref="D49:J49">
    <cfRule type="cellIs" dxfId="39" priority="7" stopIfTrue="1" operator="equal">
      <formula>#REF!</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2A105-E4D6-484D-8749-473B8AE6CF35}">
  <sheetPr>
    <tabColor theme="8" tint="-0.499984740745262"/>
  </sheetPr>
  <dimension ref="A1:XCZ68"/>
  <sheetViews>
    <sheetView showGridLines="0" zoomScale="156" zoomScaleNormal="100" workbookViewId="0">
      <pane xSplit="3" ySplit="6" topLeftCell="D37" activePane="bottomRight" state="frozen"/>
      <selection pane="topRight" activeCell="D1" sqref="D1"/>
      <selection pane="bottomLeft" activeCell="A7" sqref="A7"/>
      <selection pane="bottomRight" activeCell="E51" sqref="E51"/>
    </sheetView>
  </sheetViews>
  <sheetFormatPr baseColWidth="10" defaultColWidth="0" defaultRowHeight="13" zeroHeight="1"/>
  <cols>
    <col min="1" max="1" width="2.5" style="2" customWidth="1"/>
    <col min="2" max="2" width="29.5" style="2" customWidth="1"/>
    <col min="3" max="3" width="1" style="2" customWidth="1"/>
    <col min="4" max="4" width="12.5" style="2" customWidth="1"/>
    <col min="5" max="5" width="20.5" style="2" customWidth="1"/>
    <col min="6" max="6" width="1.5" style="2" customWidth="1"/>
    <col min="7" max="14" width="10.5" style="2" customWidth="1"/>
    <col min="15" max="15" width="1.5" style="2" customWidth="1"/>
    <col min="16" max="23" width="10.5" style="2" customWidth="1"/>
    <col min="24" max="24" width="1.5" style="2" customWidth="1"/>
    <col min="25" max="28" width="10.5" style="2" customWidth="1"/>
    <col min="29" max="29" width="1.5" style="2" customWidth="1"/>
    <col min="30" max="41" width="10.5" style="2" customWidth="1"/>
    <col min="42" max="42" width="1.5" style="2" customWidth="1"/>
    <col min="43" max="43" width="10.5" style="2" customWidth="1"/>
    <col min="44" max="44" width="1.5" style="2" customWidth="1"/>
    <col min="45" max="45" width="10.5" style="2" customWidth="1"/>
    <col min="46" max="46" width="1.5" style="2" customWidth="1"/>
    <col min="47" max="61" width="8.5" style="2" customWidth="1"/>
    <col min="62" max="62" width="1.5" style="2" customWidth="1"/>
    <col min="63" max="77" width="10.5" style="2" customWidth="1"/>
    <col min="78" max="78" width="2.5" style="2" customWidth="1"/>
    <col min="79" max="79" width="0" style="2" hidden="1" customWidth="1"/>
    <col min="80" max="16384" width="0" style="2" hidden="1"/>
  </cols>
  <sheetData>
    <row r="1" spans="1:16328" s="28" customFormat="1">
      <c r="A1" s="818"/>
      <c r="B1" s="818" t="str">
        <f>'DCF - Assumptions'!F8&amp;" | Trading Comparables - Dataset"</f>
        <v>Diageo PLC | Trading Comparables - Dataset</v>
      </c>
      <c r="AD1" s="421"/>
      <c r="AE1" s="421"/>
      <c r="AF1" s="421"/>
      <c r="AG1" s="421"/>
      <c r="AH1" s="421"/>
      <c r="AI1" s="421"/>
      <c r="AR1" s="2"/>
      <c r="AS1" s="819"/>
    </row>
    <row r="2" spans="1:16328" ht="10.5" hidden="1" customHeight="1">
      <c r="AS2" s="519"/>
    </row>
    <row r="3" spans="1:16328" s="519" customFormat="1" hidden="1">
      <c r="A3" s="2"/>
      <c r="B3" s="2" t="s">
        <v>814</v>
      </c>
      <c r="C3" s="2"/>
      <c r="D3" s="2"/>
      <c r="E3" s="820">
        <v>2024</v>
      </c>
      <c r="F3" s="2"/>
      <c r="AR3" s="2"/>
    </row>
    <row r="4" spans="1:16328">
      <c r="G4" s="41" t="s">
        <v>815</v>
      </c>
      <c r="P4" s="41" t="s">
        <v>816</v>
      </c>
      <c r="AS4" s="519"/>
    </row>
    <row r="5" spans="1:16328" s="817" customFormat="1" ht="16">
      <c r="A5" s="212"/>
      <c r="B5" s="938" t="s">
        <v>125</v>
      </c>
      <c r="C5" s="821"/>
      <c r="D5" s="928" t="s">
        <v>817</v>
      </c>
      <c r="E5" s="940"/>
      <c r="F5" s="821"/>
      <c r="G5" s="943" t="s">
        <v>818</v>
      </c>
      <c r="H5" s="930" t="s">
        <v>819</v>
      </c>
      <c r="I5" s="930" t="s">
        <v>820</v>
      </c>
      <c r="J5" s="930" t="s">
        <v>821</v>
      </c>
      <c r="K5" s="930" t="s">
        <v>822</v>
      </c>
      <c r="L5" s="930" t="s">
        <v>823</v>
      </c>
      <c r="M5" s="930" t="s">
        <v>66</v>
      </c>
      <c r="N5" s="944" t="s">
        <v>824</v>
      </c>
      <c r="O5" s="821"/>
      <c r="P5" s="943" t="s">
        <v>818</v>
      </c>
      <c r="Q5" s="930" t="s">
        <v>819</v>
      </c>
      <c r="R5" s="930" t="s">
        <v>820</v>
      </c>
      <c r="S5" s="930" t="s">
        <v>821</v>
      </c>
      <c r="T5" s="930" t="s">
        <v>822</v>
      </c>
      <c r="U5" s="930" t="s">
        <v>823</v>
      </c>
      <c r="V5" s="930" t="s">
        <v>66</v>
      </c>
      <c r="W5" s="944" t="s">
        <v>824</v>
      </c>
      <c r="X5" s="821"/>
      <c r="Y5" s="943" t="s">
        <v>825</v>
      </c>
      <c r="Z5" s="930" t="s">
        <v>826</v>
      </c>
      <c r="AA5" s="930" t="s">
        <v>825</v>
      </c>
      <c r="AB5" s="930" t="s">
        <v>826</v>
      </c>
      <c r="AC5" s="821"/>
      <c r="AD5" s="1342" t="s">
        <v>792</v>
      </c>
      <c r="AE5" s="1342"/>
      <c r="AF5" s="1342"/>
      <c r="AG5" s="1342"/>
      <c r="AH5" s="1343" t="s">
        <v>655</v>
      </c>
      <c r="AI5" s="1343"/>
      <c r="AJ5" s="1343"/>
      <c r="AK5" s="1343"/>
      <c r="AL5" s="1343" t="s">
        <v>657</v>
      </c>
      <c r="AM5" s="1343"/>
      <c r="AN5" s="1343"/>
      <c r="AO5" s="1343"/>
      <c r="AP5" s="821"/>
      <c r="AQ5" s="946" t="s">
        <v>827</v>
      </c>
      <c r="AR5" s="2"/>
      <c r="AS5" s="941" t="s">
        <v>828</v>
      </c>
      <c r="AT5" s="821"/>
      <c r="AU5" s="1342" t="s">
        <v>829</v>
      </c>
      <c r="AV5" s="1342"/>
      <c r="AW5" s="1342"/>
      <c r="AX5" s="1342"/>
      <c r="AY5" s="1342"/>
      <c r="AZ5" s="1343" t="s">
        <v>830</v>
      </c>
      <c r="BA5" s="1343"/>
      <c r="BB5" s="1343"/>
      <c r="BC5" s="1343"/>
      <c r="BD5" s="1343"/>
      <c r="BE5" s="1343" t="s">
        <v>831</v>
      </c>
      <c r="BF5" s="1343"/>
      <c r="BG5" s="1343"/>
      <c r="BH5" s="1343"/>
      <c r="BI5" s="1343"/>
      <c r="BJ5" s="2"/>
      <c r="BK5" s="1342" t="s">
        <v>832</v>
      </c>
      <c r="BL5" s="1342"/>
      <c r="BM5" s="1342"/>
      <c r="BN5" s="1342"/>
      <c r="BO5" s="1342"/>
      <c r="BP5" s="1343" t="s">
        <v>833</v>
      </c>
      <c r="BQ5" s="1343"/>
      <c r="BR5" s="1343"/>
      <c r="BS5" s="1343"/>
      <c r="BT5" s="1343"/>
      <c r="BU5" s="1343" t="s">
        <v>834</v>
      </c>
      <c r="BV5" s="1343"/>
      <c r="BW5" s="1343"/>
      <c r="BX5" s="1343"/>
      <c r="BY5" s="1343"/>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row>
    <row r="6" spans="1:16328" s="817" customFormat="1" ht="16">
      <c r="A6" s="212"/>
      <c r="B6" s="939"/>
      <c r="C6" s="821"/>
      <c r="D6" s="941" t="s">
        <v>835</v>
      </c>
      <c r="E6" s="942" t="s">
        <v>836</v>
      </c>
      <c r="F6" s="821"/>
      <c r="G6" s="941" t="s">
        <v>837</v>
      </c>
      <c r="H6" s="945" t="s">
        <v>809</v>
      </c>
      <c r="I6" s="945" t="s">
        <v>810</v>
      </c>
      <c r="J6" s="945" t="s">
        <v>838</v>
      </c>
      <c r="K6" s="945" t="s">
        <v>839</v>
      </c>
      <c r="L6" s="945" t="s">
        <v>840</v>
      </c>
      <c r="M6" s="945" t="s">
        <v>840</v>
      </c>
      <c r="N6" s="942" t="s">
        <v>840</v>
      </c>
      <c r="O6" s="821"/>
      <c r="P6" s="941" t="s">
        <v>837</v>
      </c>
      <c r="Q6" s="945" t="s">
        <v>809</v>
      </c>
      <c r="R6" s="945" t="s">
        <v>810</v>
      </c>
      <c r="S6" s="945" t="s">
        <v>838</v>
      </c>
      <c r="T6" s="945" t="s">
        <v>839</v>
      </c>
      <c r="U6" s="945" t="s">
        <v>840</v>
      </c>
      <c r="V6" s="945" t="s">
        <v>840</v>
      </c>
      <c r="W6" s="942" t="s">
        <v>840</v>
      </c>
      <c r="X6" s="821"/>
      <c r="Y6" s="941" t="s">
        <v>841</v>
      </c>
      <c r="Z6" s="945" t="s">
        <v>66</v>
      </c>
      <c r="AA6" s="945" t="s">
        <v>842</v>
      </c>
      <c r="AB6" s="945" t="s">
        <v>842</v>
      </c>
      <c r="AC6" s="821"/>
      <c r="AD6" s="941" t="s">
        <v>843</v>
      </c>
      <c r="AE6" s="945" t="s">
        <v>844</v>
      </c>
      <c r="AF6" s="945" t="s">
        <v>840</v>
      </c>
      <c r="AG6" s="945" t="s">
        <v>845</v>
      </c>
      <c r="AH6" s="941" t="s">
        <v>843</v>
      </c>
      <c r="AI6" s="945" t="s">
        <v>844</v>
      </c>
      <c r="AJ6" s="945" t="s">
        <v>840</v>
      </c>
      <c r="AK6" s="945" t="s">
        <v>845</v>
      </c>
      <c r="AL6" s="941" t="s">
        <v>843</v>
      </c>
      <c r="AM6" s="945" t="s">
        <v>844</v>
      </c>
      <c r="AN6" s="945" t="s">
        <v>840</v>
      </c>
      <c r="AO6" s="945" t="s">
        <v>845</v>
      </c>
      <c r="AP6" s="821"/>
      <c r="AQ6" s="939" t="s">
        <v>846</v>
      </c>
      <c r="AR6" s="2"/>
      <c r="AS6" s="941" t="s">
        <v>847</v>
      </c>
      <c r="AT6" s="821"/>
      <c r="AU6" s="941" t="s">
        <v>844</v>
      </c>
      <c r="AV6" s="945" t="s">
        <v>840</v>
      </c>
      <c r="AW6" s="945" t="str">
        <f>CONCATENATE("FY",$E$3-1,"A")</f>
        <v>FY2023A</v>
      </c>
      <c r="AX6" s="945" t="str">
        <f>CONCATENATE("FY",$E$3,"E")</f>
        <v>FY2024E</v>
      </c>
      <c r="AY6" s="945" t="str">
        <f>CONCATENATE("FY",$E$3+1,"E")</f>
        <v>FY2025E</v>
      </c>
      <c r="AZ6" s="945" t="s">
        <v>844</v>
      </c>
      <c r="BA6" s="945" t="s">
        <v>840</v>
      </c>
      <c r="BB6" s="945" t="str">
        <f>CONCATENATE("FY",$E$3-1,"A")</f>
        <v>FY2023A</v>
      </c>
      <c r="BC6" s="945" t="str">
        <f>CONCATENATE("FY",$E$3,"E")</f>
        <v>FY2024E</v>
      </c>
      <c r="BD6" s="945" t="str">
        <f>CONCATENATE("FY",$E$3+1,"E")</f>
        <v>FY2025E</v>
      </c>
      <c r="BE6" s="945" t="s">
        <v>844</v>
      </c>
      <c r="BF6" s="945" t="s">
        <v>840</v>
      </c>
      <c r="BG6" s="945" t="str">
        <f>CONCATENATE("FY",$E$3-1,"A")</f>
        <v>FY2023A</v>
      </c>
      <c r="BH6" s="945" t="str">
        <f>CONCATENATE("FY",$E$3,"E")</f>
        <v>FY2024E</v>
      </c>
      <c r="BI6" s="942" t="str">
        <f>CONCATENATE("FY",$E$3+1,"E")</f>
        <v>FY2025E</v>
      </c>
      <c r="BJ6" s="2"/>
      <c r="BK6" s="941" t="s">
        <v>844</v>
      </c>
      <c r="BL6" s="945" t="s">
        <v>840</v>
      </c>
      <c r="BM6" s="945" t="str">
        <f>CONCATENATE("FY",$E$3-1,"A")</f>
        <v>FY2023A</v>
      </c>
      <c r="BN6" s="945" t="str">
        <f>CONCATENATE("FY",$E$3,"E")</f>
        <v>FY2024E</v>
      </c>
      <c r="BO6" s="945" t="str">
        <f>CONCATENATE("FY",$E$3+1,"E")</f>
        <v>FY2025E</v>
      </c>
      <c r="BP6" s="945" t="s">
        <v>844</v>
      </c>
      <c r="BQ6" s="945" t="s">
        <v>840</v>
      </c>
      <c r="BR6" s="945" t="str">
        <f>CONCATENATE("FY",$E$3-1,"A")</f>
        <v>FY2023A</v>
      </c>
      <c r="BS6" s="945" t="str">
        <f>CONCATENATE("FY",$E$3,"E")</f>
        <v>FY2024E</v>
      </c>
      <c r="BT6" s="945" t="str">
        <f>CONCATENATE("FY",$E$3+1,"E")</f>
        <v>FY2025E</v>
      </c>
      <c r="BU6" s="945" t="s">
        <v>844</v>
      </c>
      <c r="BV6" s="945" t="s">
        <v>840</v>
      </c>
      <c r="BW6" s="945" t="str">
        <f>CONCATENATE("FY",$E$3-1,"A")</f>
        <v>FY2023A</v>
      </c>
      <c r="BX6" s="945" t="str">
        <f>CONCATENATE("FY",$E$3,"E")</f>
        <v>FY2024E</v>
      </c>
      <c r="BY6" s="942" t="str">
        <f>CONCATENATE("FY",$E$3+1,"E")</f>
        <v>FY2025E</v>
      </c>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row>
    <row r="7" spans="1:16328">
      <c r="A7" s="41"/>
      <c r="B7" s="1" t="s">
        <v>812</v>
      </c>
      <c r="C7" s="822"/>
      <c r="D7" s="823"/>
      <c r="E7" s="41"/>
      <c r="F7" s="822"/>
      <c r="G7" s="1196"/>
      <c r="H7" s="824"/>
      <c r="I7" s="824"/>
      <c r="J7" s="824"/>
      <c r="K7" s="824"/>
      <c r="L7" s="41"/>
      <c r="M7" s="41"/>
      <c r="N7" s="41"/>
      <c r="P7" s="822"/>
      <c r="Q7" s="824"/>
      <c r="R7" s="824"/>
      <c r="S7" s="824"/>
      <c r="T7" s="824"/>
      <c r="U7" s="41"/>
      <c r="V7" s="41"/>
      <c r="W7" s="41"/>
      <c r="Y7" s="824"/>
      <c r="Z7" s="825"/>
      <c r="AA7" s="825"/>
      <c r="AB7" s="825"/>
      <c r="AC7" s="822"/>
      <c r="AD7" s="824"/>
      <c r="AE7" s="824"/>
      <c r="AF7" s="824"/>
      <c r="AG7" s="824"/>
      <c r="AH7" s="824"/>
      <c r="AI7" s="824"/>
      <c r="AJ7" s="824"/>
      <c r="AK7" s="824"/>
      <c r="AL7" s="824"/>
      <c r="AM7" s="824"/>
      <c r="AN7" s="824"/>
      <c r="AO7" s="824"/>
      <c r="AP7" s="822"/>
      <c r="AQ7" s="826"/>
      <c r="AS7" s="823"/>
      <c r="AT7" s="826"/>
      <c r="AU7" s="41"/>
      <c r="AV7" s="41"/>
      <c r="AW7" s="41"/>
      <c r="AX7" s="41"/>
      <c r="AY7" s="41"/>
      <c r="AZ7" s="41"/>
      <c r="BA7" s="41"/>
      <c r="BB7" s="41"/>
      <c r="BC7" s="41"/>
      <c r="BD7" s="41"/>
      <c r="BE7" s="41"/>
      <c r="BF7" s="41"/>
      <c r="BG7" s="41"/>
      <c r="BH7" s="41"/>
      <c r="BI7" s="41"/>
      <c r="BK7" s="827"/>
      <c r="BL7" s="827"/>
      <c r="BM7" s="827"/>
      <c r="BN7" s="827"/>
      <c r="BO7" s="827"/>
      <c r="BP7" s="827"/>
      <c r="BQ7" s="827"/>
      <c r="BR7" s="827"/>
      <c r="BS7" s="827"/>
      <c r="BT7" s="827"/>
    </row>
    <row r="8" spans="1:16328">
      <c r="A8" s="828"/>
      <c r="B8" s="829" t="s">
        <v>848</v>
      </c>
      <c r="C8" s="987"/>
      <c r="D8" s="988"/>
      <c r="E8" s="23"/>
      <c r="F8" s="987"/>
      <c r="G8" s="987"/>
      <c r="H8" s="351"/>
      <c r="I8" s="351"/>
      <c r="J8" s="3"/>
      <c r="K8" s="3"/>
      <c r="L8" s="23"/>
      <c r="M8" s="23"/>
      <c r="N8" s="23"/>
      <c r="O8" s="987"/>
      <c r="P8" s="987"/>
      <c r="Q8" s="351"/>
      <c r="R8" s="351"/>
      <c r="S8" s="3"/>
      <c r="T8" s="3"/>
      <c r="U8" s="23"/>
      <c r="V8" s="23"/>
      <c r="W8" s="23"/>
      <c r="X8" s="987"/>
      <c r="Y8" s="351"/>
      <c r="Z8" s="989"/>
      <c r="AA8" s="989"/>
      <c r="AB8" s="989"/>
      <c r="AC8" s="987"/>
      <c r="AD8" s="221"/>
      <c r="AE8" s="221"/>
      <c r="AF8" s="221"/>
      <c r="AG8" s="221"/>
      <c r="AH8" s="221"/>
      <c r="AI8" s="221"/>
      <c r="AJ8" s="221"/>
      <c r="AK8" s="221"/>
      <c r="AL8" s="221"/>
      <c r="AM8" s="221"/>
      <c r="AN8" s="221"/>
      <c r="AO8" s="221"/>
      <c r="AP8" s="987"/>
      <c r="AQ8" s="990"/>
      <c r="AR8" s="3"/>
      <c r="AS8" s="988"/>
      <c r="AT8" s="987"/>
      <c r="AU8" s="23"/>
      <c r="AV8" s="23"/>
      <c r="AW8" s="23"/>
      <c r="AX8" s="23"/>
      <c r="AY8" s="23"/>
      <c r="AZ8" s="23"/>
      <c r="BA8" s="23"/>
      <c r="BB8" s="23"/>
      <c r="BC8" s="23"/>
      <c r="BD8" s="23"/>
      <c r="BE8" s="23"/>
      <c r="BF8" s="23"/>
      <c r="BG8" s="23"/>
      <c r="BH8" s="23"/>
      <c r="BI8" s="23"/>
      <c r="BJ8" s="3"/>
      <c r="BK8" s="830"/>
      <c r="BL8" s="830"/>
      <c r="BM8" s="830"/>
      <c r="BN8" s="830"/>
      <c r="BO8" s="830"/>
      <c r="BP8" s="830"/>
      <c r="BQ8" s="830"/>
      <c r="BR8" s="830"/>
      <c r="BS8" s="830"/>
      <c r="BT8" s="830"/>
      <c r="BU8" s="3"/>
      <c r="BV8" s="3"/>
      <c r="BW8" s="3"/>
      <c r="BX8" s="3"/>
      <c r="BY8" s="3"/>
    </row>
    <row r="9" spans="1:16328">
      <c r="A9" s="828"/>
      <c r="B9" s="420" t="s">
        <v>849</v>
      </c>
      <c r="C9" s="987"/>
      <c r="D9" s="1206">
        <f>$E$49</f>
        <v>7.1</v>
      </c>
      <c r="E9" s="3" t="s">
        <v>850</v>
      </c>
      <c r="F9" s="987"/>
      <c r="G9" s="1214">
        <v>1699.2485999999999</v>
      </c>
      <c r="H9" s="900">
        <v>2134601.5319999997</v>
      </c>
      <c r="I9" s="900">
        <v>2068258.08</v>
      </c>
      <c r="J9" s="900">
        <v>442.68</v>
      </c>
      <c r="K9" s="900">
        <v>173867.49659999998</v>
      </c>
      <c r="L9" s="900">
        <v>164013.7254</v>
      </c>
      <c r="M9" s="900">
        <v>117474.77699999999</v>
      </c>
      <c r="N9" s="900">
        <v>84437.996999999988</v>
      </c>
      <c r="O9" s="793"/>
      <c r="P9" s="1210">
        <f t="shared" ref="P9:P18" si="0">IFERROR(G9/$D9,"n.m.")</f>
        <v>239.33078873239435</v>
      </c>
      <c r="Q9" s="902">
        <f t="shared" ref="Q9:Q18" si="1">IFERROR(H9/$D9,"n.m.")</f>
        <v>300648.1030985915</v>
      </c>
      <c r="R9" s="902">
        <f>IFERROR(I9/$D9,"n.m.")</f>
        <v>291303.95492957748</v>
      </c>
      <c r="S9" s="902">
        <f t="shared" ref="S9:S18" si="2">IFERROR(J9/$D9,"n.m.")</f>
        <v>62.349295774647892</v>
      </c>
      <c r="T9" s="902">
        <f t="shared" ref="T9:T18" si="3">IFERROR(K9/$D9,"n.m.")</f>
        <v>24488.3798028169</v>
      </c>
      <c r="U9" s="902">
        <f t="shared" ref="U9:U18" si="4">IFERROR(L9/$D9,"n.m.")</f>
        <v>23100.524704225354</v>
      </c>
      <c r="V9" s="902">
        <f t="shared" ref="V9:V18" si="5">IFERROR(M9/$D9,"n.m.")</f>
        <v>16545.743239436619</v>
      </c>
      <c r="W9" s="902">
        <f t="shared" ref="W9:W18" si="6">IFERROR(N9/$D9,"n.m.")</f>
        <v>11892.675633802815</v>
      </c>
      <c r="X9" s="793"/>
      <c r="Y9" s="888">
        <f t="shared" ref="Y9:Y18" si="7">IFERROR(S9/Q9,"n.m.")</f>
        <v>2.0738296743619131E-4</v>
      </c>
      <c r="Z9" s="888">
        <f t="shared" ref="Z9:Z18" si="8">IFERROR((S9-T9)/V9,"n.m.")</f>
        <v>-1.476272788328</v>
      </c>
      <c r="AA9" s="888">
        <f t="shared" ref="AA9:AA18" si="9">IFERROR(S9/R9,"n.m.")</f>
        <v>2.1403518462260765E-4</v>
      </c>
      <c r="AB9" s="888">
        <f t="shared" ref="AB9:AB18" si="10">IFERROR((S9-T9)/R9,"n.m.")</f>
        <v>-8.3850665580380554E-2</v>
      </c>
      <c r="AC9" s="793"/>
      <c r="AD9" s="888">
        <f t="shared" ref="AD9:AD18" si="11">IFERROR(I9/AW9,"n.m.")</f>
        <v>14.00676761024445</v>
      </c>
      <c r="AE9" s="888">
        <f t="shared" ref="AE9:AE18" si="12">IFERROR(I9/AU9,"n.m.")</f>
        <v>14.800553860931856</v>
      </c>
      <c r="AF9" s="888">
        <f t="shared" ref="AF9:AF18" si="13">IFERROR(I9/AV9,"n.m.")</f>
        <v>12.610274383780324</v>
      </c>
      <c r="AG9" s="888">
        <f t="shared" ref="AG9:AG18" si="14">IFERROR(I9/AY9,"n.m.")</f>
        <v>10.359769452284663</v>
      </c>
      <c r="AH9" s="888">
        <f t="shared" ref="AH9:AH18" si="15">IFERROR(I9/BB9,"n.m.")</f>
        <v>20.119562174900835</v>
      </c>
      <c r="AI9" s="888">
        <f t="shared" ref="AI9:AI18" si="16">IFERROR(I9/AZ9,"n.m.")</f>
        <v>21.562602352240585</v>
      </c>
      <c r="AJ9" s="888">
        <f t="shared" ref="AJ9:AJ18" si="17">IFERROR(I9/BA9,"n.m.")</f>
        <v>17.605975791722511</v>
      </c>
      <c r="AK9" s="888">
        <f t="shared" ref="AK9:AK18" si="18">IFERROR(I9/BD9,"n.m.")</f>
        <v>14.626781564737211</v>
      </c>
      <c r="AL9" s="888">
        <f t="shared" ref="AL9:AL18" si="19">IFERROR(H9/BG9,"n.m.")</f>
        <v>28.865311087938821</v>
      </c>
      <c r="AM9" s="888">
        <f t="shared" ref="AM9:AM18" si="20">IFERROR(H9/BE9,"n.m.")</f>
        <v>30.083196651203973</v>
      </c>
      <c r="AN9" s="888">
        <f t="shared" ref="AN9:AN18" si="21">IFERROR(H9/BF9,"n.m.")</f>
        <v>25.280106206214246</v>
      </c>
      <c r="AO9" s="888">
        <f t="shared" ref="AO9:AO18" si="22">IFERROR(H9/BI9,"n.m.")</f>
        <v>21.006760217794106</v>
      </c>
      <c r="AP9" s="793"/>
      <c r="AQ9" s="1202">
        <f>V9/U9</f>
        <v>0.7162496718704493</v>
      </c>
      <c r="AR9" s="793"/>
      <c r="AS9" s="897">
        <v>0.72</v>
      </c>
      <c r="AT9" s="991"/>
      <c r="AU9" s="1197">
        <v>139741.93799999999</v>
      </c>
      <c r="AV9" s="1197">
        <v>164013.7254</v>
      </c>
      <c r="AW9" s="1197">
        <v>147661.34039999999</v>
      </c>
      <c r="AX9" s="1197">
        <v>173991.87539999999</v>
      </c>
      <c r="AY9" s="1197">
        <v>199643.2536</v>
      </c>
      <c r="AZ9" s="1197">
        <v>95918.76</v>
      </c>
      <c r="BA9" s="1197">
        <v>117474.77699999999</v>
      </c>
      <c r="BB9" s="1197">
        <v>102798.3642</v>
      </c>
      <c r="BC9" s="1197">
        <v>122366.96219999999</v>
      </c>
      <c r="BD9" s="1197">
        <v>141402.13080000001</v>
      </c>
      <c r="BE9" s="1197">
        <v>70956.606</v>
      </c>
      <c r="BF9" s="1197">
        <v>84437.996999999988</v>
      </c>
      <c r="BG9" s="1197">
        <v>73950.407999999996</v>
      </c>
      <c r="BH9" s="1197">
        <v>87933.883799999996</v>
      </c>
      <c r="BI9" s="1197">
        <v>101614.9806</v>
      </c>
      <c r="BJ9" s="793"/>
      <c r="BK9" s="889">
        <f>AU9/$D9</f>
        <v>19681.96309859155</v>
      </c>
      <c r="BL9" s="889">
        <f t="shared" ref="BL9:BY9" si="23">AV9/$D9</f>
        <v>23100.524704225354</v>
      </c>
      <c r="BM9" s="889">
        <f t="shared" si="23"/>
        <v>20797.371887323941</v>
      </c>
      <c r="BN9" s="889">
        <f t="shared" si="23"/>
        <v>24505.89794366197</v>
      </c>
      <c r="BO9" s="889">
        <f t="shared" si="23"/>
        <v>28118.768112676058</v>
      </c>
      <c r="BP9" s="889">
        <f t="shared" si="23"/>
        <v>13509.684507042253</v>
      </c>
      <c r="BQ9" s="889">
        <f t="shared" si="23"/>
        <v>16545.743239436619</v>
      </c>
      <c r="BR9" s="889">
        <f t="shared" si="23"/>
        <v>14478.642845070422</v>
      </c>
      <c r="BS9" s="889">
        <f t="shared" si="23"/>
        <v>17234.783408450705</v>
      </c>
      <c r="BT9" s="889">
        <f t="shared" si="23"/>
        <v>19915.793070422536</v>
      </c>
      <c r="BU9" s="889">
        <f t="shared" si="23"/>
        <v>9993.8881690140843</v>
      </c>
      <c r="BV9" s="889">
        <f t="shared" si="23"/>
        <v>11892.675633802815</v>
      </c>
      <c r="BW9" s="889">
        <f t="shared" si="23"/>
        <v>10415.550422535211</v>
      </c>
      <c r="BX9" s="889">
        <f t="shared" si="23"/>
        <v>12385.054056338029</v>
      </c>
      <c r="BY9" s="889">
        <f t="shared" si="23"/>
        <v>14311.969098591549</v>
      </c>
    </row>
    <row r="10" spans="1:16328">
      <c r="A10" s="828"/>
      <c r="B10" s="1338" t="s">
        <v>851</v>
      </c>
      <c r="C10" s="987"/>
      <c r="D10" s="1206">
        <f>$E$49</f>
        <v>7.1</v>
      </c>
      <c r="E10" s="3" t="s">
        <v>852</v>
      </c>
      <c r="F10" s="987"/>
      <c r="G10" s="1214">
        <v>142.44299999999998</v>
      </c>
      <c r="H10" s="900">
        <v>552955.15799999994</v>
      </c>
      <c r="I10" s="900">
        <v>457691.85</v>
      </c>
      <c r="J10" s="900">
        <v>391.27199999999993</v>
      </c>
      <c r="K10" s="900">
        <v>92051.593199999988</v>
      </c>
      <c r="L10" s="900">
        <v>90170.131800000003</v>
      </c>
      <c r="M10" s="900">
        <v>44671.695599999999</v>
      </c>
      <c r="N10" s="900">
        <v>33356.294999999998</v>
      </c>
      <c r="O10" s="793"/>
      <c r="P10" s="1210">
        <f t="shared" si="0"/>
        <v>20.062394366197182</v>
      </c>
      <c r="Q10" s="902">
        <f t="shared" si="1"/>
        <v>77881.00816901408</v>
      </c>
      <c r="R10" s="902">
        <f t="shared" ref="R10:R18" si="24">IFERROR(I10/$D10,"n.m.")</f>
        <v>64463.640845070426</v>
      </c>
      <c r="S10" s="902">
        <f t="shared" si="2"/>
        <v>55.108732394366193</v>
      </c>
      <c r="T10" s="902">
        <f t="shared" si="3"/>
        <v>12965.013126760563</v>
      </c>
      <c r="U10" s="902">
        <f t="shared" si="4"/>
        <v>12700.018563380283</v>
      </c>
      <c r="V10" s="902">
        <f t="shared" si="5"/>
        <v>6291.7881126760567</v>
      </c>
      <c r="W10" s="902">
        <f t="shared" si="6"/>
        <v>4698.0697183098591</v>
      </c>
      <c r="X10" s="793"/>
      <c r="Y10" s="888">
        <f t="shared" ref="Y10:Y17" si="25">IFERROR(S10/Q10,"n.m.")</f>
        <v>7.0760168223261239E-4</v>
      </c>
      <c r="Z10" s="888">
        <f t="shared" si="8"/>
        <v>-2.0518657277025318</v>
      </c>
      <c r="AA10" s="888">
        <f t="shared" si="9"/>
        <v>8.5488085488085472E-4</v>
      </c>
      <c r="AB10" s="888">
        <f t="shared" si="10"/>
        <v>-0.20026644826644824</v>
      </c>
      <c r="AC10" s="793"/>
      <c r="AD10" s="888">
        <f t="shared" si="11"/>
        <v>5.5437219149223216</v>
      </c>
      <c r="AE10" s="888">
        <f t="shared" si="12"/>
        <v>5.6886453387762348</v>
      </c>
      <c r="AF10" s="888">
        <f t="shared" si="13"/>
        <v>5.0758698125802226</v>
      </c>
      <c r="AG10" s="888">
        <f t="shared" si="14"/>
        <v>4.3553338189012756</v>
      </c>
      <c r="AH10" s="888">
        <f t="shared" si="15"/>
        <v>11.331456026473209</v>
      </c>
      <c r="AI10" s="888">
        <f t="shared" si="16"/>
        <v>11.801553841338809</v>
      </c>
      <c r="AJ10" s="888">
        <f t="shared" si="17"/>
        <v>10.245678921576461</v>
      </c>
      <c r="AK10" s="888">
        <f t="shared" si="18"/>
        <v>8.6937740900374045</v>
      </c>
      <c r="AL10" s="888">
        <f t="shared" si="19"/>
        <v>18.339178433828803</v>
      </c>
      <c r="AM10" s="888">
        <f t="shared" si="20"/>
        <v>18.783579917535775</v>
      </c>
      <c r="AN10" s="888">
        <f t="shared" si="21"/>
        <v>16.577235511318026</v>
      </c>
      <c r="AO10" s="888">
        <f t="shared" si="22"/>
        <v>13.994950991730757</v>
      </c>
      <c r="AP10" s="793"/>
      <c r="AQ10" s="1202">
        <f t="shared" ref="AQ10:AQ17" si="26">V10/U10</f>
        <v>0.49541566268399306</v>
      </c>
      <c r="AR10" s="793"/>
      <c r="AS10" s="897">
        <v>0.95</v>
      </c>
      <c r="AT10" s="991"/>
      <c r="AU10" s="1197">
        <v>80457.09</v>
      </c>
      <c r="AV10" s="1197">
        <v>90170.131800000003</v>
      </c>
      <c r="AW10" s="1197">
        <v>82560.391199999998</v>
      </c>
      <c r="AX10" s="1197">
        <v>93141.728399999993</v>
      </c>
      <c r="AY10" s="1197">
        <v>105087.6624</v>
      </c>
      <c r="AZ10" s="1197">
        <v>38782.337999999996</v>
      </c>
      <c r="BA10" s="1197">
        <v>44671.695599999999</v>
      </c>
      <c r="BB10" s="1197">
        <v>40391.265599999999</v>
      </c>
      <c r="BC10" s="1197">
        <v>46098.481799999994</v>
      </c>
      <c r="BD10" s="1197">
        <v>52645.933199999999</v>
      </c>
      <c r="BE10" s="1197">
        <v>29438.219999999998</v>
      </c>
      <c r="BF10" s="1197">
        <v>33356.294999999998</v>
      </c>
      <c r="BG10" s="1197">
        <v>30151.577399999998</v>
      </c>
      <c r="BH10" s="1197">
        <v>34424.510399999999</v>
      </c>
      <c r="BI10" s="1197">
        <v>39511.046399999999</v>
      </c>
      <c r="BJ10" s="793"/>
      <c r="BK10" s="889">
        <f t="shared" ref="BK10:BK17" si="27">AU10/$D10</f>
        <v>11331.984507042254</v>
      </c>
      <c r="BL10" s="889">
        <f t="shared" ref="BL10:BL17" si="28">AV10/$D10</f>
        <v>12700.018563380283</v>
      </c>
      <c r="BM10" s="889">
        <f t="shared" ref="BM10:BM17" si="29">AW10/$D10</f>
        <v>11628.224112676056</v>
      </c>
      <c r="BN10" s="889">
        <f t="shared" ref="BN10:BN17" si="30">AX10/$D10</f>
        <v>13118.553295774647</v>
      </c>
      <c r="BO10" s="889">
        <f t="shared" ref="BO10:BO17" si="31">AY10/$D10</f>
        <v>14801.079211267606</v>
      </c>
      <c r="BP10" s="889">
        <f t="shared" ref="BP10:BP17" si="32">AZ10/$D10</f>
        <v>5462.3011267605634</v>
      </c>
      <c r="BQ10" s="889">
        <f t="shared" ref="BQ10:BQ17" si="33">BA10/$D10</f>
        <v>6291.7881126760567</v>
      </c>
      <c r="BR10" s="889">
        <f t="shared" ref="BR10:BR17" si="34">BB10/$D10</f>
        <v>5688.9106478873236</v>
      </c>
      <c r="BS10" s="889">
        <f t="shared" ref="BS10:BS17" si="35">BC10/$D10</f>
        <v>6492.7439154929571</v>
      </c>
      <c r="BT10" s="889">
        <f t="shared" ref="BT10:BT17" si="36">BD10/$D10</f>
        <v>7414.9201690140844</v>
      </c>
      <c r="BU10" s="889">
        <f t="shared" ref="BU10:BU17" si="37">BE10/$D10</f>
        <v>4146.2281690140844</v>
      </c>
      <c r="BV10" s="889">
        <f t="shared" ref="BV10:BV17" si="38">BF10/$D10</f>
        <v>4698.0697183098591</v>
      </c>
      <c r="BW10" s="889">
        <f t="shared" ref="BW10:BW17" si="39">BG10/$D10</f>
        <v>4246.7010422535213</v>
      </c>
      <c r="BX10" s="889">
        <f t="shared" ref="BX10:BX17" si="40">BH10/$D10</f>
        <v>4848.5225915492956</v>
      </c>
      <c r="BY10" s="889">
        <f t="shared" ref="BY10:BY17" si="41">BI10/$D10</f>
        <v>5564.9361126760568</v>
      </c>
    </row>
    <row r="11" spans="1:16328">
      <c r="A11" s="828"/>
      <c r="B11" s="1338" t="s">
        <v>853</v>
      </c>
      <c r="C11" s="987"/>
      <c r="D11" s="1206">
        <f>$E$52</f>
        <v>0.91</v>
      </c>
      <c r="E11" s="3" t="s">
        <v>854</v>
      </c>
      <c r="F11" s="987"/>
      <c r="G11" s="1214">
        <v>159.2346</v>
      </c>
      <c r="H11" s="900">
        <v>40328.520000000004</v>
      </c>
      <c r="I11" s="900">
        <v>51600.305999999997</v>
      </c>
      <c r="J11" s="900">
        <v>11882.703000000001</v>
      </c>
      <c r="K11" s="900">
        <v>1608.8256000000001</v>
      </c>
      <c r="L11" s="900">
        <v>12546.927600000001</v>
      </c>
      <c r="M11" s="900">
        <v>3907.9994999999999</v>
      </c>
      <c r="N11" s="900">
        <v>2346.5574000000001</v>
      </c>
      <c r="O11" s="793"/>
      <c r="P11" s="1210">
        <f t="shared" si="0"/>
        <v>174.98307692307691</v>
      </c>
      <c r="Q11" s="902">
        <f t="shared" si="1"/>
        <v>44317.054945054952</v>
      </c>
      <c r="R11" s="902">
        <f t="shared" si="24"/>
        <v>56703.632967032965</v>
      </c>
      <c r="S11" s="902">
        <f t="shared" si="2"/>
        <v>13057.915384615386</v>
      </c>
      <c r="T11" s="902">
        <f t="shared" si="3"/>
        <v>1767.9402197802199</v>
      </c>
      <c r="U11" s="902">
        <f t="shared" si="4"/>
        <v>13787.832527472528</v>
      </c>
      <c r="V11" s="902">
        <f t="shared" si="5"/>
        <v>4294.504945054945</v>
      </c>
      <c r="W11" s="902">
        <f t="shared" si="6"/>
        <v>2578.6345054945054</v>
      </c>
      <c r="X11" s="793"/>
      <c r="Y11" s="888">
        <f t="shared" si="25"/>
        <v>0.29464763398210497</v>
      </c>
      <c r="Z11" s="888">
        <f t="shared" si="8"/>
        <v>2.6289351879395078</v>
      </c>
      <c r="AA11" s="888">
        <f t="shared" si="9"/>
        <v>0.23028357622530382</v>
      </c>
      <c r="AB11" s="888">
        <f t="shared" si="10"/>
        <v>0.19910497042401265</v>
      </c>
      <c r="AC11" s="793"/>
      <c r="AD11" s="888">
        <f t="shared" si="11"/>
        <v>4.2708176980741976</v>
      </c>
      <c r="AE11" s="888">
        <f t="shared" si="12"/>
        <v>4.2519560735989455</v>
      </c>
      <c r="AF11" s="888">
        <f t="shared" si="13"/>
        <v>4.1125849805652814</v>
      </c>
      <c r="AG11" s="888">
        <f t="shared" si="14"/>
        <v>3.9422015258888106</v>
      </c>
      <c r="AH11" s="888">
        <f t="shared" si="15"/>
        <v>13.305723090204918</v>
      </c>
      <c r="AI11" s="888">
        <f t="shared" si="16"/>
        <v>14.897886851220361</v>
      </c>
      <c r="AJ11" s="888">
        <f t="shared" si="17"/>
        <v>13.203764739478601</v>
      </c>
      <c r="AK11" s="888">
        <f t="shared" si="18"/>
        <v>12.553128429054627</v>
      </c>
      <c r="AL11" s="888">
        <f t="shared" si="19"/>
        <v>16.82594743928512</v>
      </c>
      <c r="AM11" s="888">
        <f t="shared" si="20"/>
        <v>17.830592105263158</v>
      </c>
      <c r="AN11" s="888">
        <f t="shared" si="21"/>
        <v>17.186249098360008</v>
      </c>
      <c r="AO11" s="888">
        <f t="shared" si="22"/>
        <v>16.304707474808243</v>
      </c>
      <c r="AP11" s="793"/>
      <c r="AQ11" s="1202">
        <f t="shared" si="26"/>
        <v>0.31147063445237377</v>
      </c>
      <c r="AR11" s="793"/>
      <c r="AS11" s="897">
        <v>0.44</v>
      </c>
      <c r="AT11" s="991"/>
      <c r="AU11" s="1197">
        <v>12135.663</v>
      </c>
      <c r="AV11" s="1197">
        <v>12546.927600000001</v>
      </c>
      <c r="AW11" s="1197">
        <v>12082.0671</v>
      </c>
      <c r="AX11" s="1197">
        <v>12366.163500000001</v>
      </c>
      <c r="AY11" s="1197">
        <v>13089.2106</v>
      </c>
      <c r="AZ11" s="1197">
        <v>3463.5990000000002</v>
      </c>
      <c r="BA11" s="1197">
        <v>3907.9994999999999</v>
      </c>
      <c r="BB11" s="1197">
        <v>3878.0535</v>
      </c>
      <c r="BC11" s="1197">
        <v>3840.4815000000003</v>
      </c>
      <c r="BD11" s="1197">
        <v>4110.5535</v>
      </c>
      <c r="BE11" s="1197">
        <v>2261.7600000000002</v>
      </c>
      <c r="BF11" s="1197">
        <v>2346.5574000000001</v>
      </c>
      <c r="BG11" s="1197">
        <v>2396.8053</v>
      </c>
      <c r="BH11" s="1197">
        <v>2304.261</v>
      </c>
      <c r="BI11" s="1197">
        <v>2473.4279999999999</v>
      </c>
      <c r="BJ11" s="793"/>
      <c r="BK11" s="889">
        <f t="shared" si="27"/>
        <v>13335.893406593406</v>
      </c>
      <c r="BL11" s="889">
        <f t="shared" si="28"/>
        <v>13787.832527472528</v>
      </c>
      <c r="BM11" s="889">
        <f t="shared" si="29"/>
        <v>13276.996813186814</v>
      </c>
      <c r="BN11" s="889">
        <f t="shared" si="30"/>
        <v>13589.19065934066</v>
      </c>
      <c r="BO11" s="889">
        <f t="shared" si="31"/>
        <v>14383.747912087912</v>
      </c>
      <c r="BP11" s="889">
        <f t="shared" si="32"/>
        <v>3806.1527472527473</v>
      </c>
      <c r="BQ11" s="889">
        <f t="shared" si="33"/>
        <v>4294.504945054945</v>
      </c>
      <c r="BR11" s="889">
        <f t="shared" si="34"/>
        <v>4261.5972527472522</v>
      </c>
      <c r="BS11" s="889">
        <f t="shared" si="35"/>
        <v>4220.3093406593407</v>
      </c>
      <c r="BT11" s="889">
        <f t="shared" si="36"/>
        <v>4517.0917582417578</v>
      </c>
      <c r="BU11" s="889">
        <f t="shared" si="37"/>
        <v>2485.4505494505497</v>
      </c>
      <c r="BV11" s="889">
        <f t="shared" si="38"/>
        <v>2578.6345054945054</v>
      </c>
      <c r="BW11" s="889">
        <f t="shared" si="39"/>
        <v>2633.8519780219781</v>
      </c>
      <c r="BX11" s="889">
        <f t="shared" si="40"/>
        <v>2532.1549450549451</v>
      </c>
      <c r="BY11" s="889">
        <f t="shared" si="41"/>
        <v>2718.0527472527469</v>
      </c>
    </row>
    <row r="12" spans="1:16328">
      <c r="A12" s="828"/>
      <c r="B12" s="1338" t="s">
        <v>855</v>
      </c>
      <c r="C12" s="987"/>
      <c r="D12" s="1206">
        <f>$E$49</f>
        <v>7.1</v>
      </c>
      <c r="E12" s="3" t="s">
        <v>856</v>
      </c>
      <c r="F12" s="987"/>
      <c r="G12" s="1214">
        <v>111.31259999999999</v>
      </c>
      <c r="H12" s="900">
        <v>166635.462</v>
      </c>
      <c r="I12" s="900">
        <v>137001.606</v>
      </c>
      <c r="J12" s="900">
        <v>27.131999999999998</v>
      </c>
      <c r="K12" s="900">
        <v>32266.017</v>
      </c>
      <c r="L12" s="900">
        <v>38079.904799999997</v>
      </c>
      <c r="M12" s="900">
        <v>15967.681799999998</v>
      </c>
      <c r="N12" s="900">
        <v>11979.848999999998</v>
      </c>
      <c r="O12" s="793"/>
      <c r="P12" s="1210">
        <f t="shared" si="0"/>
        <v>15.677830985915492</v>
      </c>
      <c r="Q12" s="902">
        <f t="shared" si="1"/>
        <v>23469.783380281689</v>
      </c>
      <c r="R12" s="902">
        <f t="shared" si="24"/>
        <v>19296.000845070423</v>
      </c>
      <c r="S12" s="902">
        <f t="shared" si="2"/>
        <v>3.8214084507042254</v>
      </c>
      <c r="T12" s="902">
        <f t="shared" si="3"/>
        <v>4544.5094366197181</v>
      </c>
      <c r="U12" s="902">
        <f t="shared" si="4"/>
        <v>5363.3668732394362</v>
      </c>
      <c r="V12" s="902">
        <f t="shared" si="5"/>
        <v>2248.9692676056338</v>
      </c>
      <c r="W12" s="902">
        <f t="shared" si="6"/>
        <v>1687.302676056338</v>
      </c>
      <c r="X12" s="793"/>
      <c r="Y12" s="888">
        <f t="shared" si="25"/>
        <v>1.6282248492820815E-4</v>
      </c>
      <c r="Z12" s="888">
        <f t="shared" si="8"/>
        <v>-2.0190084824961878</v>
      </c>
      <c r="AA12" s="888">
        <f t="shared" si="9"/>
        <v>1.9804147405396108E-4</v>
      </c>
      <c r="AB12" s="888">
        <f t="shared" si="10"/>
        <v>-0.23531756992688099</v>
      </c>
      <c r="AC12" s="793"/>
      <c r="AD12" s="888">
        <f t="shared" si="11"/>
        <v>3.9846701125340829</v>
      </c>
      <c r="AE12" s="888">
        <f t="shared" si="12"/>
        <v>4.0541528449787663</v>
      </c>
      <c r="AF12" s="888">
        <f t="shared" si="13"/>
        <v>3.5977402443506112</v>
      </c>
      <c r="AG12" s="888">
        <f t="shared" si="14"/>
        <v>3.0779435354507543</v>
      </c>
      <c r="AH12" s="888">
        <f t="shared" si="15"/>
        <v>9.5442720639073624</v>
      </c>
      <c r="AI12" s="888">
        <f t="shared" si="16"/>
        <v>9.91981595409192</v>
      </c>
      <c r="AJ12" s="888">
        <f t="shared" si="17"/>
        <v>8.5799308701154118</v>
      </c>
      <c r="AK12" s="888">
        <f t="shared" si="18"/>
        <v>7.3092585185608439</v>
      </c>
      <c r="AL12" s="888">
        <f t="shared" si="19"/>
        <v>15.609232456727039</v>
      </c>
      <c r="AM12" s="888">
        <f t="shared" si="20"/>
        <v>15.908861622358556</v>
      </c>
      <c r="AN12" s="888">
        <f t="shared" si="21"/>
        <v>13.909646273504785</v>
      </c>
      <c r="AO12" s="888">
        <f t="shared" si="22"/>
        <v>11.569708356674383</v>
      </c>
      <c r="AP12" s="793"/>
      <c r="AQ12" s="1202">
        <f t="shared" si="26"/>
        <v>0.41932042330105829</v>
      </c>
      <c r="AR12" s="793"/>
      <c r="AS12" s="897">
        <v>0.97</v>
      </c>
      <c r="AT12" s="991"/>
      <c r="AU12" s="1197">
        <v>33792.905999999995</v>
      </c>
      <c r="AV12" s="1197">
        <v>38079.904799999997</v>
      </c>
      <c r="AW12" s="1197">
        <v>34382.1702</v>
      </c>
      <c r="AX12" s="1197">
        <v>39312.483</v>
      </c>
      <c r="AY12" s="1197">
        <v>44510.759999999995</v>
      </c>
      <c r="AZ12" s="1197">
        <v>13810.901999999998</v>
      </c>
      <c r="BA12" s="1197">
        <v>15967.681799999998</v>
      </c>
      <c r="BB12" s="1197">
        <v>14354.3274</v>
      </c>
      <c r="BC12" s="1197">
        <v>16505.4666</v>
      </c>
      <c r="BD12" s="1197">
        <v>18743.571</v>
      </c>
      <c r="BE12" s="1197">
        <v>10474.379999999999</v>
      </c>
      <c r="BF12" s="1197">
        <v>11979.848999999998</v>
      </c>
      <c r="BG12" s="1197">
        <v>10675.4424</v>
      </c>
      <c r="BH12" s="1197">
        <v>12414.6036</v>
      </c>
      <c r="BI12" s="1197">
        <v>14402.7366</v>
      </c>
      <c r="BJ12" s="793"/>
      <c r="BK12" s="889">
        <f t="shared" si="27"/>
        <v>4759.5642253521119</v>
      </c>
      <c r="BL12" s="889">
        <f t="shared" si="28"/>
        <v>5363.3668732394362</v>
      </c>
      <c r="BM12" s="889">
        <f t="shared" si="29"/>
        <v>4842.5591830985923</v>
      </c>
      <c r="BN12" s="889">
        <f t="shared" si="30"/>
        <v>5536.9694366197182</v>
      </c>
      <c r="BO12" s="889">
        <f t="shared" si="31"/>
        <v>6269.1211267605631</v>
      </c>
      <c r="BP12" s="889">
        <f t="shared" si="32"/>
        <v>1945.1974647887323</v>
      </c>
      <c r="BQ12" s="889">
        <f t="shared" si="33"/>
        <v>2248.9692676056338</v>
      </c>
      <c r="BR12" s="889">
        <f t="shared" si="34"/>
        <v>2021.7362535211269</v>
      </c>
      <c r="BS12" s="889">
        <f t="shared" si="35"/>
        <v>2324.7136056338027</v>
      </c>
      <c r="BT12" s="889">
        <f t="shared" si="36"/>
        <v>2639.9395774647887</v>
      </c>
      <c r="BU12" s="889">
        <f t="shared" si="37"/>
        <v>1475.2647887323944</v>
      </c>
      <c r="BV12" s="889">
        <f t="shared" si="38"/>
        <v>1687.302676056338</v>
      </c>
      <c r="BW12" s="889">
        <f t="shared" si="39"/>
        <v>1503.5834366197184</v>
      </c>
      <c r="BX12" s="889">
        <f t="shared" si="40"/>
        <v>1748.5357183098592</v>
      </c>
      <c r="BY12" s="889">
        <f t="shared" si="41"/>
        <v>2028.5544507042255</v>
      </c>
    </row>
    <row r="13" spans="1:16328">
      <c r="A13" s="828"/>
      <c r="B13" s="1338" t="s">
        <v>857</v>
      </c>
      <c r="C13" s="987"/>
      <c r="D13" s="1206">
        <f>$E$47</f>
        <v>1</v>
      </c>
      <c r="E13" s="3" t="s">
        <v>858</v>
      </c>
      <c r="F13" s="987"/>
      <c r="G13" s="1214">
        <v>55.08</v>
      </c>
      <c r="H13" s="900">
        <v>26484.7</v>
      </c>
      <c r="I13" s="900">
        <v>29221.7</v>
      </c>
      <c r="J13" s="900">
        <v>2998</v>
      </c>
      <c r="K13" s="900">
        <v>374</v>
      </c>
      <c r="L13" s="900">
        <v>4409.47</v>
      </c>
      <c r="M13" s="900">
        <v>1500.68</v>
      </c>
      <c r="N13" s="900">
        <v>1026.71</v>
      </c>
      <c r="O13" s="793"/>
      <c r="P13" s="1210">
        <f t="shared" si="0"/>
        <v>55.08</v>
      </c>
      <c r="Q13" s="902">
        <f t="shared" si="1"/>
        <v>26484.7</v>
      </c>
      <c r="R13" s="902">
        <f t="shared" si="24"/>
        <v>29221.7</v>
      </c>
      <c r="S13" s="902">
        <f t="shared" si="2"/>
        <v>2998</v>
      </c>
      <c r="T13" s="902">
        <f t="shared" si="3"/>
        <v>374</v>
      </c>
      <c r="U13" s="902">
        <f t="shared" si="4"/>
        <v>4409.47</v>
      </c>
      <c r="V13" s="902">
        <f t="shared" si="5"/>
        <v>1500.68</v>
      </c>
      <c r="W13" s="902">
        <f t="shared" si="6"/>
        <v>1026.71</v>
      </c>
      <c r="X13" s="793"/>
      <c r="Y13" s="888">
        <f t="shared" si="25"/>
        <v>0.11319743096957866</v>
      </c>
      <c r="Z13" s="888">
        <f t="shared" si="8"/>
        <v>1.7485406615667562</v>
      </c>
      <c r="AA13" s="888">
        <f t="shared" si="9"/>
        <v>0.10259498934011368</v>
      </c>
      <c r="AB13" s="888">
        <f t="shared" si="10"/>
        <v>8.9796281530506436E-2</v>
      </c>
      <c r="AC13" s="793"/>
      <c r="AD13" s="888">
        <f t="shared" si="11"/>
        <v>6.9971984100378339</v>
      </c>
      <c r="AE13" s="888">
        <f t="shared" si="12"/>
        <v>6.8402855805243448</v>
      </c>
      <c r="AF13" s="888">
        <f t="shared" si="13"/>
        <v>6.6270322737199709</v>
      </c>
      <c r="AG13" s="888">
        <f t="shared" si="14"/>
        <v>6.4010523226012781</v>
      </c>
      <c r="AH13" s="888">
        <f t="shared" si="15"/>
        <v>22.364515808083517</v>
      </c>
      <c r="AI13" s="888">
        <f t="shared" si="16"/>
        <v>22.104160363086233</v>
      </c>
      <c r="AJ13" s="888">
        <f t="shared" si="17"/>
        <v>19.47230588799744</v>
      </c>
      <c r="AK13" s="888">
        <f t="shared" si="18"/>
        <v>19.016620678883797</v>
      </c>
      <c r="AL13" s="888">
        <f t="shared" si="19"/>
        <v>31.154072366254177</v>
      </c>
      <c r="AM13" s="888">
        <f t="shared" si="20"/>
        <v>33.954743589743593</v>
      </c>
      <c r="AN13" s="888">
        <f t="shared" si="21"/>
        <v>25.795696934869632</v>
      </c>
      <c r="AO13" s="888">
        <f t="shared" si="22"/>
        <v>25.431578340903197</v>
      </c>
      <c r="AP13" s="793"/>
      <c r="AQ13" s="1202">
        <f t="shared" si="26"/>
        <v>0.34033115090929295</v>
      </c>
      <c r="AR13" s="793"/>
      <c r="AS13" s="897">
        <v>0.72</v>
      </c>
      <c r="AT13" s="991"/>
      <c r="AU13" s="1197">
        <v>4272</v>
      </c>
      <c r="AV13" s="1197">
        <v>4409.47</v>
      </c>
      <c r="AW13" s="1197">
        <v>4176.2</v>
      </c>
      <c r="AX13" s="1197">
        <v>4389.95</v>
      </c>
      <c r="AY13" s="1197">
        <v>4565.1400000000003</v>
      </c>
      <c r="AZ13" s="1197">
        <v>1322</v>
      </c>
      <c r="BA13" s="1197">
        <v>1500.68</v>
      </c>
      <c r="BB13" s="1197">
        <v>1306.6099999999999</v>
      </c>
      <c r="BC13" s="1197">
        <v>1456.41</v>
      </c>
      <c r="BD13" s="1197">
        <v>1536.64</v>
      </c>
      <c r="BE13" s="1197">
        <v>780</v>
      </c>
      <c r="BF13" s="1197">
        <v>1026.71</v>
      </c>
      <c r="BG13" s="1197">
        <v>850.12</v>
      </c>
      <c r="BH13" s="1197">
        <v>980.92</v>
      </c>
      <c r="BI13" s="1197">
        <v>1041.4100000000001</v>
      </c>
      <c r="BJ13" s="793"/>
      <c r="BK13" s="889">
        <f t="shared" si="27"/>
        <v>4272</v>
      </c>
      <c r="BL13" s="889">
        <f t="shared" si="28"/>
        <v>4409.47</v>
      </c>
      <c r="BM13" s="889">
        <f t="shared" si="29"/>
        <v>4176.2</v>
      </c>
      <c r="BN13" s="889">
        <f t="shared" si="30"/>
        <v>4389.95</v>
      </c>
      <c r="BO13" s="889">
        <f t="shared" si="31"/>
        <v>4565.1400000000003</v>
      </c>
      <c r="BP13" s="889">
        <f t="shared" si="32"/>
        <v>1322</v>
      </c>
      <c r="BQ13" s="889">
        <f t="shared" si="33"/>
        <v>1500.68</v>
      </c>
      <c r="BR13" s="889">
        <f t="shared" si="34"/>
        <v>1306.6099999999999</v>
      </c>
      <c r="BS13" s="889">
        <f t="shared" si="35"/>
        <v>1456.41</v>
      </c>
      <c r="BT13" s="889">
        <f t="shared" si="36"/>
        <v>1536.64</v>
      </c>
      <c r="BU13" s="889">
        <f t="shared" si="37"/>
        <v>780</v>
      </c>
      <c r="BV13" s="889">
        <f t="shared" si="38"/>
        <v>1026.71</v>
      </c>
      <c r="BW13" s="889">
        <f t="shared" si="39"/>
        <v>850.12</v>
      </c>
      <c r="BX13" s="889">
        <f t="shared" si="40"/>
        <v>980.92</v>
      </c>
      <c r="BY13" s="889">
        <f t="shared" si="41"/>
        <v>1041.4100000000001</v>
      </c>
    </row>
    <row r="14" spans="1:16328">
      <c r="A14" s="828"/>
      <c r="B14" s="1338" t="s">
        <v>859</v>
      </c>
      <c r="C14" s="987"/>
      <c r="D14" s="1206">
        <f>$E$52</f>
        <v>0.91</v>
      </c>
      <c r="E14" s="3" t="s">
        <v>860</v>
      </c>
      <c r="F14" s="987"/>
      <c r="G14" s="1214">
        <v>10.062600000000002</v>
      </c>
      <c r="H14" s="900">
        <v>11378.550000000001</v>
      </c>
      <c r="I14" s="900">
        <v>13231.203000000001</v>
      </c>
      <c r="J14" s="900">
        <v>2054.6490000000003</v>
      </c>
      <c r="K14" s="900">
        <v>449.55270000000002</v>
      </c>
      <c r="L14" s="900">
        <v>3116.0115000000005</v>
      </c>
      <c r="M14" s="900">
        <v>784.0086</v>
      </c>
      <c r="N14" s="900">
        <v>445.99080000000004</v>
      </c>
      <c r="O14" s="793"/>
      <c r="P14" s="1210">
        <f t="shared" si="0"/>
        <v>11.057802197802198</v>
      </c>
      <c r="Q14" s="902">
        <f t="shared" si="1"/>
        <v>12503.9010989011</v>
      </c>
      <c r="R14" s="902">
        <f t="shared" si="24"/>
        <v>14539.783516483518</v>
      </c>
      <c r="S14" s="902">
        <f t="shared" si="2"/>
        <v>2257.8560439560442</v>
      </c>
      <c r="T14" s="902">
        <f t="shared" si="3"/>
        <v>494.01395604395606</v>
      </c>
      <c r="U14" s="902">
        <f t="shared" si="4"/>
        <v>3424.188461538462</v>
      </c>
      <c r="V14" s="902">
        <f t="shared" si="5"/>
        <v>861.5479120879121</v>
      </c>
      <c r="W14" s="902">
        <f t="shared" si="6"/>
        <v>490.09978021978026</v>
      </c>
      <c r="X14" s="793"/>
      <c r="Y14" s="888">
        <f t="shared" si="25"/>
        <v>0.18057212913771967</v>
      </c>
      <c r="Z14" s="888">
        <f t="shared" si="8"/>
        <v>2.0472942516191788</v>
      </c>
      <c r="AA14" s="888">
        <f t="shared" si="9"/>
        <v>0.15528814726824161</v>
      </c>
      <c r="AB14" s="888">
        <f t="shared" si="10"/>
        <v>0.1213114408417738</v>
      </c>
      <c r="AC14" s="793"/>
      <c r="AD14" s="888">
        <f t="shared" si="11"/>
        <v>4.4871665478676093</v>
      </c>
      <c r="AE14" s="888">
        <f t="shared" si="12"/>
        <v>4.5653820235535738</v>
      </c>
      <c r="AF14" s="888">
        <f t="shared" si="13"/>
        <v>4.2461983853397198</v>
      </c>
      <c r="AG14" s="888">
        <f t="shared" si="14"/>
        <v>3.8696770894531847</v>
      </c>
      <c r="AH14" s="888">
        <f t="shared" si="15"/>
        <v>18.657023709609739</v>
      </c>
      <c r="AI14" s="888">
        <f t="shared" si="16"/>
        <v>19.757117067074017</v>
      </c>
      <c r="AJ14" s="888">
        <f t="shared" si="17"/>
        <v>16.876349315555981</v>
      </c>
      <c r="AK14" s="888">
        <f t="shared" si="18"/>
        <v>14.546542063719276</v>
      </c>
      <c r="AL14" s="888">
        <f t="shared" si="19"/>
        <v>28.919564138322265</v>
      </c>
      <c r="AM14" s="888">
        <f t="shared" si="20"/>
        <v>32.436373276776251</v>
      </c>
      <c r="AN14" s="888">
        <f t="shared" si="21"/>
        <v>25.512970222704144</v>
      </c>
      <c r="AO14" s="888">
        <f t="shared" si="22"/>
        <v>21.61011710263702</v>
      </c>
      <c r="AP14" s="793"/>
      <c r="AQ14" s="1202">
        <f t="shared" si="26"/>
        <v>0.25160645267194937</v>
      </c>
      <c r="AR14" s="793"/>
      <c r="AS14" s="897">
        <v>0.56000000000000005</v>
      </c>
      <c r="AT14" s="991"/>
      <c r="AU14" s="1197">
        <v>2898.1590000000001</v>
      </c>
      <c r="AV14" s="1197">
        <v>3116.0115000000005</v>
      </c>
      <c r="AW14" s="1197">
        <v>2948.6766000000002</v>
      </c>
      <c r="AX14" s="1197">
        <v>3171.7929000000004</v>
      </c>
      <c r="AY14" s="1197">
        <v>3419.2008000000001</v>
      </c>
      <c r="AZ14" s="1197">
        <v>669.6930000000001</v>
      </c>
      <c r="BA14" s="1197">
        <v>784.0086</v>
      </c>
      <c r="BB14" s="1197">
        <v>709.18079999999998</v>
      </c>
      <c r="BC14" s="1197">
        <v>808.95120000000009</v>
      </c>
      <c r="BD14" s="1197">
        <v>909.57720000000006</v>
      </c>
      <c r="BE14" s="1197">
        <v>350.79599999999999</v>
      </c>
      <c r="BF14" s="1197">
        <v>445.99080000000004</v>
      </c>
      <c r="BG14" s="1197">
        <v>393.45510000000002</v>
      </c>
      <c r="BH14" s="1197">
        <v>463.5027</v>
      </c>
      <c r="BI14" s="1197">
        <v>526.53809999999999</v>
      </c>
      <c r="BJ14" s="793"/>
      <c r="BK14" s="889">
        <f t="shared" si="27"/>
        <v>3184.7901098901098</v>
      </c>
      <c r="BL14" s="889">
        <f t="shared" si="28"/>
        <v>3424.188461538462</v>
      </c>
      <c r="BM14" s="889">
        <f t="shared" si="29"/>
        <v>3240.3039560439561</v>
      </c>
      <c r="BN14" s="889">
        <f t="shared" si="30"/>
        <v>3485.4867032967036</v>
      </c>
      <c r="BO14" s="889">
        <f t="shared" si="31"/>
        <v>3757.3635164835164</v>
      </c>
      <c r="BP14" s="889">
        <f t="shared" si="32"/>
        <v>735.92637362637367</v>
      </c>
      <c r="BQ14" s="889">
        <f t="shared" si="33"/>
        <v>861.5479120879121</v>
      </c>
      <c r="BR14" s="889">
        <f t="shared" si="34"/>
        <v>779.31956043956041</v>
      </c>
      <c r="BS14" s="889">
        <f t="shared" si="35"/>
        <v>888.95736263736273</v>
      </c>
      <c r="BT14" s="889">
        <f t="shared" si="36"/>
        <v>999.5353846153846</v>
      </c>
      <c r="BU14" s="889">
        <f t="shared" si="37"/>
        <v>385.49010989010986</v>
      </c>
      <c r="BV14" s="889">
        <f t="shared" si="38"/>
        <v>490.09978021978026</v>
      </c>
      <c r="BW14" s="889">
        <f t="shared" si="39"/>
        <v>432.36824175824177</v>
      </c>
      <c r="BX14" s="889">
        <f t="shared" si="40"/>
        <v>509.34362637362636</v>
      </c>
      <c r="BY14" s="889">
        <f t="shared" si="41"/>
        <v>578.61329670329667</v>
      </c>
    </row>
    <row r="15" spans="1:16328">
      <c r="A15" s="828"/>
      <c r="B15" s="1338" t="s">
        <v>861</v>
      </c>
      <c r="C15" s="987"/>
      <c r="D15" s="1206">
        <f>$E$52</f>
        <v>0.91</v>
      </c>
      <c r="E15" s="3" t="s">
        <v>862</v>
      </c>
      <c r="F15" s="987"/>
      <c r="G15" s="1214">
        <v>107.04300000000001</v>
      </c>
      <c r="H15" s="900">
        <v>5447.1959999999999</v>
      </c>
      <c r="I15" s="900">
        <v>6038.1180000000004</v>
      </c>
      <c r="J15" s="900">
        <v>610.35900000000004</v>
      </c>
      <c r="K15" s="900">
        <v>73.693200000000004</v>
      </c>
      <c r="L15" s="900">
        <v>1288.5057000000002</v>
      </c>
      <c r="M15" s="900">
        <v>387.06600000000003</v>
      </c>
      <c r="N15" s="900">
        <v>221.88870000000003</v>
      </c>
      <c r="O15" s="793"/>
      <c r="P15" s="1210">
        <f t="shared" si="0"/>
        <v>117.62967032967033</v>
      </c>
      <c r="Q15" s="902">
        <f t="shared" si="1"/>
        <v>5985.9296703296704</v>
      </c>
      <c r="R15" s="902">
        <f t="shared" si="24"/>
        <v>6635.2945054945058</v>
      </c>
      <c r="S15" s="902">
        <f t="shared" si="2"/>
        <v>670.72417582417586</v>
      </c>
      <c r="T15" s="902">
        <f t="shared" si="3"/>
        <v>80.981538461538463</v>
      </c>
      <c r="U15" s="902">
        <f t="shared" si="4"/>
        <v>1415.9403296703299</v>
      </c>
      <c r="V15" s="902">
        <f t="shared" si="5"/>
        <v>425.34725274725275</v>
      </c>
      <c r="W15" s="902">
        <f t="shared" si="6"/>
        <v>243.83373626373628</v>
      </c>
      <c r="X15" s="793"/>
      <c r="Y15" s="888">
        <f t="shared" si="25"/>
        <v>0.11205012634023083</v>
      </c>
      <c r="Z15" s="888">
        <f t="shared" si="8"/>
        <v>1.3864968765016821</v>
      </c>
      <c r="AA15" s="888">
        <f t="shared" si="9"/>
        <v>0.10108431136986723</v>
      </c>
      <c r="AB15" s="888">
        <f t="shared" si="10"/>
        <v>8.8879647598804803E-2</v>
      </c>
      <c r="AC15" s="793"/>
      <c r="AD15" s="888">
        <f t="shared" si="11"/>
        <v>3.8911863065913912</v>
      </c>
      <c r="AE15" s="888">
        <f t="shared" si="12"/>
        <v>4.5812870448772225</v>
      </c>
      <c r="AF15" s="888">
        <f t="shared" si="13"/>
        <v>4.6861399216161788</v>
      </c>
      <c r="AG15" s="888">
        <f t="shared" si="14"/>
        <v>4.4606738485214903</v>
      </c>
      <c r="AH15" s="888">
        <f t="shared" si="15"/>
        <v>12.736332071326286</v>
      </c>
      <c r="AI15" s="888">
        <f t="shared" si="16"/>
        <v>19.567811934900543</v>
      </c>
      <c r="AJ15" s="888">
        <f t="shared" si="17"/>
        <v>15.599711677078327</v>
      </c>
      <c r="AK15" s="888">
        <f t="shared" si="18"/>
        <v>14.599298434970317</v>
      </c>
      <c r="AL15" s="888">
        <f t="shared" si="19"/>
        <v>18.651127244936948</v>
      </c>
      <c r="AM15" s="888">
        <f t="shared" si="20"/>
        <v>29.762195121951216</v>
      </c>
      <c r="AN15" s="888">
        <f t="shared" si="21"/>
        <v>24.549226706903053</v>
      </c>
      <c r="AO15" s="888">
        <f t="shared" si="22"/>
        <v>22.665428372416994</v>
      </c>
      <c r="AP15" s="793"/>
      <c r="AQ15" s="1202">
        <f t="shared" si="26"/>
        <v>0.30039913676749735</v>
      </c>
      <c r="AR15" s="793"/>
      <c r="AS15" s="897">
        <v>0.37</v>
      </c>
      <c r="AT15" s="991"/>
      <c r="AU15" s="1197">
        <v>1317.9960000000001</v>
      </c>
      <c r="AV15" s="1197">
        <v>1288.5057000000002</v>
      </c>
      <c r="AW15" s="1197">
        <v>1551.7422000000001</v>
      </c>
      <c r="AX15" s="1197">
        <v>1223.3778000000002</v>
      </c>
      <c r="AY15" s="1197">
        <v>1353.6336000000001</v>
      </c>
      <c r="AZ15" s="1197">
        <v>308.57400000000001</v>
      </c>
      <c r="BA15" s="1197">
        <v>387.06600000000003</v>
      </c>
      <c r="BB15" s="1197">
        <v>474.08609999999999</v>
      </c>
      <c r="BC15" s="1197">
        <v>360.53310000000005</v>
      </c>
      <c r="BD15" s="1197">
        <v>413.58960000000008</v>
      </c>
      <c r="BE15" s="1197">
        <v>183.02400000000003</v>
      </c>
      <c r="BF15" s="1197">
        <v>221.88870000000003</v>
      </c>
      <c r="BG15" s="1197">
        <v>292.05720000000002</v>
      </c>
      <c r="BH15" s="1197">
        <v>203.45610000000002</v>
      </c>
      <c r="BI15" s="1197">
        <v>240.33060000000003</v>
      </c>
      <c r="BJ15" s="793"/>
      <c r="BK15" s="889">
        <f t="shared" si="27"/>
        <v>1448.3472527472527</v>
      </c>
      <c r="BL15" s="889">
        <f t="shared" si="28"/>
        <v>1415.9403296703299</v>
      </c>
      <c r="BM15" s="889">
        <f t="shared" si="29"/>
        <v>1705.2112087912089</v>
      </c>
      <c r="BN15" s="889">
        <f t="shared" si="30"/>
        <v>1344.371208791209</v>
      </c>
      <c r="BO15" s="889">
        <f t="shared" si="31"/>
        <v>1487.5094505494505</v>
      </c>
      <c r="BP15" s="889">
        <f t="shared" si="32"/>
        <v>339.09230769230771</v>
      </c>
      <c r="BQ15" s="889">
        <f t="shared" si="33"/>
        <v>425.34725274725275</v>
      </c>
      <c r="BR15" s="889">
        <f t="shared" si="34"/>
        <v>520.97373626373621</v>
      </c>
      <c r="BS15" s="889">
        <f t="shared" si="35"/>
        <v>396.19021978021982</v>
      </c>
      <c r="BT15" s="889">
        <f t="shared" si="36"/>
        <v>454.49406593406599</v>
      </c>
      <c r="BU15" s="889">
        <f t="shared" si="37"/>
        <v>201.12527472527475</v>
      </c>
      <c r="BV15" s="889">
        <f t="shared" si="38"/>
        <v>243.83373626373628</v>
      </c>
      <c r="BW15" s="889">
        <f t="shared" si="39"/>
        <v>320.94197802197806</v>
      </c>
      <c r="BX15" s="889">
        <f t="shared" si="40"/>
        <v>223.57813186813189</v>
      </c>
      <c r="BY15" s="889">
        <f t="shared" si="41"/>
        <v>264.09956043956049</v>
      </c>
    </row>
    <row r="16" spans="1:16328">
      <c r="A16" s="828"/>
      <c r="B16" s="1338" t="s">
        <v>863</v>
      </c>
      <c r="C16" s="987"/>
      <c r="D16" s="1206">
        <f>$E$60</f>
        <v>16.88</v>
      </c>
      <c r="E16" s="3" t="s">
        <v>864</v>
      </c>
      <c r="F16" s="987"/>
      <c r="G16" s="1214">
        <v>31.577000000000005</v>
      </c>
      <c r="H16" s="900">
        <v>113286.82500000001</v>
      </c>
      <c r="I16" s="900">
        <v>136853.33000000002</v>
      </c>
      <c r="J16" s="900">
        <v>20636.090000000004</v>
      </c>
      <c r="K16" s="900">
        <v>4520.1954999999998</v>
      </c>
      <c r="L16" s="900">
        <v>48722.790500000003</v>
      </c>
      <c r="M16" s="900">
        <v>9785.5735000000004</v>
      </c>
      <c r="N16" s="900">
        <v>5315.8665000000001</v>
      </c>
      <c r="O16" s="793"/>
      <c r="P16" s="1210">
        <f t="shared" si="0"/>
        <v>1.8706753554502373</v>
      </c>
      <c r="Q16" s="902">
        <f t="shared" si="1"/>
        <v>6711.3047985782005</v>
      </c>
      <c r="R16" s="902">
        <f t="shared" si="24"/>
        <v>8107.4247630331765</v>
      </c>
      <c r="S16" s="902">
        <f t="shared" si="2"/>
        <v>1222.5171800947871</v>
      </c>
      <c r="T16" s="902">
        <f t="shared" si="3"/>
        <v>267.78409360189573</v>
      </c>
      <c r="U16" s="902">
        <f t="shared" si="4"/>
        <v>2886.4212381516591</v>
      </c>
      <c r="V16" s="902">
        <f t="shared" si="5"/>
        <v>579.71406990521336</v>
      </c>
      <c r="W16" s="902">
        <f t="shared" si="6"/>
        <v>314.92100118483415</v>
      </c>
      <c r="X16" s="793"/>
      <c r="Y16" s="888">
        <f t="shared" si="25"/>
        <v>0.18215789876713381</v>
      </c>
      <c r="Z16" s="888">
        <f t="shared" si="8"/>
        <v>1.6469034236981619</v>
      </c>
      <c r="AA16" s="888">
        <f t="shared" si="9"/>
        <v>0.15078982732827914</v>
      </c>
      <c r="AB16" s="888">
        <f t="shared" si="10"/>
        <v>0.11776033875098256</v>
      </c>
      <c r="AC16" s="793"/>
      <c r="AD16" s="888">
        <f t="shared" si="11"/>
        <v>3.042956619022819</v>
      </c>
      <c r="AE16" s="888">
        <f t="shared" si="12"/>
        <v>3.0421937673557542</v>
      </c>
      <c r="AF16" s="888">
        <f t="shared" si="13"/>
        <v>2.8088155172475191</v>
      </c>
      <c r="AG16" s="888">
        <f t="shared" si="14"/>
        <v>2.5012763555530184</v>
      </c>
      <c r="AH16" s="888">
        <f t="shared" si="15"/>
        <v>17.233935633288908</v>
      </c>
      <c r="AI16" s="888">
        <f t="shared" si="16"/>
        <v>19.361315660284735</v>
      </c>
      <c r="AJ16" s="888">
        <f t="shared" si="17"/>
        <v>13.9852130281378</v>
      </c>
      <c r="AK16" s="888">
        <f t="shared" si="18"/>
        <v>10.441055780584016</v>
      </c>
      <c r="AL16" s="888">
        <f t="shared" si="19"/>
        <v>24.142202174073805</v>
      </c>
      <c r="AM16" s="888">
        <f t="shared" si="20"/>
        <v>27.331519464210963</v>
      </c>
      <c r="AN16" s="888">
        <f t="shared" si="21"/>
        <v>21.311074121218056</v>
      </c>
      <c r="AO16" s="888">
        <f t="shared" si="22"/>
        <v>15.867172122184153</v>
      </c>
      <c r="AP16" s="793"/>
      <c r="AQ16" s="1202">
        <f t="shared" si="26"/>
        <v>0.20084181139009272</v>
      </c>
      <c r="AR16" s="793"/>
      <c r="AS16" s="897">
        <v>0.56999999999999995</v>
      </c>
      <c r="AT16" s="991"/>
      <c r="AU16" s="1197">
        <v>44985.080000000009</v>
      </c>
      <c r="AV16" s="1197">
        <v>48722.790500000003</v>
      </c>
      <c r="AW16" s="1197">
        <v>44973.802500000005</v>
      </c>
      <c r="AX16" s="1197">
        <v>49972.337500000001</v>
      </c>
      <c r="AY16" s="1197">
        <v>54713.39850000001</v>
      </c>
      <c r="AZ16" s="1197">
        <v>7068.39</v>
      </c>
      <c r="BA16" s="1197">
        <v>9785.5735000000004</v>
      </c>
      <c r="BB16" s="1197">
        <v>7940.9215000000004</v>
      </c>
      <c r="BC16" s="1197">
        <v>10400.457500000002</v>
      </c>
      <c r="BD16" s="1197">
        <v>13107.231000000002</v>
      </c>
      <c r="BE16" s="1197">
        <v>4144.9150000000009</v>
      </c>
      <c r="BF16" s="1197">
        <v>5315.8665000000001</v>
      </c>
      <c r="BG16" s="1197">
        <v>4692.4809999999998</v>
      </c>
      <c r="BH16" s="1197">
        <v>5523.5460000000003</v>
      </c>
      <c r="BI16" s="1197">
        <v>7139.6985000000004</v>
      </c>
      <c r="BJ16" s="793"/>
      <c r="BK16" s="889">
        <f t="shared" si="27"/>
        <v>2664.9928909952614</v>
      </c>
      <c r="BL16" s="889">
        <f t="shared" si="28"/>
        <v>2886.4212381516591</v>
      </c>
      <c r="BM16" s="889">
        <f t="shared" si="29"/>
        <v>2664.3247926540289</v>
      </c>
      <c r="BN16" s="889">
        <f t="shared" si="30"/>
        <v>2960.4465343601896</v>
      </c>
      <c r="BO16" s="889">
        <f t="shared" si="31"/>
        <v>3241.3150770142188</v>
      </c>
      <c r="BP16" s="889">
        <f t="shared" si="32"/>
        <v>418.74348341232229</v>
      </c>
      <c r="BQ16" s="889">
        <f t="shared" si="33"/>
        <v>579.71406990521336</v>
      </c>
      <c r="BR16" s="889">
        <f t="shared" si="34"/>
        <v>470.43373815165882</v>
      </c>
      <c r="BS16" s="889">
        <f t="shared" si="35"/>
        <v>616.14084715639831</v>
      </c>
      <c r="BT16" s="889">
        <f t="shared" si="36"/>
        <v>776.49472748815185</v>
      </c>
      <c r="BU16" s="889">
        <f t="shared" si="37"/>
        <v>245.55183649289106</v>
      </c>
      <c r="BV16" s="889">
        <f t="shared" si="38"/>
        <v>314.92100118483415</v>
      </c>
      <c r="BW16" s="889">
        <f t="shared" si="39"/>
        <v>277.99058056872036</v>
      </c>
      <c r="BX16" s="889">
        <f t="shared" si="40"/>
        <v>327.22428909952612</v>
      </c>
      <c r="BY16" s="889">
        <f t="shared" si="41"/>
        <v>422.96792061611382</v>
      </c>
    </row>
    <row r="17" spans="1:77">
      <c r="A17" s="828"/>
      <c r="B17" s="1338" t="s">
        <v>865</v>
      </c>
      <c r="C17" s="987"/>
      <c r="D17" s="1206">
        <f>$E$54</f>
        <v>55.51</v>
      </c>
      <c r="E17" s="3" t="s">
        <v>866</v>
      </c>
      <c r="F17" s="987"/>
      <c r="G17" s="1214">
        <v>20.5535</v>
      </c>
      <c r="H17" s="900">
        <v>326906.19499999995</v>
      </c>
      <c r="I17" s="900">
        <v>344526.65500000003</v>
      </c>
      <c r="J17" s="900">
        <v>24364.23</v>
      </c>
      <c r="K17" s="900">
        <v>12722.061</v>
      </c>
      <c r="L17" s="900">
        <v>73241.563999999998</v>
      </c>
      <c r="M17" s="900">
        <v>16800.541999999998</v>
      </c>
      <c r="N17" s="900">
        <v>11462.742499999998</v>
      </c>
      <c r="O17" s="793"/>
      <c r="P17" s="1210">
        <f t="shared" si="0"/>
        <v>0.37026661862727439</v>
      </c>
      <c r="Q17" s="902">
        <f t="shared" si="1"/>
        <v>5889.1406052963421</v>
      </c>
      <c r="R17" s="902">
        <f t="shared" si="24"/>
        <v>6206.5691767249155</v>
      </c>
      <c r="S17" s="902">
        <f t="shared" si="2"/>
        <v>438.91605116195279</v>
      </c>
      <c r="T17" s="902">
        <f t="shared" si="3"/>
        <v>229.18502972437398</v>
      </c>
      <c r="U17" s="902">
        <f t="shared" si="4"/>
        <v>1319.4300846694289</v>
      </c>
      <c r="V17" s="902">
        <f t="shared" si="5"/>
        <v>302.65793550711578</v>
      </c>
      <c r="W17" s="902">
        <f t="shared" si="6"/>
        <v>206.49869392902178</v>
      </c>
      <c r="X17" s="793"/>
      <c r="Y17" s="888">
        <f t="shared" si="25"/>
        <v>7.4529728627504302E-2</v>
      </c>
      <c r="Z17" s="888">
        <f t="shared" si="8"/>
        <v>0.69296389366485933</v>
      </c>
      <c r="AA17" s="888">
        <f t="shared" si="9"/>
        <v>7.0717982618790393E-2</v>
      </c>
      <c r="AB17" s="888">
        <f t="shared" si="10"/>
        <v>3.3791780203479463E-2</v>
      </c>
      <c r="AC17" s="793"/>
      <c r="AD17" s="888">
        <f t="shared" si="11"/>
        <v>4.9933980645057412</v>
      </c>
      <c r="AE17" s="888">
        <f t="shared" si="12"/>
        <v>5.1324892419728574</v>
      </c>
      <c r="AF17" s="888">
        <f t="shared" si="13"/>
        <v>4.7039773072022335</v>
      </c>
      <c r="AG17" s="888">
        <f t="shared" si="14"/>
        <v>4.2522368105310075</v>
      </c>
      <c r="AH17" s="888">
        <f t="shared" si="15"/>
        <v>22.604876626453333</v>
      </c>
      <c r="AI17" s="888">
        <f t="shared" si="16"/>
        <v>24.494865718799375</v>
      </c>
      <c r="AJ17" s="888">
        <f t="shared" si="17"/>
        <v>20.506877397169692</v>
      </c>
      <c r="AK17" s="888">
        <f t="shared" si="18"/>
        <v>17.354356707146458</v>
      </c>
      <c r="AL17" s="888">
        <f t="shared" si="19"/>
        <v>31.392830470500368</v>
      </c>
      <c r="AM17" s="888">
        <f t="shared" si="20"/>
        <v>33.879677605066206</v>
      </c>
      <c r="AN17" s="888">
        <f t="shared" si="21"/>
        <v>28.519021080688152</v>
      </c>
      <c r="AO17" s="888">
        <f t="shared" si="22"/>
        <v>24.184851847285575</v>
      </c>
      <c r="AP17" s="793"/>
      <c r="AQ17" s="1202">
        <f t="shared" si="26"/>
        <v>0.2293853528305321</v>
      </c>
      <c r="AR17" s="793"/>
      <c r="AS17" s="897">
        <v>-0.03</v>
      </c>
      <c r="AT17" s="991"/>
      <c r="AU17" s="1197">
        <v>67126.62</v>
      </c>
      <c r="AV17" s="1197">
        <v>73241.563999999998</v>
      </c>
      <c r="AW17" s="1197">
        <v>68996.43299999999</v>
      </c>
      <c r="AX17" s="1197">
        <v>74656.978000000003</v>
      </c>
      <c r="AY17" s="1197">
        <v>81022.452499999999</v>
      </c>
      <c r="AZ17" s="1197">
        <v>14065.259999999998</v>
      </c>
      <c r="BA17" s="1197">
        <v>16800.541999999998</v>
      </c>
      <c r="BB17" s="1197">
        <v>15241.253499999999</v>
      </c>
      <c r="BC17" s="1197">
        <v>17319.934499999999</v>
      </c>
      <c r="BD17" s="1197">
        <v>19852.458999999999</v>
      </c>
      <c r="BE17" s="1197">
        <v>9649.034999999998</v>
      </c>
      <c r="BF17" s="1197">
        <v>11462.742499999998</v>
      </c>
      <c r="BG17" s="1197">
        <v>10413.403</v>
      </c>
      <c r="BH17" s="1197">
        <v>11812.7075</v>
      </c>
      <c r="BI17" s="1197">
        <v>13516.9815</v>
      </c>
      <c r="BJ17" s="793"/>
      <c r="BK17" s="889">
        <f t="shared" si="27"/>
        <v>1209.2707620248602</v>
      </c>
      <c r="BL17" s="889">
        <f t="shared" si="28"/>
        <v>1319.4300846694289</v>
      </c>
      <c r="BM17" s="889">
        <f t="shared" si="29"/>
        <v>1242.9550171140334</v>
      </c>
      <c r="BN17" s="889">
        <f t="shared" si="30"/>
        <v>1344.9284453251666</v>
      </c>
      <c r="BO17" s="889">
        <f t="shared" si="31"/>
        <v>1459.6010178346244</v>
      </c>
      <c r="BP17" s="889">
        <f t="shared" si="32"/>
        <v>253.38245361196178</v>
      </c>
      <c r="BQ17" s="889">
        <f t="shared" si="33"/>
        <v>302.65793550711578</v>
      </c>
      <c r="BR17" s="889">
        <f t="shared" si="34"/>
        <v>274.5677085209872</v>
      </c>
      <c r="BS17" s="889">
        <f t="shared" si="35"/>
        <v>312.01467303188616</v>
      </c>
      <c r="BT17" s="889">
        <f t="shared" si="36"/>
        <v>357.63752477031164</v>
      </c>
      <c r="BU17" s="889">
        <f t="shared" si="37"/>
        <v>173.82516663664202</v>
      </c>
      <c r="BV17" s="889">
        <f t="shared" si="38"/>
        <v>206.49869392902178</v>
      </c>
      <c r="BW17" s="889">
        <f t="shared" si="39"/>
        <v>187.59508196721313</v>
      </c>
      <c r="BX17" s="889">
        <f t="shared" si="40"/>
        <v>212.80323365159433</v>
      </c>
      <c r="BY17" s="889">
        <f t="shared" si="41"/>
        <v>243.50534137993154</v>
      </c>
    </row>
    <row r="18" spans="1:77">
      <c r="A18" s="828"/>
      <c r="B18" s="420" t="s">
        <v>867</v>
      </c>
      <c r="C18" s="987"/>
      <c r="D18" s="1206">
        <f>$E$55</f>
        <v>1.49</v>
      </c>
      <c r="E18" s="3" t="s">
        <v>868</v>
      </c>
      <c r="F18" s="987"/>
      <c r="G18" s="1214">
        <v>10.442400000000001</v>
      </c>
      <c r="H18" s="900">
        <v>8339.1759999999995</v>
      </c>
      <c r="I18" s="900">
        <v>9727.848</v>
      </c>
      <c r="J18" s="900">
        <v>1936.9359999999999</v>
      </c>
      <c r="K18" s="900">
        <v>565.60720000000003</v>
      </c>
      <c r="L18" s="900">
        <v>2708.5944</v>
      </c>
      <c r="M18" s="900">
        <v>809.81039999999996</v>
      </c>
      <c r="N18" s="900">
        <v>406.58480000000003</v>
      </c>
      <c r="O18" s="793"/>
      <c r="P18" s="1210">
        <f t="shared" si="0"/>
        <v>7.0083221476510076</v>
      </c>
      <c r="Q18" s="902">
        <f t="shared" si="1"/>
        <v>5596.7624161073818</v>
      </c>
      <c r="R18" s="902">
        <f t="shared" si="24"/>
        <v>6528.7570469798657</v>
      </c>
      <c r="S18" s="902">
        <f t="shared" si="2"/>
        <v>1299.9570469798657</v>
      </c>
      <c r="T18" s="902">
        <f t="shared" si="3"/>
        <v>379.60214765100676</v>
      </c>
      <c r="U18" s="902">
        <f t="shared" si="4"/>
        <v>1817.8485906040269</v>
      </c>
      <c r="V18" s="902">
        <f t="shared" si="5"/>
        <v>543.49691275167788</v>
      </c>
      <c r="W18" s="902">
        <f t="shared" si="6"/>
        <v>272.87570469798658</v>
      </c>
      <c r="X18" s="793"/>
      <c r="Y18" s="888">
        <f t="shared" si="7"/>
        <v>0.23226947122833241</v>
      </c>
      <c r="Z18" s="888">
        <f t="shared" si="8"/>
        <v>1.6933948983613938</v>
      </c>
      <c r="AA18" s="888">
        <f t="shared" si="9"/>
        <v>0.19911248613259583</v>
      </c>
      <c r="AB18" s="888">
        <f t="shared" si="10"/>
        <v>0.14096939014672102</v>
      </c>
      <c r="AC18" s="793"/>
      <c r="AD18" s="888">
        <f t="shared" si="11"/>
        <v>3.8672661022787014</v>
      </c>
      <c r="AE18" s="888">
        <f t="shared" si="12"/>
        <v>3.9107241063244729</v>
      </c>
      <c r="AF18" s="888">
        <f t="shared" si="13"/>
        <v>3.5914746039495613</v>
      </c>
      <c r="AG18" s="888">
        <f t="shared" si="14"/>
        <v>3.16228715992529</v>
      </c>
      <c r="AH18" s="888">
        <f t="shared" si="15"/>
        <v>13.196214276877395</v>
      </c>
      <c r="AI18" s="888">
        <f t="shared" si="16"/>
        <v>16.913054968287526</v>
      </c>
      <c r="AJ18" s="888">
        <f t="shared" si="17"/>
        <v>12.012500703868461</v>
      </c>
      <c r="AK18" s="888">
        <f t="shared" si="18"/>
        <v>10.228547683357572</v>
      </c>
      <c r="AL18" s="888">
        <f t="shared" si="19"/>
        <v>23.394737964265914</v>
      </c>
      <c r="AM18" s="888">
        <f t="shared" si="20"/>
        <v>32.773596176821982</v>
      </c>
      <c r="AN18" s="888">
        <f t="shared" si="21"/>
        <v>20.510299450446745</v>
      </c>
      <c r="AO18" s="888">
        <f t="shared" si="22"/>
        <v>16.745925157194307</v>
      </c>
      <c r="AP18" s="793"/>
      <c r="AQ18" s="1202">
        <f>V18/U18</f>
        <v>0.29897809727436492</v>
      </c>
      <c r="AR18" s="793"/>
      <c r="AS18" s="897">
        <v>0.28999999999999998</v>
      </c>
      <c r="AT18" s="991"/>
      <c r="AU18" s="1197">
        <v>2487.48</v>
      </c>
      <c r="AV18" s="1197">
        <v>2708.5944</v>
      </c>
      <c r="AW18" s="1197">
        <v>2515.4328</v>
      </c>
      <c r="AX18" s="1197">
        <v>2708.5944</v>
      </c>
      <c r="AY18" s="1197">
        <v>3076.2064</v>
      </c>
      <c r="AZ18" s="1197">
        <v>575.16800000000001</v>
      </c>
      <c r="BA18" s="1197">
        <v>809.81039999999996</v>
      </c>
      <c r="BB18" s="1197">
        <v>737.16960000000006</v>
      </c>
      <c r="BC18" s="1197">
        <v>809.81039999999996</v>
      </c>
      <c r="BD18" s="1197">
        <v>951.04880000000014</v>
      </c>
      <c r="BE18" s="1197">
        <v>254.44800000000001</v>
      </c>
      <c r="BF18" s="1197">
        <v>406.58480000000003</v>
      </c>
      <c r="BG18" s="1197">
        <v>356.45519999999999</v>
      </c>
      <c r="BH18" s="1197">
        <v>406.58480000000003</v>
      </c>
      <c r="BI18" s="1197">
        <v>497.98240000000004</v>
      </c>
      <c r="BJ18" s="793"/>
      <c r="BK18" s="889">
        <f>AU18/$D18</f>
        <v>1669.4496644295302</v>
      </c>
      <c r="BL18" s="889">
        <f t="shared" ref="BL18" si="42">AV18/$D18</f>
        <v>1817.8485906040269</v>
      </c>
      <c r="BM18" s="889">
        <f t="shared" ref="BM18" si="43">AW18/$D18</f>
        <v>1688.209932885906</v>
      </c>
      <c r="BN18" s="889">
        <f t="shared" ref="BN18" si="44">AX18/$D18</f>
        <v>1817.8485906040269</v>
      </c>
      <c r="BO18" s="889">
        <f t="shared" ref="BO18" si="45">AY18/$D18</f>
        <v>2064.5680536912751</v>
      </c>
      <c r="BP18" s="889">
        <f t="shared" ref="BP18" si="46">AZ18/$D18</f>
        <v>386.01879194630874</v>
      </c>
      <c r="BQ18" s="889">
        <f t="shared" ref="BQ18" si="47">BA18/$D18</f>
        <v>543.49691275167788</v>
      </c>
      <c r="BR18" s="889">
        <f t="shared" ref="BR18" si="48">BB18/$D18</f>
        <v>494.74469798657725</v>
      </c>
      <c r="BS18" s="889">
        <f t="shared" ref="BS18" si="49">BC18/$D18</f>
        <v>543.49691275167788</v>
      </c>
      <c r="BT18" s="889">
        <f t="shared" ref="BT18" si="50">BD18/$D18</f>
        <v>638.28778523489939</v>
      </c>
      <c r="BU18" s="889">
        <f t="shared" ref="BU18" si="51">BE18/$D18</f>
        <v>170.77046979865773</v>
      </c>
      <c r="BV18" s="889">
        <f t="shared" ref="BV18" si="52">BF18/$D18</f>
        <v>272.87570469798658</v>
      </c>
      <c r="BW18" s="889">
        <f t="shared" ref="BW18" si="53">BG18/$D18</f>
        <v>239.23167785234898</v>
      </c>
      <c r="BX18" s="889">
        <f t="shared" ref="BX18" si="54">BH18/$D18</f>
        <v>272.87570469798658</v>
      </c>
      <c r="BY18" s="889">
        <f t="shared" ref="BY18" si="55">BI18/$D18</f>
        <v>334.21637583892618</v>
      </c>
    </row>
    <row r="19" spans="1:77">
      <c r="A19" s="828"/>
      <c r="B19" s="829"/>
      <c r="C19" s="987"/>
      <c r="D19" s="1206"/>
      <c r="E19" s="23"/>
      <c r="F19" s="987"/>
      <c r="G19" s="1211"/>
      <c r="H19" s="351"/>
      <c r="I19" s="351"/>
      <c r="J19" s="3"/>
      <c r="K19" s="3"/>
      <c r="L19" s="23"/>
      <c r="M19" s="23"/>
      <c r="N19" s="23"/>
      <c r="O19" s="987"/>
      <c r="P19" s="1211"/>
      <c r="Q19" s="351"/>
      <c r="R19" s="351"/>
      <c r="S19" s="3"/>
      <c r="T19" s="3"/>
      <c r="U19" s="23"/>
      <c r="V19" s="23"/>
      <c r="W19" s="23"/>
      <c r="X19" s="987"/>
      <c r="Y19" s="351"/>
      <c r="Z19" s="989"/>
      <c r="AA19" s="989"/>
      <c r="AB19" s="989"/>
      <c r="AC19" s="987"/>
      <c r="AD19" s="221"/>
      <c r="AE19" s="221"/>
      <c r="AF19" s="221"/>
      <c r="AG19" s="221"/>
      <c r="AH19" s="221"/>
      <c r="AI19" s="221"/>
      <c r="AJ19" s="221"/>
      <c r="AK19" s="221"/>
      <c r="AL19" s="221"/>
      <c r="AM19" s="221"/>
      <c r="AN19" s="221"/>
      <c r="AO19" s="221"/>
      <c r="AP19" s="987"/>
      <c r="AQ19" s="1201"/>
      <c r="AR19" s="3"/>
      <c r="AS19" s="988"/>
      <c r="AT19" s="987"/>
      <c r="AU19" s="1198"/>
      <c r="AV19" s="1198"/>
      <c r="AW19" s="1198"/>
      <c r="AX19" s="1198"/>
      <c r="AY19" s="1198"/>
      <c r="AZ19" s="1198"/>
      <c r="BA19" s="1198"/>
      <c r="BB19" s="1198"/>
      <c r="BC19" s="1198"/>
      <c r="BD19" s="1198"/>
      <c r="BE19" s="1198"/>
      <c r="BF19" s="1198"/>
      <c r="BG19" s="1198"/>
      <c r="BH19" s="1198"/>
      <c r="BI19" s="1198"/>
      <c r="BJ19" s="3"/>
      <c r="BK19" s="1200"/>
      <c r="BL19" s="1200"/>
      <c r="BM19" s="1200"/>
      <c r="BN19" s="1200"/>
      <c r="BO19" s="1200"/>
      <c r="BP19" s="1200"/>
      <c r="BQ19" s="1200"/>
      <c r="BR19" s="1200"/>
      <c r="BS19" s="1200"/>
      <c r="BT19" s="1200"/>
      <c r="BU19" s="3"/>
      <c r="BV19" s="3"/>
      <c r="BW19" s="3"/>
      <c r="BX19" s="3"/>
      <c r="BY19" s="3"/>
    </row>
    <row r="20" spans="1:77">
      <c r="A20" s="828"/>
      <c r="B20" s="829" t="s">
        <v>869</v>
      </c>
      <c r="C20" s="987"/>
      <c r="D20" s="1206"/>
      <c r="E20" s="23"/>
      <c r="F20" s="987"/>
      <c r="G20" s="1211"/>
      <c r="H20" s="351"/>
      <c r="I20" s="351"/>
      <c r="J20" s="3"/>
      <c r="K20" s="3"/>
      <c r="L20" s="23"/>
      <c r="M20" s="23"/>
      <c r="N20" s="23"/>
      <c r="O20" s="987"/>
      <c r="P20" s="1211"/>
      <c r="Q20" s="351"/>
      <c r="R20" s="351"/>
      <c r="S20" s="3"/>
      <c r="T20" s="3"/>
      <c r="U20" s="23"/>
      <c r="V20" s="23"/>
      <c r="W20" s="23"/>
      <c r="X20" s="987"/>
      <c r="Y20" s="351"/>
      <c r="Z20" s="989"/>
      <c r="AA20" s="989"/>
      <c r="AB20" s="989"/>
      <c r="AC20" s="987"/>
      <c r="AD20" s="221"/>
      <c r="AE20" s="221"/>
      <c r="AF20" s="221"/>
      <c r="AG20" s="221"/>
      <c r="AH20" s="221"/>
      <c r="AI20" s="221"/>
      <c r="AJ20" s="221"/>
      <c r="AK20" s="221"/>
      <c r="AL20" s="221"/>
      <c r="AM20" s="221"/>
      <c r="AN20" s="221"/>
      <c r="AO20" s="221"/>
      <c r="AP20" s="987"/>
      <c r="AQ20" s="1201"/>
      <c r="AR20" s="3"/>
      <c r="AS20" s="988"/>
      <c r="AT20" s="987"/>
      <c r="AU20" s="1198"/>
      <c r="AV20" s="1198"/>
      <c r="AW20" s="1198"/>
      <c r="AX20" s="1198"/>
      <c r="AY20" s="1198"/>
      <c r="AZ20" s="1198"/>
      <c r="BA20" s="1198"/>
      <c r="BB20" s="1198"/>
      <c r="BC20" s="1198"/>
      <c r="BD20" s="1198"/>
      <c r="BE20" s="1198"/>
      <c r="BF20" s="1198"/>
      <c r="BG20" s="1198"/>
      <c r="BH20" s="1198"/>
      <c r="BI20" s="1198"/>
      <c r="BJ20" s="3"/>
      <c r="BK20" s="1200"/>
      <c r="BL20" s="1200"/>
      <c r="BM20" s="1200"/>
      <c r="BN20" s="1200"/>
      <c r="BO20" s="1200"/>
      <c r="BP20" s="1200"/>
      <c r="BQ20" s="1200"/>
      <c r="BR20" s="1200"/>
      <c r="BS20" s="1200"/>
      <c r="BT20" s="1200"/>
      <c r="BU20" s="3"/>
      <c r="BV20" s="3"/>
      <c r="BW20" s="3"/>
      <c r="BX20" s="3"/>
      <c r="BY20" s="3"/>
    </row>
    <row r="21" spans="1:77">
      <c r="A21" s="828"/>
      <c r="B21" s="420" t="s">
        <v>870</v>
      </c>
      <c r="C21" s="987"/>
      <c r="D21" s="1206">
        <f>$E$50</f>
        <v>7.81</v>
      </c>
      <c r="E21" s="3" t="s">
        <v>871</v>
      </c>
      <c r="F21" s="987"/>
      <c r="G21" s="1214">
        <v>33.661099999999998</v>
      </c>
      <c r="H21" s="900">
        <v>109160.37</v>
      </c>
      <c r="I21" s="900">
        <v>109295.48299999999</v>
      </c>
      <c r="J21" s="900">
        <v>1321.4519999999998</v>
      </c>
      <c r="K21" s="900">
        <v>11368.6265</v>
      </c>
      <c r="L21" s="900">
        <v>45350.795599999998</v>
      </c>
      <c r="M21" s="900">
        <v>10475.474899999999</v>
      </c>
      <c r="N21" s="900">
        <v>6396.9367000000002</v>
      </c>
      <c r="O21" s="793"/>
      <c r="P21" s="1210">
        <f t="shared" ref="P21:P32" si="56">IFERROR(G21/$D21,"n.m.")</f>
        <v>4.3099999999999996</v>
      </c>
      <c r="Q21" s="902">
        <f t="shared" ref="Q21:Q32" si="57">IFERROR(H21/$D21,"n.m.")</f>
        <v>13977</v>
      </c>
      <c r="R21" s="902">
        <f t="shared" ref="R21:R32" si="58">IFERROR(I21/$D21,"n.m.")</f>
        <v>13994.3</v>
      </c>
      <c r="S21" s="902">
        <f t="shared" ref="S21:S32" si="59">IFERROR(J21/$D21,"n.m.")</f>
        <v>169.2</v>
      </c>
      <c r="T21" s="902">
        <f t="shared" ref="T21:T32" si="60">IFERROR(K21/$D21,"n.m.")</f>
        <v>1455.65</v>
      </c>
      <c r="U21" s="902">
        <f t="shared" ref="U21:U32" si="61">IFERROR(L21/$D21,"n.m.")</f>
        <v>5806.76</v>
      </c>
      <c r="V21" s="902">
        <f t="shared" ref="V21:V32" si="62">IFERROR(M21/$D21,"n.m.")</f>
        <v>1341.29</v>
      </c>
      <c r="W21" s="902">
        <f t="shared" ref="W21:W32" si="63">IFERROR(N21/$D21,"n.m.")</f>
        <v>819.07</v>
      </c>
      <c r="X21" s="793"/>
      <c r="Y21" s="888">
        <f t="shared" ref="Y21:Y32" si="64">IFERROR(S21/Q21,"n.m.")</f>
        <v>1.210560206052801E-2</v>
      </c>
      <c r="Z21" s="888">
        <f t="shared" ref="Z21:Z32" si="65">IFERROR((S21-T21)/V21,"n.m.")</f>
        <v>-0.95911398728090125</v>
      </c>
      <c r="AA21" s="888">
        <f t="shared" ref="AA21:AA32" si="66">IFERROR(S21/R21,"n.m.")</f>
        <v>1.2090636902167311E-2</v>
      </c>
      <c r="AB21" s="888">
        <f t="shared" ref="AB21:AB32" si="67">IFERROR((S21-T21)/R21,"n.m.")</f>
        <v>-9.1926713018871981E-2</v>
      </c>
      <c r="AC21" s="793"/>
      <c r="AD21" s="888">
        <f t="shared" ref="AD21:AD32" si="68">IFERROR(I21/AW21,"n.m.")</f>
        <v>2.5127664617329351</v>
      </c>
      <c r="AE21" s="888">
        <f t="shared" ref="AE21:AE32" si="69">IFERROR(I21/AU21,"n.m.")</f>
        <v>2.6298648826414595</v>
      </c>
      <c r="AF21" s="888">
        <f t="shared" ref="AF21:AF32" si="70">IFERROR(I21/AV21,"n.m.")</f>
        <v>2.4100014465898365</v>
      </c>
      <c r="AG21" s="888">
        <f t="shared" ref="AG21:AG32" si="71">IFERROR(I21/AY21,"n.m.")</f>
        <v>2.1321236221252216</v>
      </c>
      <c r="AH21" s="888">
        <f t="shared" ref="AH21:AH32" si="72">IFERROR(I21/BB21,"n.m.")</f>
        <v>11.426903354345624</v>
      </c>
      <c r="AI21" s="888">
        <f t="shared" ref="AI21:AI32" si="73">IFERROR(I21/AZ21,"n.m.")</f>
        <v>14.893891017454235</v>
      </c>
      <c r="AJ21" s="888">
        <f t="shared" ref="AJ21:AJ32" si="74">IFERROR(I21/BA21,"n.m.")</f>
        <v>10.433463307711234</v>
      </c>
      <c r="AK21" s="888">
        <f t="shared" ref="AK21:AK32" si="75">IFERROR(I21/BD21,"n.m.")</f>
        <v>8.3650937869857849</v>
      </c>
      <c r="AL21" s="888">
        <f t="shared" ref="AL21:AL32" si="76">IFERROR(H21/BG21,"n.m.")</f>
        <v>18.915700152927965</v>
      </c>
      <c r="AM21" s="888">
        <f t="shared" ref="AM21:AM32" si="77">IFERROR(H21/BE21,"n.m.")</f>
        <v>19.289263041678165</v>
      </c>
      <c r="AN21" s="888">
        <f t="shared" ref="AN21:AN32" si="78">IFERROR(H21/BF21,"n.m.")</f>
        <v>17.064475563749127</v>
      </c>
      <c r="AO21" s="888">
        <f t="shared" ref="AO21:AO32" si="79">IFERROR(H21/BI21,"n.m.")</f>
        <v>13.113354474321206</v>
      </c>
      <c r="AP21" s="793"/>
      <c r="AQ21" s="1202">
        <f t="shared" ref="AQ21:AQ31" si="80">V21/U21</f>
        <v>0.23098767643229615</v>
      </c>
      <c r="AR21" s="793"/>
      <c r="AS21" s="897">
        <v>0.57999999999999996</v>
      </c>
      <c r="AT21" s="991"/>
      <c r="AU21" s="1197">
        <v>41559.353000000003</v>
      </c>
      <c r="AV21" s="1197">
        <v>45350.795599999998</v>
      </c>
      <c r="AW21" s="1197">
        <v>43496.076799999995</v>
      </c>
      <c r="AX21" s="1197">
        <v>47205.592499999999</v>
      </c>
      <c r="AY21" s="1197">
        <v>51261.325499999999</v>
      </c>
      <c r="AZ21" s="1197">
        <v>7338.2759999999998</v>
      </c>
      <c r="BA21" s="1197">
        <v>10475.474899999999</v>
      </c>
      <c r="BB21" s="1197">
        <v>9564.7507999999998</v>
      </c>
      <c r="BC21" s="1197">
        <v>11386.277099999999</v>
      </c>
      <c r="BD21" s="1197">
        <v>13065.661399999999</v>
      </c>
      <c r="BE21" s="1197">
        <v>5659.1260000000002</v>
      </c>
      <c r="BF21" s="1197">
        <v>6396.9367000000002</v>
      </c>
      <c r="BG21" s="1197">
        <v>5770.887099999999</v>
      </c>
      <c r="BH21" s="1197">
        <v>7023.0643999999993</v>
      </c>
      <c r="BI21" s="1197">
        <v>8324.3665999999994</v>
      </c>
      <c r="BJ21" s="793"/>
      <c r="BK21" s="889">
        <f t="shared" ref="BK21:BK31" si="81">AU21/$D21</f>
        <v>5321.3</v>
      </c>
      <c r="BL21" s="889">
        <f t="shared" ref="BL21:BL31" si="82">AV21/$D21</f>
        <v>5806.76</v>
      </c>
      <c r="BM21" s="889">
        <f t="shared" ref="BM21:BM31" si="83">AW21/$D21</f>
        <v>5569.28</v>
      </c>
      <c r="BN21" s="889">
        <f t="shared" ref="BN21:BN31" si="84">AX21/$D21</f>
        <v>6044.25</v>
      </c>
      <c r="BO21" s="889">
        <f t="shared" ref="BO21:BO31" si="85">AY21/$D21</f>
        <v>6563.55</v>
      </c>
      <c r="BP21" s="889">
        <f t="shared" ref="BP21:BP31" si="86">AZ21/$D21</f>
        <v>939.6</v>
      </c>
      <c r="BQ21" s="889">
        <f t="shared" ref="BQ21:BQ31" si="87">BA21/$D21</f>
        <v>1341.29</v>
      </c>
      <c r="BR21" s="889">
        <f t="shared" ref="BR21:BR31" si="88">BB21/$D21</f>
        <v>1224.68</v>
      </c>
      <c r="BS21" s="889">
        <f t="shared" ref="BS21:BS31" si="89">BC21/$D21</f>
        <v>1457.91</v>
      </c>
      <c r="BT21" s="889">
        <f t="shared" ref="BT21:BT31" si="90">BD21/$D21</f>
        <v>1672.94</v>
      </c>
      <c r="BU21" s="889">
        <f t="shared" ref="BU21:BU31" si="91">BE21/$D21</f>
        <v>724.6</v>
      </c>
      <c r="BV21" s="889">
        <f t="shared" ref="BV21:BV31" si="92">BF21/$D21</f>
        <v>819.07</v>
      </c>
      <c r="BW21" s="889">
        <f t="shared" ref="BW21:BW31" si="93">BG21/$D21</f>
        <v>738.90999999999985</v>
      </c>
      <c r="BX21" s="889">
        <f t="shared" ref="BX21:BX31" si="94">BH21/$D21</f>
        <v>899.24</v>
      </c>
      <c r="BY21" s="889">
        <f t="shared" ref="BY21:BY31" si="95">BI21/$D21</f>
        <v>1065.8599999999999</v>
      </c>
    </row>
    <row r="22" spans="1:77">
      <c r="A22" s="828"/>
      <c r="B22" s="1338" t="s">
        <v>872</v>
      </c>
      <c r="C22" s="987"/>
      <c r="D22" s="1206">
        <f>$E$47</f>
        <v>1</v>
      </c>
      <c r="E22" s="3" t="s">
        <v>873</v>
      </c>
      <c r="F22" s="987"/>
      <c r="G22" s="1214">
        <v>62.31</v>
      </c>
      <c r="H22" s="900">
        <v>13444.5</v>
      </c>
      <c r="I22" s="900">
        <v>19420.5</v>
      </c>
      <c r="J22" s="900">
        <v>6706.3</v>
      </c>
      <c r="K22" s="900">
        <v>600</v>
      </c>
      <c r="L22" s="900">
        <v>11725.25</v>
      </c>
      <c r="M22" s="900">
        <v>2331.39</v>
      </c>
      <c r="N22" s="900">
        <v>1154.97</v>
      </c>
      <c r="O22" s="793"/>
      <c r="P22" s="1210">
        <f t="shared" si="56"/>
        <v>62.31</v>
      </c>
      <c r="Q22" s="902">
        <f t="shared" si="57"/>
        <v>13444.5</v>
      </c>
      <c r="R22" s="902">
        <f t="shared" si="58"/>
        <v>19420.5</v>
      </c>
      <c r="S22" s="902">
        <f t="shared" si="59"/>
        <v>6706.3</v>
      </c>
      <c r="T22" s="902">
        <f t="shared" si="60"/>
        <v>600</v>
      </c>
      <c r="U22" s="902">
        <f t="shared" si="61"/>
        <v>11725.25</v>
      </c>
      <c r="V22" s="902">
        <f t="shared" si="62"/>
        <v>2331.39</v>
      </c>
      <c r="W22" s="902">
        <f t="shared" si="63"/>
        <v>1154.97</v>
      </c>
      <c r="X22" s="793"/>
      <c r="Y22" s="888">
        <f t="shared" si="64"/>
        <v>0.49881364126594518</v>
      </c>
      <c r="Z22" s="888">
        <f t="shared" si="65"/>
        <v>2.6191671063185482</v>
      </c>
      <c r="AA22" s="888">
        <f t="shared" si="66"/>
        <v>0.34532066630622282</v>
      </c>
      <c r="AB22" s="888">
        <f t="shared" si="67"/>
        <v>0.31442547823176542</v>
      </c>
      <c r="AC22" s="793"/>
      <c r="AD22" s="888">
        <f t="shared" si="68"/>
        <v>1.6631198537314329</v>
      </c>
      <c r="AE22" s="888">
        <f t="shared" si="69"/>
        <v>1.6827689588243451</v>
      </c>
      <c r="AF22" s="888">
        <f t="shared" si="70"/>
        <v>1.6562973070936653</v>
      </c>
      <c r="AG22" s="888">
        <f t="shared" si="71"/>
        <v>1.6319473622292062</v>
      </c>
      <c r="AH22" s="888">
        <f t="shared" si="72"/>
        <v>8.1771903526796237</v>
      </c>
      <c r="AI22" s="888">
        <f t="shared" si="73"/>
        <v>8.9863958169450751</v>
      </c>
      <c r="AJ22" s="888">
        <f t="shared" si="74"/>
        <v>8.3300091361805624</v>
      </c>
      <c r="AK22" s="888">
        <f t="shared" si="75"/>
        <v>8.0175125709048576</v>
      </c>
      <c r="AL22" s="888">
        <f t="shared" si="76"/>
        <v>11.558201513067401</v>
      </c>
      <c r="AM22" s="888">
        <f t="shared" si="77"/>
        <v>52.702861622892982</v>
      </c>
      <c r="AN22" s="888">
        <f t="shared" si="78"/>
        <v>11.640562092521883</v>
      </c>
      <c r="AO22" s="888">
        <f t="shared" si="79"/>
        <v>11.373307052643156</v>
      </c>
      <c r="AP22" s="793"/>
      <c r="AQ22" s="1202">
        <f t="shared" si="80"/>
        <v>0.19883499285729514</v>
      </c>
      <c r="AR22" s="793"/>
      <c r="AS22" s="897">
        <v>0.93</v>
      </c>
      <c r="AT22" s="991"/>
      <c r="AU22" s="1197">
        <v>11540.8</v>
      </c>
      <c r="AV22" s="1197">
        <v>11725.25</v>
      </c>
      <c r="AW22" s="1197">
        <v>11677.15</v>
      </c>
      <c r="AX22" s="1197">
        <v>11756.31</v>
      </c>
      <c r="AY22" s="1197">
        <v>11900.2</v>
      </c>
      <c r="AZ22" s="1197">
        <v>2161.1</v>
      </c>
      <c r="BA22" s="1197">
        <v>2331.39</v>
      </c>
      <c r="BB22" s="1197">
        <v>2374.96</v>
      </c>
      <c r="BC22" s="1197">
        <v>2375.0700000000002</v>
      </c>
      <c r="BD22" s="1197">
        <v>2422.2600000000002</v>
      </c>
      <c r="BE22" s="1197">
        <v>255.1</v>
      </c>
      <c r="BF22" s="1197">
        <v>1154.97</v>
      </c>
      <c r="BG22" s="1197">
        <v>1163.2</v>
      </c>
      <c r="BH22" s="1197">
        <v>1153.69</v>
      </c>
      <c r="BI22" s="1197">
        <v>1182.1099999999999</v>
      </c>
      <c r="BJ22" s="793"/>
      <c r="BK22" s="889">
        <f t="shared" si="81"/>
        <v>11540.8</v>
      </c>
      <c r="BL22" s="889">
        <f t="shared" si="82"/>
        <v>11725.25</v>
      </c>
      <c r="BM22" s="889">
        <f t="shared" si="83"/>
        <v>11677.15</v>
      </c>
      <c r="BN22" s="889">
        <f t="shared" si="84"/>
        <v>11756.31</v>
      </c>
      <c r="BO22" s="889">
        <f t="shared" si="85"/>
        <v>11900.2</v>
      </c>
      <c r="BP22" s="889">
        <f t="shared" si="86"/>
        <v>2161.1</v>
      </c>
      <c r="BQ22" s="889">
        <f t="shared" si="87"/>
        <v>2331.39</v>
      </c>
      <c r="BR22" s="889">
        <f t="shared" si="88"/>
        <v>2374.96</v>
      </c>
      <c r="BS22" s="889">
        <f t="shared" si="89"/>
        <v>2375.0700000000002</v>
      </c>
      <c r="BT22" s="889">
        <f t="shared" si="90"/>
        <v>2422.2600000000002</v>
      </c>
      <c r="BU22" s="889">
        <f t="shared" si="91"/>
        <v>255.1</v>
      </c>
      <c r="BV22" s="889">
        <f t="shared" si="92"/>
        <v>1154.97</v>
      </c>
      <c r="BW22" s="889">
        <f t="shared" si="93"/>
        <v>1163.2</v>
      </c>
      <c r="BX22" s="889">
        <f t="shared" si="94"/>
        <v>1153.69</v>
      </c>
      <c r="BY22" s="889">
        <f t="shared" si="95"/>
        <v>1182.1099999999999</v>
      </c>
    </row>
    <row r="23" spans="1:77">
      <c r="A23" s="828"/>
      <c r="B23" s="1338" t="s">
        <v>874</v>
      </c>
      <c r="C23" s="987"/>
      <c r="D23" s="1206">
        <f>$E$56</f>
        <v>83.19</v>
      </c>
      <c r="E23" s="3" t="s">
        <v>875</v>
      </c>
      <c r="F23" s="987"/>
      <c r="G23" s="1214">
        <v>10026.617400000001</v>
      </c>
      <c r="H23" s="900">
        <v>1451948.9760000003</v>
      </c>
      <c r="I23" s="900">
        <v>1764677.9880000001</v>
      </c>
      <c r="J23" s="900">
        <v>344724.41700000002</v>
      </c>
      <c r="K23" s="900">
        <v>98233.819200000013</v>
      </c>
      <c r="L23" s="900">
        <v>913505.93910000019</v>
      </c>
      <c r="M23" s="900">
        <v>195373.87110000002</v>
      </c>
      <c r="N23" s="900">
        <v>92009.941200000001</v>
      </c>
      <c r="O23" s="793"/>
      <c r="P23" s="1210">
        <f t="shared" si="56"/>
        <v>120.52671474936894</v>
      </c>
      <c r="Q23" s="902">
        <f t="shared" si="57"/>
        <v>17453.407573025608</v>
      </c>
      <c r="R23" s="902">
        <f t="shared" si="58"/>
        <v>21212.621565091962</v>
      </c>
      <c r="S23" s="902">
        <f t="shared" si="59"/>
        <v>4143.8203750450775</v>
      </c>
      <c r="T23" s="902">
        <f t="shared" si="60"/>
        <v>1180.8368698160839</v>
      </c>
      <c r="U23" s="902">
        <f t="shared" si="61"/>
        <v>10980.958517850706</v>
      </c>
      <c r="V23" s="902">
        <f t="shared" si="62"/>
        <v>2348.5259177785792</v>
      </c>
      <c r="W23" s="902">
        <f t="shared" si="63"/>
        <v>1106.0216516408223</v>
      </c>
      <c r="X23" s="793"/>
      <c r="Y23" s="888">
        <f t="shared" si="64"/>
        <v>0.23742185345223862</v>
      </c>
      <c r="Z23" s="888">
        <f t="shared" si="65"/>
        <v>1.2616354296109351</v>
      </c>
      <c r="AA23" s="888">
        <f t="shared" si="66"/>
        <v>0.19534692410975998</v>
      </c>
      <c r="AB23" s="888">
        <f t="shared" si="67"/>
        <v>0.13968021331719582</v>
      </c>
      <c r="AC23" s="793"/>
      <c r="AD23" s="888">
        <f t="shared" si="68"/>
        <v>1.9926085936638895</v>
      </c>
      <c r="AE23" s="888">
        <f t="shared" si="69"/>
        <v>2.019689287385297</v>
      </c>
      <c r="AF23" s="888">
        <f t="shared" si="70"/>
        <v>1.9317641106291958</v>
      </c>
      <c r="AG23" s="888">
        <f t="shared" si="71"/>
        <v>1.8321591943613613</v>
      </c>
      <c r="AH23" s="888">
        <f t="shared" si="72"/>
        <v>9.4625753257966529</v>
      </c>
      <c r="AI23" s="888">
        <f t="shared" si="73"/>
        <v>11.349860485082635</v>
      </c>
      <c r="AJ23" s="888">
        <f t="shared" si="74"/>
        <v>9.032313164828313</v>
      </c>
      <c r="AK23" s="888">
        <f t="shared" si="75"/>
        <v>8.3576404392269676</v>
      </c>
      <c r="AL23" s="888">
        <f t="shared" si="76"/>
        <v>16.27577693192552</v>
      </c>
      <c r="AM23" s="888">
        <f t="shared" si="77"/>
        <v>15.653175031480485</v>
      </c>
      <c r="AN23" s="888">
        <f t="shared" si="78"/>
        <v>15.780348917340687</v>
      </c>
      <c r="AO23" s="888">
        <f t="shared" si="79"/>
        <v>14.389826444299286</v>
      </c>
      <c r="AP23" s="793"/>
      <c r="AQ23" s="1202">
        <f t="shared" si="80"/>
        <v>0.21387257897029688</v>
      </c>
      <c r="AR23" s="793"/>
      <c r="AS23" s="897">
        <v>0.6</v>
      </c>
      <c r="AT23" s="991"/>
      <c r="AU23" s="1197">
        <v>873737.36100000015</v>
      </c>
      <c r="AV23" s="1197">
        <v>913505.93910000019</v>
      </c>
      <c r="AW23" s="1197">
        <v>885611.95290000015</v>
      </c>
      <c r="AX23" s="1197">
        <v>922803.37829999998</v>
      </c>
      <c r="AY23" s="1197">
        <v>963168.48089999997</v>
      </c>
      <c r="AZ23" s="1197">
        <v>155480.14800000002</v>
      </c>
      <c r="BA23" s="1197">
        <v>195373.87110000002</v>
      </c>
      <c r="BB23" s="1197">
        <v>186490.24470000001</v>
      </c>
      <c r="BC23" s="1197">
        <v>198335.6361</v>
      </c>
      <c r="BD23" s="1197">
        <v>211145.47830000002</v>
      </c>
      <c r="BE23" s="1197">
        <v>92757.474000000002</v>
      </c>
      <c r="BF23" s="1197">
        <v>92009.941200000001</v>
      </c>
      <c r="BG23" s="1197">
        <v>89209.196100000001</v>
      </c>
      <c r="BH23" s="1197">
        <v>92943.522900000011</v>
      </c>
      <c r="BI23" s="1197">
        <v>100901.07630000002</v>
      </c>
      <c r="BJ23" s="793"/>
      <c r="BK23" s="889">
        <f t="shared" si="81"/>
        <v>10502.913342949876</v>
      </c>
      <c r="BL23" s="889">
        <f t="shared" si="82"/>
        <v>10980.958517850706</v>
      </c>
      <c r="BM23" s="889">
        <f t="shared" si="83"/>
        <v>10645.653959610532</v>
      </c>
      <c r="BN23" s="889">
        <f t="shared" si="84"/>
        <v>11092.720018031014</v>
      </c>
      <c r="BO23" s="889">
        <f t="shared" si="85"/>
        <v>11577.935820411107</v>
      </c>
      <c r="BP23" s="889">
        <f t="shared" si="86"/>
        <v>1868.9764154345476</v>
      </c>
      <c r="BQ23" s="889">
        <f t="shared" si="87"/>
        <v>2348.5259177785792</v>
      </c>
      <c r="BR23" s="889">
        <f t="shared" si="88"/>
        <v>2241.7387270104582</v>
      </c>
      <c r="BS23" s="889">
        <f t="shared" si="89"/>
        <v>2384.1283339343672</v>
      </c>
      <c r="BT23" s="889">
        <f t="shared" si="90"/>
        <v>2538.1112910205557</v>
      </c>
      <c r="BU23" s="889">
        <f t="shared" si="91"/>
        <v>1115.0075009015507</v>
      </c>
      <c r="BV23" s="889">
        <f t="shared" si="92"/>
        <v>1106.0216516408223</v>
      </c>
      <c r="BW23" s="889">
        <f t="shared" si="93"/>
        <v>1072.3548034619546</v>
      </c>
      <c r="BX23" s="889">
        <f t="shared" si="94"/>
        <v>1117.2439343671117</v>
      </c>
      <c r="BY23" s="889">
        <f t="shared" si="95"/>
        <v>1212.8991020555356</v>
      </c>
    </row>
    <row r="24" spans="1:77">
      <c r="A24" s="828"/>
      <c r="B24" s="420" t="s">
        <v>876</v>
      </c>
      <c r="C24" s="987"/>
      <c r="D24" s="1206">
        <f>$E$47</f>
        <v>1</v>
      </c>
      <c r="E24" s="3" t="s">
        <v>877</v>
      </c>
      <c r="F24" s="987"/>
      <c r="G24" s="1214">
        <v>346.03</v>
      </c>
      <c r="H24" s="900">
        <v>4179.8999999999996</v>
      </c>
      <c r="I24" s="900">
        <v>3916.7</v>
      </c>
      <c r="J24" s="900">
        <v>55.6</v>
      </c>
      <c r="K24" s="900">
        <v>180.56</v>
      </c>
      <c r="L24" s="900">
        <v>2091.42</v>
      </c>
      <c r="M24" s="900">
        <v>268.06</v>
      </c>
      <c r="N24" s="900">
        <v>121.88</v>
      </c>
      <c r="O24" s="793"/>
      <c r="P24" s="1210">
        <f t="shared" si="56"/>
        <v>346.03</v>
      </c>
      <c r="Q24" s="902">
        <f t="shared" si="57"/>
        <v>4179.8999999999996</v>
      </c>
      <c r="R24" s="902">
        <f t="shared" si="58"/>
        <v>3916.7</v>
      </c>
      <c r="S24" s="902">
        <f t="shared" si="59"/>
        <v>55.6</v>
      </c>
      <c r="T24" s="902">
        <f t="shared" si="60"/>
        <v>180.56</v>
      </c>
      <c r="U24" s="902">
        <f t="shared" si="61"/>
        <v>2091.42</v>
      </c>
      <c r="V24" s="902">
        <f t="shared" si="62"/>
        <v>268.06</v>
      </c>
      <c r="W24" s="902">
        <f t="shared" si="63"/>
        <v>121.88</v>
      </c>
      <c r="X24" s="793"/>
      <c r="Y24" s="888">
        <f t="shared" si="64"/>
        <v>1.3301753630469629E-2</v>
      </c>
      <c r="Z24" s="888">
        <f t="shared" si="65"/>
        <v>-0.46616429157651273</v>
      </c>
      <c r="AA24" s="888">
        <f t="shared" si="66"/>
        <v>1.419562386703092E-2</v>
      </c>
      <c r="AB24" s="888">
        <f t="shared" si="67"/>
        <v>-3.1904409324175965E-2</v>
      </c>
      <c r="AC24" s="793"/>
      <c r="AD24" s="888">
        <f t="shared" si="68"/>
        <v>1.931959434129787</v>
      </c>
      <c r="AE24" s="888">
        <f t="shared" si="69"/>
        <v>1.8990981380915437</v>
      </c>
      <c r="AF24" s="888">
        <f t="shared" si="70"/>
        <v>1.8727467462298342</v>
      </c>
      <c r="AG24" s="888">
        <f t="shared" si="71"/>
        <v>1.7707961280930271</v>
      </c>
      <c r="AH24" s="888">
        <f t="shared" si="72"/>
        <v>18.177472501972431</v>
      </c>
      <c r="AI24" s="888">
        <f t="shared" si="73"/>
        <v>17.950045829514206</v>
      </c>
      <c r="AJ24" s="888">
        <f t="shared" si="74"/>
        <v>14.611281056479891</v>
      </c>
      <c r="AK24" s="888">
        <f t="shared" si="75"/>
        <v>12.856392581651075</v>
      </c>
      <c r="AL24" s="888">
        <f t="shared" si="76"/>
        <v>43.477220719783645</v>
      </c>
      <c r="AM24" s="888">
        <f t="shared" si="77"/>
        <v>50.360240963855418</v>
      </c>
      <c r="AN24" s="888">
        <f t="shared" si="78"/>
        <v>34.295208401706596</v>
      </c>
      <c r="AO24" s="888">
        <f t="shared" si="79"/>
        <v>25.272991111917285</v>
      </c>
      <c r="AP24" s="793"/>
      <c r="AQ24" s="1202">
        <f t="shared" si="80"/>
        <v>0.12817129031949584</v>
      </c>
      <c r="AR24" s="793"/>
      <c r="AS24" s="897">
        <v>1.1000000000000001</v>
      </c>
      <c r="AT24" s="991"/>
      <c r="AU24" s="1197">
        <v>2062.4</v>
      </c>
      <c r="AV24" s="1197">
        <v>2091.42</v>
      </c>
      <c r="AW24" s="1197">
        <v>2027.32</v>
      </c>
      <c r="AX24" s="1197">
        <v>2115.25</v>
      </c>
      <c r="AY24" s="1197">
        <v>2211.83</v>
      </c>
      <c r="AZ24" s="1197">
        <v>218.2</v>
      </c>
      <c r="BA24" s="1197">
        <v>268.06</v>
      </c>
      <c r="BB24" s="1197">
        <v>215.47</v>
      </c>
      <c r="BC24" s="1197">
        <v>265.51</v>
      </c>
      <c r="BD24" s="1197">
        <v>304.64999999999998</v>
      </c>
      <c r="BE24" s="1197">
        <v>83</v>
      </c>
      <c r="BF24" s="1197">
        <v>121.88</v>
      </c>
      <c r="BG24" s="1197">
        <v>96.14</v>
      </c>
      <c r="BH24" s="1197">
        <v>133.28</v>
      </c>
      <c r="BI24" s="1197">
        <v>165.39</v>
      </c>
      <c r="BJ24" s="793"/>
      <c r="BK24" s="889">
        <f t="shared" si="81"/>
        <v>2062.4</v>
      </c>
      <c r="BL24" s="889">
        <f t="shared" si="82"/>
        <v>2091.42</v>
      </c>
      <c r="BM24" s="889">
        <f t="shared" si="83"/>
        <v>2027.32</v>
      </c>
      <c r="BN24" s="889">
        <f t="shared" si="84"/>
        <v>2115.25</v>
      </c>
      <c r="BO24" s="889">
        <f t="shared" si="85"/>
        <v>2211.83</v>
      </c>
      <c r="BP24" s="889">
        <f t="shared" si="86"/>
        <v>218.2</v>
      </c>
      <c r="BQ24" s="889">
        <f t="shared" si="87"/>
        <v>268.06</v>
      </c>
      <c r="BR24" s="889">
        <f t="shared" si="88"/>
        <v>215.47</v>
      </c>
      <c r="BS24" s="889">
        <f t="shared" si="89"/>
        <v>265.51</v>
      </c>
      <c r="BT24" s="889">
        <f t="shared" si="90"/>
        <v>304.64999999999998</v>
      </c>
      <c r="BU24" s="889">
        <f t="shared" si="91"/>
        <v>83</v>
      </c>
      <c r="BV24" s="889">
        <f t="shared" si="92"/>
        <v>121.88</v>
      </c>
      <c r="BW24" s="889">
        <f t="shared" si="93"/>
        <v>96.14</v>
      </c>
      <c r="BX24" s="889">
        <f t="shared" si="94"/>
        <v>133.28</v>
      </c>
      <c r="BY24" s="889">
        <f t="shared" si="95"/>
        <v>165.39</v>
      </c>
    </row>
    <row r="25" spans="1:77">
      <c r="A25" s="828"/>
      <c r="B25" s="420" t="s">
        <v>878</v>
      </c>
      <c r="C25" s="987"/>
      <c r="D25" s="1206">
        <f>$E$52</f>
        <v>0.91</v>
      </c>
      <c r="E25" s="3" t="s">
        <v>879</v>
      </c>
      <c r="F25" s="987"/>
      <c r="G25" s="1214">
        <v>87.466499999999996</v>
      </c>
      <c r="H25" s="900">
        <v>49567.884000000005</v>
      </c>
      <c r="I25" s="900">
        <v>69916.656000000003</v>
      </c>
      <c r="J25" s="900">
        <v>16375.254000000001</v>
      </c>
      <c r="K25" s="900">
        <v>2764.7040000000002</v>
      </c>
      <c r="L25" s="900">
        <v>31503.564000000006</v>
      </c>
      <c r="M25" s="900">
        <v>6872.2908000000007</v>
      </c>
      <c r="N25" s="900">
        <v>3024.2391000000002</v>
      </c>
      <c r="O25" s="793"/>
      <c r="P25" s="1210">
        <f t="shared" si="56"/>
        <v>96.117032967032955</v>
      </c>
      <c r="Q25" s="902">
        <f t="shared" si="57"/>
        <v>54470.202197802202</v>
      </c>
      <c r="R25" s="902">
        <f t="shared" si="58"/>
        <v>76831.490109890117</v>
      </c>
      <c r="S25" s="902">
        <f t="shared" si="59"/>
        <v>17994.784615384615</v>
      </c>
      <c r="T25" s="902">
        <f t="shared" si="60"/>
        <v>3038.136263736264</v>
      </c>
      <c r="U25" s="902">
        <f t="shared" si="61"/>
        <v>34619.301098901102</v>
      </c>
      <c r="V25" s="902">
        <f t="shared" si="62"/>
        <v>7551.9679120879127</v>
      </c>
      <c r="W25" s="902">
        <f t="shared" si="63"/>
        <v>3323.3396703296703</v>
      </c>
      <c r="X25" s="793"/>
      <c r="Y25" s="888">
        <f t="shared" si="64"/>
        <v>0.33036015820243603</v>
      </c>
      <c r="Z25" s="888">
        <f t="shared" si="65"/>
        <v>1.9804968090116324</v>
      </c>
      <c r="AA25" s="888">
        <f t="shared" si="66"/>
        <v>0.23421105837784917</v>
      </c>
      <c r="AB25" s="888">
        <f t="shared" si="67"/>
        <v>0.19466820609955943</v>
      </c>
      <c r="AC25" s="793"/>
      <c r="AD25" s="888">
        <f t="shared" si="68"/>
        <v>2.3051205003986017</v>
      </c>
      <c r="AE25" s="888">
        <f t="shared" si="69"/>
        <v>2.349761208211437</v>
      </c>
      <c r="AF25" s="888">
        <f t="shared" si="70"/>
        <v>2.2193252801492553</v>
      </c>
      <c r="AG25" s="888">
        <f t="shared" si="71"/>
        <v>2.079968127842764</v>
      </c>
      <c r="AH25" s="888">
        <f t="shared" si="72"/>
        <v>10.865035400621732</v>
      </c>
      <c r="AI25" s="888">
        <f t="shared" si="73"/>
        <v>13.349290622724933</v>
      </c>
      <c r="AJ25" s="888">
        <f t="shared" si="74"/>
        <v>10.173704523679353</v>
      </c>
      <c r="AK25" s="888">
        <f t="shared" si="75"/>
        <v>9.2472136906467828</v>
      </c>
      <c r="AL25" s="888">
        <f t="shared" si="76"/>
        <v>17.867396128755423</v>
      </c>
      <c r="AM25" s="888">
        <f t="shared" si="77"/>
        <v>19.266483516483515</v>
      </c>
      <c r="AN25" s="888">
        <f t="shared" si="78"/>
        <v>16.390200100250009</v>
      </c>
      <c r="AO25" s="888">
        <f t="shared" si="79"/>
        <v>14.3665631603916</v>
      </c>
      <c r="AP25" s="793"/>
      <c r="AQ25" s="1202">
        <f t="shared" si="80"/>
        <v>0.21814328055073387</v>
      </c>
      <c r="AR25" s="793"/>
      <c r="AS25" s="897">
        <v>0.62</v>
      </c>
      <c r="AT25" s="991"/>
      <c r="AU25" s="1197">
        <v>29754.792000000001</v>
      </c>
      <c r="AV25" s="1197">
        <v>31503.564000000006</v>
      </c>
      <c r="AW25" s="1197">
        <v>30331.02</v>
      </c>
      <c r="AX25" s="1197">
        <v>31894.4058</v>
      </c>
      <c r="AY25" s="1197">
        <v>33614.292000000001</v>
      </c>
      <c r="AZ25" s="1197">
        <v>5237.4809999999998</v>
      </c>
      <c r="BA25" s="1197">
        <v>6872.2908000000007</v>
      </c>
      <c r="BB25" s="1197">
        <v>6435.0141000000003</v>
      </c>
      <c r="BC25" s="1197">
        <v>7018.0497000000005</v>
      </c>
      <c r="BD25" s="1197">
        <v>7560.8349000000007</v>
      </c>
      <c r="BE25" s="1197">
        <v>2572.7520000000004</v>
      </c>
      <c r="BF25" s="1197">
        <v>3024.2391000000002</v>
      </c>
      <c r="BG25" s="1197">
        <v>2774.2085999999999</v>
      </c>
      <c r="BH25" s="1197">
        <v>3107.5857000000001</v>
      </c>
      <c r="BI25" s="1197">
        <v>3450.2256000000002</v>
      </c>
      <c r="BJ25" s="793"/>
      <c r="BK25" s="889">
        <f t="shared" si="81"/>
        <v>32697.573626373625</v>
      </c>
      <c r="BL25" s="889">
        <f t="shared" si="82"/>
        <v>34619.301098901102</v>
      </c>
      <c r="BM25" s="889">
        <f t="shared" si="83"/>
        <v>33330.791208791205</v>
      </c>
      <c r="BN25" s="889">
        <f t="shared" si="84"/>
        <v>35048.797582417581</v>
      </c>
      <c r="BO25" s="889">
        <f t="shared" si="85"/>
        <v>36938.782417582421</v>
      </c>
      <c r="BP25" s="889">
        <f t="shared" si="86"/>
        <v>5755.4736263736258</v>
      </c>
      <c r="BQ25" s="889">
        <f t="shared" si="87"/>
        <v>7551.9679120879127</v>
      </c>
      <c r="BR25" s="889">
        <f t="shared" si="88"/>
        <v>7071.4440659340662</v>
      </c>
      <c r="BS25" s="889">
        <f t="shared" si="89"/>
        <v>7712.1425274725279</v>
      </c>
      <c r="BT25" s="889">
        <f t="shared" si="90"/>
        <v>8308.6097802197801</v>
      </c>
      <c r="BU25" s="889">
        <f t="shared" si="91"/>
        <v>2827.2000000000003</v>
      </c>
      <c r="BV25" s="889">
        <f t="shared" si="92"/>
        <v>3323.3396703296703</v>
      </c>
      <c r="BW25" s="889">
        <f t="shared" si="93"/>
        <v>3048.5808791208788</v>
      </c>
      <c r="BX25" s="889">
        <f t="shared" si="94"/>
        <v>3414.9293406593406</v>
      </c>
      <c r="BY25" s="889">
        <f t="shared" si="95"/>
        <v>3791.4567032967034</v>
      </c>
    </row>
    <row r="26" spans="1:77">
      <c r="A26" s="828"/>
      <c r="B26" s="420" t="s">
        <v>880</v>
      </c>
      <c r="C26" s="987"/>
      <c r="D26" s="1206">
        <f>$E$50</f>
        <v>7.81</v>
      </c>
      <c r="E26" s="3" t="s">
        <v>881</v>
      </c>
      <c r="F26" s="987"/>
      <c r="G26" s="1214">
        <v>51.233599999999996</v>
      </c>
      <c r="H26" s="900">
        <v>88932.47</v>
      </c>
      <c r="I26" s="900">
        <v>66093.687000000005</v>
      </c>
      <c r="J26" s="900">
        <v>406.90100000000001</v>
      </c>
      <c r="K26" s="900">
        <v>27990.493299999998</v>
      </c>
      <c r="L26" s="900">
        <v>39360.837999999996</v>
      </c>
      <c r="M26" s="900">
        <v>7673.559299999999</v>
      </c>
      <c r="N26" s="900">
        <v>5284.1679000000004</v>
      </c>
      <c r="O26" s="793"/>
      <c r="P26" s="1210">
        <f t="shared" si="56"/>
        <v>6.56</v>
      </c>
      <c r="Q26" s="902">
        <f t="shared" si="57"/>
        <v>11387</v>
      </c>
      <c r="R26" s="902">
        <f t="shared" si="58"/>
        <v>8462.7000000000007</v>
      </c>
      <c r="S26" s="902">
        <f t="shared" si="59"/>
        <v>52.1</v>
      </c>
      <c r="T26" s="902">
        <f t="shared" si="60"/>
        <v>3583.93</v>
      </c>
      <c r="U26" s="902">
        <f t="shared" si="61"/>
        <v>5039.8</v>
      </c>
      <c r="V26" s="902">
        <f t="shared" si="62"/>
        <v>982.53</v>
      </c>
      <c r="W26" s="902">
        <f t="shared" si="63"/>
        <v>676.59</v>
      </c>
      <c r="X26" s="793"/>
      <c r="Y26" s="888">
        <f t="shared" si="64"/>
        <v>4.5753929920084304E-3</v>
      </c>
      <c r="Z26" s="888">
        <f t="shared" si="65"/>
        <v>-3.5946281538477196</v>
      </c>
      <c r="AA26" s="888">
        <f t="shared" si="66"/>
        <v>6.1564276176633934E-3</v>
      </c>
      <c r="AB26" s="888">
        <f t="shared" si="67"/>
        <v>-0.41734080139908064</v>
      </c>
      <c r="AC26" s="793"/>
      <c r="AD26" s="888">
        <f t="shared" si="68"/>
        <v>1.7579570995899412</v>
      </c>
      <c r="AE26" s="888">
        <f t="shared" si="69"/>
        <v>1.7810211297247245</v>
      </c>
      <c r="AF26" s="888">
        <f t="shared" si="70"/>
        <v>1.6791737767371724</v>
      </c>
      <c r="AG26" s="888">
        <f t="shared" si="71"/>
        <v>1.5671840798231096</v>
      </c>
      <c r="AH26" s="888">
        <f t="shared" si="72"/>
        <v>9.6174695714431842</v>
      </c>
      <c r="AI26" s="888">
        <f t="shared" si="73"/>
        <v>11.650192731277535</v>
      </c>
      <c r="AJ26" s="888">
        <f t="shared" si="74"/>
        <v>8.6131721168819286</v>
      </c>
      <c r="AK26" s="888">
        <f t="shared" si="75"/>
        <v>7.542244483262631</v>
      </c>
      <c r="AL26" s="888">
        <f t="shared" si="76"/>
        <v>18.907430469074303</v>
      </c>
      <c r="AM26" s="888">
        <f t="shared" si="77"/>
        <v>18.747118867303261</v>
      </c>
      <c r="AN26" s="888">
        <f t="shared" si="78"/>
        <v>16.829985663400286</v>
      </c>
      <c r="AO26" s="888">
        <f t="shared" si="79"/>
        <v>14.371355731125528</v>
      </c>
      <c r="AP26" s="793"/>
      <c r="AQ26" s="1202">
        <f t="shared" si="80"/>
        <v>0.19495416484781142</v>
      </c>
      <c r="AR26" s="793"/>
      <c r="AS26" s="897">
        <v>0.66</v>
      </c>
      <c r="AT26" s="991"/>
      <c r="AU26" s="1197">
        <v>37109.995999999999</v>
      </c>
      <c r="AV26" s="1197">
        <v>39360.837999999996</v>
      </c>
      <c r="AW26" s="1197">
        <v>37596.871399999996</v>
      </c>
      <c r="AX26" s="1197">
        <v>39948.774799999999</v>
      </c>
      <c r="AY26" s="1197">
        <v>42173.531399999993</v>
      </c>
      <c r="AZ26" s="1197">
        <v>5673.1839999999993</v>
      </c>
      <c r="BA26" s="1197">
        <v>7673.559299999999</v>
      </c>
      <c r="BB26" s="1197">
        <v>6872.2532999999994</v>
      </c>
      <c r="BC26" s="1197">
        <v>7940.6612999999998</v>
      </c>
      <c r="BD26" s="1197">
        <v>8763.1323999999986</v>
      </c>
      <c r="BE26" s="1197">
        <v>4743.7939999999999</v>
      </c>
      <c r="BF26" s="1197">
        <v>5284.1679000000004</v>
      </c>
      <c r="BG26" s="1197">
        <v>4703.5725000000002</v>
      </c>
      <c r="BH26" s="1197">
        <v>5477.6997000000001</v>
      </c>
      <c r="BI26" s="1197">
        <v>6188.1754000000001</v>
      </c>
      <c r="BJ26" s="793"/>
      <c r="BK26" s="889">
        <f t="shared" si="81"/>
        <v>4751.6000000000004</v>
      </c>
      <c r="BL26" s="889">
        <f t="shared" si="82"/>
        <v>5039.8</v>
      </c>
      <c r="BM26" s="889">
        <f t="shared" si="83"/>
        <v>4813.9399999999996</v>
      </c>
      <c r="BN26" s="889">
        <f t="shared" si="84"/>
        <v>5115.08</v>
      </c>
      <c r="BO26" s="889">
        <f t="shared" si="85"/>
        <v>5399.94</v>
      </c>
      <c r="BP26" s="889">
        <f t="shared" si="86"/>
        <v>726.4</v>
      </c>
      <c r="BQ26" s="889">
        <f t="shared" si="87"/>
        <v>982.53</v>
      </c>
      <c r="BR26" s="889">
        <f t="shared" si="88"/>
        <v>879.93</v>
      </c>
      <c r="BS26" s="889">
        <f t="shared" si="89"/>
        <v>1016.73</v>
      </c>
      <c r="BT26" s="889">
        <f t="shared" si="90"/>
        <v>1122.04</v>
      </c>
      <c r="BU26" s="889">
        <f t="shared" si="91"/>
        <v>607.4</v>
      </c>
      <c r="BV26" s="889">
        <f t="shared" si="92"/>
        <v>676.59</v>
      </c>
      <c r="BW26" s="889">
        <f t="shared" si="93"/>
        <v>602.25000000000011</v>
      </c>
      <c r="BX26" s="889">
        <f t="shared" si="94"/>
        <v>701.37</v>
      </c>
      <c r="BY26" s="889">
        <f t="shared" si="95"/>
        <v>792.34</v>
      </c>
    </row>
    <row r="27" spans="1:77">
      <c r="A27" s="828"/>
      <c r="B27" s="420" t="s">
        <v>882</v>
      </c>
      <c r="C27" s="987"/>
      <c r="D27" s="1206">
        <f>$E$52</f>
        <v>0.91</v>
      </c>
      <c r="E27" s="3" t="s">
        <v>883</v>
      </c>
      <c r="F27" s="987"/>
      <c r="G27" s="1214">
        <v>58.701599999999999</v>
      </c>
      <c r="H27" s="900">
        <v>116630.92800000001</v>
      </c>
      <c r="I27" s="900">
        <v>197349.81300000002</v>
      </c>
      <c r="J27" s="900">
        <v>74571.12000000001</v>
      </c>
      <c r="K27" s="900">
        <v>9365.1</v>
      </c>
      <c r="L27" s="900">
        <v>58154.890200000002</v>
      </c>
      <c r="M27" s="900">
        <v>19929.816300000002</v>
      </c>
      <c r="N27" s="900">
        <v>6345.9944999999998</v>
      </c>
      <c r="O27" s="793"/>
      <c r="P27" s="1210">
        <f t="shared" si="56"/>
        <v>64.50725274725275</v>
      </c>
      <c r="Q27" s="902">
        <f t="shared" si="57"/>
        <v>128165.85494505496</v>
      </c>
      <c r="R27" s="902">
        <f t="shared" si="58"/>
        <v>216867.9263736264</v>
      </c>
      <c r="S27" s="902">
        <f t="shared" si="59"/>
        <v>81946.285714285725</v>
      </c>
      <c r="T27" s="902">
        <f t="shared" si="60"/>
        <v>10291.318681318682</v>
      </c>
      <c r="U27" s="902">
        <f t="shared" si="61"/>
        <v>63906.472747252745</v>
      </c>
      <c r="V27" s="902">
        <f t="shared" si="62"/>
        <v>21900.897032967034</v>
      </c>
      <c r="W27" s="902">
        <f t="shared" si="63"/>
        <v>6973.6203296703288</v>
      </c>
      <c r="X27" s="793"/>
      <c r="Y27" s="888">
        <f t="shared" si="64"/>
        <v>0.63937688980747887</v>
      </c>
      <c r="Z27" s="888">
        <f t="shared" si="65"/>
        <v>3.2717822893329935</v>
      </c>
      <c r="AA27" s="888">
        <f t="shared" si="66"/>
        <v>0.37786263319134739</v>
      </c>
      <c r="AB27" s="888">
        <f t="shared" si="67"/>
        <v>0.33040831916065716</v>
      </c>
      <c r="AC27" s="793"/>
      <c r="AD27" s="888">
        <f t="shared" si="68"/>
        <v>3.5045370657088006</v>
      </c>
      <c r="AE27" s="888">
        <f t="shared" si="69"/>
        <v>3.5619655895929503</v>
      </c>
      <c r="AF27" s="888">
        <f t="shared" si="70"/>
        <v>3.3935205160098474</v>
      </c>
      <c r="AG27" s="888">
        <f t="shared" si="71"/>
        <v>3.2043479836554232</v>
      </c>
      <c r="AH27" s="888">
        <f t="shared" si="72"/>
        <v>10.439981108033514</v>
      </c>
      <c r="AI27" s="888">
        <f t="shared" si="73"/>
        <v>11.859416653160682</v>
      </c>
      <c r="AJ27" s="888">
        <f t="shared" si="74"/>
        <v>9.902239440109641</v>
      </c>
      <c r="AK27" s="888">
        <f t="shared" si="75"/>
        <v>9.1252369419608304</v>
      </c>
      <c r="AL27" s="888">
        <f t="shared" si="76"/>
        <v>20.79795684837228</v>
      </c>
      <c r="AM27" s="888">
        <f t="shared" si="77"/>
        <v>19.92842841252185</v>
      </c>
      <c r="AN27" s="888">
        <f t="shared" si="78"/>
        <v>18.378668308016973</v>
      </c>
      <c r="AO27" s="888">
        <f t="shared" si="79"/>
        <v>15.421456810314616</v>
      </c>
      <c r="AP27" s="793"/>
      <c r="AQ27" s="1202">
        <f t="shared" si="80"/>
        <v>0.34270232875446133</v>
      </c>
      <c r="AR27" s="793"/>
      <c r="AS27" s="897">
        <v>1.07</v>
      </c>
      <c r="AT27" s="991"/>
      <c r="AU27" s="1197">
        <v>55404.75</v>
      </c>
      <c r="AV27" s="1197">
        <v>58154.890200000002</v>
      </c>
      <c r="AW27" s="1197">
        <v>56312.662500000006</v>
      </c>
      <c r="AX27" s="1197">
        <v>58768.969200000007</v>
      </c>
      <c r="AY27" s="1197">
        <v>61588.134000000005</v>
      </c>
      <c r="AZ27" s="1197">
        <v>16640.769</v>
      </c>
      <c r="BA27" s="1197">
        <v>19929.816300000002</v>
      </c>
      <c r="BB27" s="1197">
        <v>18903.273000000001</v>
      </c>
      <c r="BC27" s="1197">
        <v>20272.000499999998</v>
      </c>
      <c r="BD27" s="1197">
        <v>21626.815200000001</v>
      </c>
      <c r="BE27" s="1197">
        <v>5852.4900000000007</v>
      </c>
      <c r="BF27" s="1197">
        <v>6345.9944999999998</v>
      </c>
      <c r="BG27" s="1197">
        <v>5607.8069999999998</v>
      </c>
      <c r="BH27" s="1197">
        <v>6592.0538999999999</v>
      </c>
      <c r="BI27" s="1197">
        <v>7562.8995000000004</v>
      </c>
      <c r="BJ27" s="793"/>
      <c r="BK27" s="889">
        <f t="shared" si="81"/>
        <v>60884.340659340654</v>
      </c>
      <c r="BL27" s="889">
        <f t="shared" si="82"/>
        <v>63906.472747252745</v>
      </c>
      <c r="BM27" s="889">
        <f t="shared" si="83"/>
        <v>61882.046703296706</v>
      </c>
      <c r="BN27" s="889">
        <f t="shared" si="84"/>
        <v>64581.284835164843</v>
      </c>
      <c r="BO27" s="889">
        <f t="shared" si="85"/>
        <v>67679.268131868143</v>
      </c>
      <c r="BP27" s="889">
        <f t="shared" si="86"/>
        <v>18286.55934065934</v>
      </c>
      <c r="BQ27" s="889">
        <f t="shared" si="87"/>
        <v>21900.897032967034</v>
      </c>
      <c r="BR27" s="889">
        <f t="shared" si="88"/>
        <v>20772.827472527471</v>
      </c>
      <c r="BS27" s="889">
        <f t="shared" si="89"/>
        <v>22276.923626373624</v>
      </c>
      <c r="BT27" s="889">
        <f t="shared" si="90"/>
        <v>23765.73098901099</v>
      </c>
      <c r="BU27" s="889">
        <f t="shared" si="91"/>
        <v>6431.3076923076933</v>
      </c>
      <c r="BV27" s="889">
        <f t="shared" si="92"/>
        <v>6973.6203296703288</v>
      </c>
      <c r="BW27" s="889">
        <f t="shared" si="93"/>
        <v>6162.425274725274</v>
      </c>
      <c r="BX27" s="889">
        <f t="shared" si="94"/>
        <v>7244.0152747252741</v>
      </c>
      <c r="BY27" s="889">
        <f t="shared" si="95"/>
        <v>8310.8785714285714</v>
      </c>
    </row>
    <row r="28" spans="1:77">
      <c r="A28" s="828"/>
      <c r="B28" s="420" t="s">
        <v>884</v>
      </c>
      <c r="C28" s="987"/>
      <c r="D28" s="1206">
        <f>$E$50</f>
        <v>7.81</v>
      </c>
      <c r="E28" s="3" t="s">
        <v>885</v>
      </c>
      <c r="F28" s="987"/>
      <c r="G28" s="1214">
        <v>12.964599999999999</v>
      </c>
      <c r="H28" s="900">
        <v>171012.44599999997</v>
      </c>
      <c r="I28" s="900">
        <v>155140.18299999999</v>
      </c>
      <c r="J28" s="900">
        <v>1749.4399999999998</v>
      </c>
      <c r="K28" s="900">
        <v>19196.98</v>
      </c>
      <c r="L28" s="900">
        <v>57602.576899999993</v>
      </c>
      <c r="M28" s="900">
        <v>18006.423599999998</v>
      </c>
      <c r="N28" s="900">
        <v>8790.1549999999988</v>
      </c>
      <c r="O28" s="793"/>
      <c r="P28" s="1210">
        <f t="shared" si="56"/>
        <v>1.66</v>
      </c>
      <c r="Q28" s="902">
        <f t="shared" si="57"/>
        <v>21896.6</v>
      </c>
      <c r="R28" s="902">
        <f t="shared" si="58"/>
        <v>19864.3</v>
      </c>
      <c r="S28" s="902">
        <f t="shared" si="59"/>
        <v>224</v>
      </c>
      <c r="T28" s="902">
        <f t="shared" si="60"/>
        <v>2458</v>
      </c>
      <c r="U28" s="902">
        <f t="shared" si="61"/>
        <v>7375.49</v>
      </c>
      <c r="V28" s="902">
        <f t="shared" si="62"/>
        <v>2305.56</v>
      </c>
      <c r="W28" s="902">
        <f t="shared" si="63"/>
        <v>1125.5</v>
      </c>
      <c r="X28" s="793"/>
      <c r="Y28" s="888">
        <f t="shared" si="64"/>
        <v>1.0229898705735138E-2</v>
      </c>
      <c r="Z28" s="888">
        <f t="shared" si="65"/>
        <v>-0.96896198754315654</v>
      </c>
      <c r="AA28" s="888">
        <f t="shared" si="66"/>
        <v>1.1276511128003505E-2</v>
      </c>
      <c r="AB28" s="888">
        <f t="shared" si="67"/>
        <v>-0.11246306187482066</v>
      </c>
      <c r="AC28" s="793"/>
      <c r="AD28" s="888">
        <f t="shared" si="68"/>
        <v>2.8685448246681888</v>
      </c>
      <c r="AE28" s="888">
        <f t="shared" si="69"/>
        <v>2.9524821640903682</v>
      </c>
      <c r="AF28" s="888">
        <f t="shared" si="70"/>
        <v>2.6932854630675389</v>
      </c>
      <c r="AG28" s="888">
        <f t="shared" si="71"/>
        <v>2.4590860023372354</v>
      </c>
      <c r="AH28" s="888">
        <f t="shared" si="72"/>
        <v>9.5053138802092061</v>
      </c>
      <c r="AI28" s="888">
        <f t="shared" si="73"/>
        <v>11.000276885590875</v>
      </c>
      <c r="AJ28" s="888">
        <f t="shared" si="74"/>
        <v>8.6158243550373879</v>
      </c>
      <c r="AK28" s="888">
        <f t="shared" si="75"/>
        <v>7.5597206629497844</v>
      </c>
      <c r="AL28" s="888">
        <f t="shared" si="76"/>
        <v>22.529915936988751</v>
      </c>
      <c r="AM28" s="888">
        <f t="shared" si="77"/>
        <v>25.37265353418308</v>
      </c>
      <c r="AN28" s="888">
        <f t="shared" si="78"/>
        <v>19.454997778764991</v>
      </c>
      <c r="AO28" s="888">
        <f t="shared" si="79"/>
        <v>16.329047846319053</v>
      </c>
      <c r="AP28" s="793"/>
      <c r="AQ28" s="1202">
        <f t="shared" si="80"/>
        <v>0.31259753589253053</v>
      </c>
      <c r="AR28" s="793"/>
      <c r="AS28" s="897">
        <v>0.64</v>
      </c>
      <c r="AT28" s="991"/>
      <c r="AU28" s="1197">
        <v>52545.68</v>
      </c>
      <c r="AV28" s="1197">
        <v>57602.576899999993</v>
      </c>
      <c r="AW28" s="1197">
        <v>54083.234699999994</v>
      </c>
      <c r="AX28" s="1197">
        <v>58775.716999999997</v>
      </c>
      <c r="AY28" s="1197">
        <v>63088.555199999995</v>
      </c>
      <c r="AZ28" s="1197">
        <v>14103.297999999999</v>
      </c>
      <c r="BA28" s="1197">
        <v>18006.423599999998</v>
      </c>
      <c r="BB28" s="1197">
        <v>16321.416099999999</v>
      </c>
      <c r="BC28" s="1197">
        <v>18568.1188</v>
      </c>
      <c r="BD28" s="1197">
        <v>20521.946499999998</v>
      </c>
      <c r="BE28" s="1197">
        <v>6740.03</v>
      </c>
      <c r="BF28" s="1197">
        <v>8790.1549999999988</v>
      </c>
      <c r="BG28" s="1197">
        <v>7590.4608999999991</v>
      </c>
      <c r="BH28" s="1197">
        <v>9190.027</v>
      </c>
      <c r="BI28" s="1197">
        <v>10472.8976</v>
      </c>
      <c r="BJ28" s="793"/>
      <c r="BK28" s="889">
        <f t="shared" si="81"/>
        <v>6728</v>
      </c>
      <c r="BL28" s="889">
        <f t="shared" si="82"/>
        <v>7375.49</v>
      </c>
      <c r="BM28" s="889">
        <f t="shared" si="83"/>
        <v>6924.87</v>
      </c>
      <c r="BN28" s="889">
        <f t="shared" si="84"/>
        <v>7525.7</v>
      </c>
      <c r="BO28" s="889">
        <f t="shared" si="85"/>
        <v>8077.92</v>
      </c>
      <c r="BP28" s="889">
        <f t="shared" si="86"/>
        <v>1805.8</v>
      </c>
      <c r="BQ28" s="889">
        <f t="shared" si="87"/>
        <v>2305.56</v>
      </c>
      <c r="BR28" s="889">
        <f t="shared" si="88"/>
        <v>2089.81</v>
      </c>
      <c r="BS28" s="889">
        <f t="shared" si="89"/>
        <v>2377.48</v>
      </c>
      <c r="BT28" s="889">
        <f t="shared" si="90"/>
        <v>2627.65</v>
      </c>
      <c r="BU28" s="889">
        <f t="shared" si="91"/>
        <v>863</v>
      </c>
      <c r="BV28" s="889">
        <f t="shared" si="92"/>
        <v>1125.5</v>
      </c>
      <c r="BW28" s="889">
        <f t="shared" si="93"/>
        <v>971.89</v>
      </c>
      <c r="BX28" s="889">
        <f t="shared" si="94"/>
        <v>1176.7</v>
      </c>
      <c r="BY28" s="889">
        <f t="shared" si="95"/>
        <v>1340.96</v>
      </c>
    </row>
    <row r="29" spans="1:77">
      <c r="A29" s="828"/>
      <c r="B29" s="420" t="s">
        <v>886</v>
      </c>
      <c r="C29" s="987"/>
      <c r="D29" s="1206">
        <f>E57</f>
        <v>4.87</v>
      </c>
      <c r="E29" s="3" t="s">
        <v>887</v>
      </c>
      <c r="F29" s="987"/>
      <c r="G29" s="1214">
        <v>14.296999999999999</v>
      </c>
      <c r="H29" s="900">
        <v>225344.38399999999</v>
      </c>
      <c r="I29" s="900">
        <v>212722.59799999997</v>
      </c>
      <c r="J29" s="900">
        <v>3846.8789999999995</v>
      </c>
      <c r="K29" s="900">
        <v>15388.107599999999</v>
      </c>
      <c r="L29" s="900">
        <v>86046.100099999996</v>
      </c>
      <c r="M29" s="900">
        <v>26844.786699999997</v>
      </c>
      <c r="N29" s="900">
        <v>14499.623</v>
      </c>
      <c r="O29" s="793"/>
      <c r="P29" s="1210">
        <f t="shared" si="56"/>
        <v>2.9357289527720738</v>
      </c>
      <c r="Q29" s="902">
        <f t="shared" si="57"/>
        <v>46271.947433264882</v>
      </c>
      <c r="R29" s="902">
        <f t="shared" si="58"/>
        <v>43680.20492813141</v>
      </c>
      <c r="S29" s="902">
        <f t="shared" si="59"/>
        <v>789.91355236139623</v>
      </c>
      <c r="T29" s="902">
        <f t="shared" si="60"/>
        <v>3159.77568788501</v>
      </c>
      <c r="U29" s="902">
        <f t="shared" si="61"/>
        <v>17668.603716632442</v>
      </c>
      <c r="V29" s="902">
        <f t="shared" si="62"/>
        <v>5512.2765297741262</v>
      </c>
      <c r="W29" s="902">
        <f t="shared" si="63"/>
        <v>2977.3353182751539</v>
      </c>
      <c r="X29" s="793"/>
      <c r="Y29" s="888">
        <f t="shared" si="64"/>
        <v>1.7071111033324E-2</v>
      </c>
      <c r="Z29" s="888">
        <f t="shared" si="65"/>
        <v>-0.42992439198632193</v>
      </c>
      <c r="AA29" s="888">
        <f t="shared" si="66"/>
        <v>1.8084016630898803E-2</v>
      </c>
      <c r="AB29" s="888">
        <f t="shared" si="67"/>
        <v>-5.4254830979452405E-2</v>
      </c>
      <c r="AC29" s="793"/>
      <c r="AD29" s="888">
        <f t="shared" si="68"/>
        <v>2.5562996613607658</v>
      </c>
      <c r="AE29" s="888">
        <f t="shared" si="69"/>
        <v>2.5791153616258216</v>
      </c>
      <c r="AF29" s="888">
        <f t="shared" si="70"/>
        <v>2.4721933678897781</v>
      </c>
      <c r="AG29" s="888">
        <f t="shared" si="71"/>
        <v>2.2894840030711388</v>
      </c>
      <c r="AH29" s="888">
        <f t="shared" si="72"/>
        <v>8.2456224165903862</v>
      </c>
      <c r="AI29" s="888">
        <f t="shared" si="73"/>
        <v>9.1934631610346447</v>
      </c>
      <c r="AJ29" s="888">
        <f t="shared" si="74"/>
        <v>7.924167935370483</v>
      </c>
      <c r="AK29" s="888">
        <f t="shared" si="75"/>
        <v>7.0748399706175551</v>
      </c>
      <c r="AL29" s="888">
        <f t="shared" si="76"/>
        <v>15.782716936049141</v>
      </c>
      <c r="AM29" s="888">
        <f t="shared" si="77"/>
        <v>14.935075967979088</v>
      </c>
      <c r="AN29" s="888">
        <f t="shared" si="78"/>
        <v>15.541396076297984</v>
      </c>
      <c r="AO29" s="888">
        <f t="shared" si="79"/>
        <v>13.367022272131761</v>
      </c>
      <c r="AP29" s="793"/>
      <c r="AQ29" s="1202">
        <f t="shared" si="80"/>
        <v>0.31198144562974789</v>
      </c>
      <c r="AR29" s="793"/>
      <c r="AS29" s="897">
        <v>0.61</v>
      </c>
      <c r="AT29" s="991"/>
      <c r="AU29" s="1197">
        <v>82478.899999999994</v>
      </c>
      <c r="AV29" s="1197">
        <v>86046.100099999996</v>
      </c>
      <c r="AW29" s="1197">
        <v>83215.047599999991</v>
      </c>
      <c r="AX29" s="1197">
        <v>87588.992899999983</v>
      </c>
      <c r="AY29" s="1197">
        <v>92912.899899999989</v>
      </c>
      <c r="AZ29" s="1197">
        <v>23138.461999999996</v>
      </c>
      <c r="BA29" s="1197">
        <v>26844.786699999997</v>
      </c>
      <c r="BB29" s="1197">
        <v>25798.246299999999</v>
      </c>
      <c r="BC29" s="1197">
        <v>28475.581399999995</v>
      </c>
      <c r="BD29" s="1197">
        <v>30067.4784</v>
      </c>
      <c r="BE29" s="1197">
        <v>15088.264999999999</v>
      </c>
      <c r="BF29" s="1197">
        <v>14499.623</v>
      </c>
      <c r="BG29" s="1197">
        <v>14277.920899999999</v>
      </c>
      <c r="BH29" s="1197">
        <v>15594.082999999999</v>
      </c>
      <c r="BI29" s="1197">
        <v>16858.2336</v>
      </c>
      <c r="BJ29" s="793"/>
      <c r="BK29" s="889">
        <f t="shared" si="81"/>
        <v>16936.119096509239</v>
      </c>
      <c r="BL29" s="889">
        <f t="shared" si="82"/>
        <v>17668.603716632442</v>
      </c>
      <c r="BM29" s="889">
        <f t="shared" si="83"/>
        <v>17087.278767967142</v>
      </c>
      <c r="BN29" s="889">
        <f t="shared" si="84"/>
        <v>17985.419486652972</v>
      </c>
      <c r="BO29" s="889">
        <f t="shared" si="85"/>
        <v>19078.624209445581</v>
      </c>
      <c r="BP29" s="889">
        <f t="shared" si="86"/>
        <v>4751.2242299794652</v>
      </c>
      <c r="BQ29" s="889">
        <f t="shared" si="87"/>
        <v>5512.2765297741262</v>
      </c>
      <c r="BR29" s="889">
        <f t="shared" si="88"/>
        <v>5297.3811704312111</v>
      </c>
      <c r="BS29" s="889">
        <f t="shared" si="89"/>
        <v>5847.1419712525658</v>
      </c>
      <c r="BT29" s="889">
        <f t="shared" si="90"/>
        <v>6174.0202053388093</v>
      </c>
      <c r="BU29" s="889">
        <f t="shared" si="91"/>
        <v>3098.2063655030797</v>
      </c>
      <c r="BV29" s="889">
        <f t="shared" si="92"/>
        <v>2977.3353182751539</v>
      </c>
      <c r="BW29" s="889">
        <f t="shared" si="93"/>
        <v>2931.8112731006158</v>
      </c>
      <c r="BX29" s="889">
        <f t="shared" si="94"/>
        <v>3202.0704312114985</v>
      </c>
      <c r="BY29" s="889">
        <f t="shared" si="95"/>
        <v>3461.6496098562625</v>
      </c>
    </row>
    <row r="30" spans="1:77">
      <c r="A30" s="828"/>
      <c r="B30" s="420" t="s">
        <v>888</v>
      </c>
      <c r="C30" s="987"/>
      <c r="D30" s="1206">
        <f>$E$53</f>
        <v>144.63999999999999</v>
      </c>
      <c r="E30" s="3" t="s">
        <v>889</v>
      </c>
      <c r="F30" s="987"/>
      <c r="G30" s="1214">
        <v>2103.6576</v>
      </c>
      <c r="H30" s="900">
        <v>1703716.3599999999</v>
      </c>
      <c r="I30" s="900">
        <v>2572822.5039999997</v>
      </c>
      <c r="J30" s="900">
        <v>523915.05599999998</v>
      </c>
      <c r="K30" s="900">
        <v>96581.354399999997</v>
      </c>
      <c r="L30" s="900">
        <v>2133959.2519999999</v>
      </c>
      <c r="M30" s="900">
        <v>291699.94319999998</v>
      </c>
      <c r="N30" s="1197">
        <v>0</v>
      </c>
      <c r="O30" s="793"/>
      <c r="P30" s="1210">
        <f t="shared" si="56"/>
        <v>14.544092920353984</v>
      </c>
      <c r="Q30" s="902">
        <f t="shared" si="57"/>
        <v>11779.012444690266</v>
      </c>
      <c r="R30" s="902">
        <f t="shared" si="58"/>
        <v>17787.766205752214</v>
      </c>
      <c r="S30" s="902">
        <f t="shared" si="59"/>
        <v>3622.2003318584075</v>
      </c>
      <c r="T30" s="902">
        <f t="shared" si="60"/>
        <v>667.73613384955752</v>
      </c>
      <c r="U30" s="902">
        <f t="shared" si="61"/>
        <v>14753.589961283185</v>
      </c>
      <c r="V30" s="902">
        <f t="shared" si="62"/>
        <v>2016.7308019911504</v>
      </c>
      <c r="W30" s="1199">
        <f t="shared" si="63"/>
        <v>0</v>
      </c>
      <c r="X30" s="793"/>
      <c r="Y30" s="888">
        <f t="shared" si="64"/>
        <v>0.30751307453548193</v>
      </c>
      <c r="Z30" s="888">
        <f t="shared" si="65"/>
        <v>1.46497697912476</v>
      </c>
      <c r="AA30" s="888">
        <f t="shared" si="66"/>
        <v>0.20363435689227011</v>
      </c>
      <c r="AB30" s="888">
        <f t="shared" si="67"/>
        <v>0.1660952906528215</v>
      </c>
      <c r="AC30" s="793"/>
      <c r="AD30" s="888">
        <f t="shared" si="68"/>
        <v>1.2279444965740802</v>
      </c>
      <c r="AE30" s="888">
        <f t="shared" si="69"/>
        <v>1.2349562230088249</v>
      </c>
      <c r="AF30" s="888">
        <f t="shared" si="70"/>
        <v>1.2056568097955414</v>
      </c>
      <c r="AG30" s="888">
        <f t="shared" si="71"/>
        <v>1.1754103905370403</v>
      </c>
      <c r="AH30" s="888">
        <f t="shared" si="72"/>
        <v>9.3376275107792619</v>
      </c>
      <c r="AI30" s="888">
        <f t="shared" si="73"/>
        <v>10.988367056494029</v>
      </c>
      <c r="AJ30" s="888">
        <f t="shared" si="74"/>
        <v>8.8200994342874459</v>
      </c>
      <c r="AK30" s="888">
        <f t="shared" si="75"/>
        <v>8.2402045399706747</v>
      </c>
      <c r="AL30" s="888" t="str">
        <f t="shared" si="76"/>
        <v>n.m.</v>
      </c>
      <c r="AM30" s="888">
        <f t="shared" si="77"/>
        <v>25.828025477707005</v>
      </c>
      <c r="AN30" s="888" t="str">
        <f t="shared" si="78"/>
        <v>n.m.</v>
      </c>
      <c r="AO30" s="888" t="str">
        <f t="shared" si="79"/>
        <v>n.m.</v>
      </c>
      <c r="AP30" s="793"/>
      <c r="AQ30" s="1202">
        <f t="shared" si="80"/>
        <v>0.13669424236972263</v>
      </c>
      <c r="AR30" s="793"/>
      <c r="AS30" s="897">
        <v>0.4</v>
      </c>
      <c r="AT30" s="991"/>
      <c r="AU30" s="1197">
        <v>2083330.936</v>
      </c>
      <c r="AV30" s="1197">
        <v>2133959.2519999999</v>
      </c>
      <c r="AW30" s="1197">
        <v>2095227.0327999999</v>
      </c>
      <c r="AX30" s="1197">
        <v>2146869.5088</v>
      </c>
      <c r="AY30" s="1197">
        <v>2188871.6696000001</v>
      </c>
      <c r="AZ30" s="1197">
        <v>234140.56799999997</v>
      </c>
      <c r="BA30" s="1197">
        <v>291699.94319999998</v>
      </c>
      <c r="BB30" s="1197">
        <v>275532.78399999999</v>
      </c>
      <c r="BC30" s="1197">
        <v>297089.4792</v>
      </c>
      <c r="BD30" s="1197">
        <v>312227.99039999995</v>
      </c>
      <c r="BE30" s="1197">
        <v>65963.864000000001</v>
      </c>
      <c r="BF30" s="1197">
        <v>0</v>
      </c>
      <c r="BG30" s="1197">
        <v>0</v>
      </c>
      <c r="BH30" s="1197">
        <v>0</v>
      </c>
      <c r="BI30" s="1197">
        <v>0</v>
      </c>
      <c r="BJ30" s="793"/>
      <c r="BK30" s="889">
        <f t="shared" si="81"/>
        <v>14403.560121681418</v>
      </c>
      <c r="BL30" s="889">
        <f t="shared" si="82"/>
        <v>14753.589961283185</v>
      </c>
      <c r="BM30" s="889">
        <f t="shared" si="83"/>
        <v>14485.806366150444</v>
      </c>
      <c r="BN30" s="889">
        <f t="shared" si="84"/>
        <v>14842.847820796462</v>
      </c>
      <c r="BO30" s="889">
        <f t="shared" si="85"/>
        <v>15133.238866150445</v>
      </c>
      <c r="BP30" s="889">
        <f t="shared" si="86"/>
        <v>1618.781581858407</v>
      </c>
      <c r="BQ30" s="889">
        <f t="shared" si="87"/>
        <v>2016.7308019911504</v>
      </c>
      <c r="BR30" s="889">
        <f t="shared" si="88"/>
        <v>1904.9556415929205</v>
      </c>
      <c r="BS30" s="889">
        <f t="shared" si="89"/>
        <v>2053.9925276548674</v>
      </c>
      <c r="BT30" s="889">
        <f t="shared" si="90"/>
        <v>2158.6559070796461</v>
      </c>
      <c r="BU30" s="889">
        <f t="shared" si="91"/>
        <v>456.05547566371689</v>
      </c>
      <c r="BV30" s="889">
        <f t="shared" si="92"/>
        <v>0</v>
      </c>
      <c r="BW30" s="889">
        <f t="shared" si="93"/>
        <v>0</v>
      </c>
      <c r="BX30" s="889">
        <f t="shared" si="94"/>
        <v>0</v>
      </c>
      <c r="BY30" s="889">
        <f t="shared" si="95"/>
        <v>0</v>
      </c>
    </row>
    <row r="31" spans="1:77">
      <c r="A31" s="828"/>
      <c r="B31" s="420" t="s">
        <v>890</v>
      </c>
      <c r="C31" s="987"/>
      <c r="D31" s="1206">
        <f>$E$53</f>
        <v>144.63999999999999</v>
      </c>
      <c r="E31" s="3" t="s">
        <v>891</v>
      </c>
      <c r="F31" s="987"/>
      <c r="G31" s="1214">
        <v>5890.8207999999995</v>
      </c>
      <c r="H31" s="900">
        <v>458892.91200000001</v>
      </c>
      <c r="I31" s="900">
        <v>689396.99199999997</v>
      </c>
      <c r="J31" s="900">
        <v>263594.67200000002</v>
      </c>
      <c r="K31" s="900">
        <v>23870.428799999998</v>
      </c>
      <c r="L31" s="900">
        <v>506239.69599999994</v>
      </c>
      <c r="M31" s="900">
        <v>38714.833600000005</v>
      </c>
      <c r="N31" s="1197">
        <v>0</v>
      </c>
      <c r="O31" s="793"/>
      <c r="P31" s="1210">
        <f t="shared" si="56"/>
        <v>40.727466814159293</v>
      </c>
      <c r="Q31" s="902">
        <f t="shared" si="57"/>
        <v>3172.6556415929208</v>
      </c>
      <c r="R31" s="902">
        <f t="shared" si="58"/>
        <v>4766.2955752212392</v>
      </c>
      <c r="S31" s="902">
        <f t="shared" si="59"/>
        <v>1822.4189159292039</v>
      </c>
      <c r="T31" s="902">
        <f t="shared" si="60"/>
        <v>165.03338495575221</v>
      </c>
      <c r="U31" s="902">
        <f t="shared" si="61"/>
        <v>3499.9978982300886</v>
      </c>
      <c r="V31" s="902">
        <f t="shared" si="62"/>
        <v>267.6633960176992</v>
      </c>
      <c r="W31" s="1199">
        <f t="shared" si="63"/>
        <v>0</v>
      </c>
      <c r="X31" s="793"/>
      <c r="Y31" s="888">
        <f t="shared" si="64"/>
        <v>0.57441434615141762</v>
      </c>
      <c r="Z31" s="888">
        <f t="shared" si="65"/>
        <v>6.1920514931517099</v>
      </c>
      <c r="AA31" s="888">
        <f t="shared" si="66"/>
        <v>0.38235541358439817</v>
      </c>
      <c r="AB31" s="888">
        <f t="shared" si="67"/>
        <v>0.34773032952252864</v>
      </c>
      <c r="AC31" s="793"/>
      <c r="AD31" s="888">
        <f t="shared" si="68"/>
        <v>1.3796222738949164</v>
      </c>
      <c r="AE31" s="888">
        <f t="shared" si="69"/>
        <v>1.3487528344671202</v>
      </c>
      <c r="AF31" s="888">
        <f t="shared" si="70"/>
        <v>1.3617995535458762</v>
      </c>
      <c r="AG31" s="888">
        <f t="shared" si="71"/>
        <v>1.3393492964644489</v>
      </c>
      <c r="AH31" s="888">
        <f t="shared" si="72"/>
        <v>21.027884572893189</v>
      </c>
      <c r="AI31" s="888">
        <f t="shared" si="73"/>
        <v>21.492321589882565</v>
      </c>
      <c r="AJ31" s="888">
        <f t="shared" si="74"/>
        <v>17.80705037048125</v>
      </c>
      <c r="AK31" s="888">
        <f t="shared" si="75"/>
        <v>15.965642195678432</v>
      </c>
      <c r="AL31" s="888" t="str">
        <f t="shared" si="76"/>
        <v>n.m.</v>
      </c>
      <c r="AM31" s="888">
        <f t="shared" si="77"/>
        <v>142.67567567567568</v>
      </c>
      <c r="AN31" s="888" t="str">
        <f t="shared" si="78"/>
        <v>n.m.</v>
      </c>
      <c r="AO31" s="888" t="str">
        <f t="shared" si="79"/>
        <v>n.m.</v>
      </c>
      <c r="AP31" s="793"/>
      <c r="AQ31" s="1202">
        <f t="shared" si="80"/>
        <v>7.6475301928910791E-2</v>
      </c>
      <c r="AR31" s="793"/>
      <c r="AS31" s="897">
        <v>0.27</v>
      </c>
      <c r="AT31" s="991"/>
      <c r="AU31" s="1197">
        <v>511136.63999999996</v>
      </c>
      <c r="AV31" s="1197">
        <v>506239.69599999994</v>
      </c>
      <c r="AW31" s="1197">
        <v>499699.81279999996</v>
      </c>
      <c r="AX31" s="1197">
        <v>508418.69119999994</v>
      </c>
      <c r="AY31" s="1197">
        <v>514725.31760000001</v>
      </c>
      <c r="AZ31" s="1197">
        <v>32076.432000000001</v>
      </c>
      <c r="BA31" s="1197">
        <v>38714.833600000005</v>
      </c>
      <c r="BB31" s="1197">
        <v>32784.895199999999</v>
      </c>
      <c r="BC31" s="1197">
        <v>40692.445599999999</v>
      </c>
      <c r="BD31" s="1197">
        <v>43180.035199999998</v>
      </c>
      <c r="BE31" s="1197">
        <v>3216.3359999999998</v>
      </c>
      <c r="BF31" s="1197">
        <v>0</v>
      </c>
      <c r="BG31" s="1197">
        <v>0</v>
      </c>
      <c r="BH31" s="1197">
        <v>0</v>
      </c>
      <c r="BI31" s="1197">
        <v>0</v>
      </c>
      <c r="BJ31" s="793"/>
      <c r="BK31" s="889">
        <f t="shared" si="81"/>
        <v>3533.853982300885</v>
      </c>
      <c r="BL31" s="889">
        <f t="shared" si="82"/>
        <v>3499.9978982300886</v>
      </c>
      <c r="BM31" s="889">
        <f t="shared" si="83"/>
        <v>3454.7829977876108</v>
      </c>
      <c r="BN31" s="889">
        <f t="shared" si="84"/>
        <v>3515.062853982301</v>
      </c>
      <c r="BO31" s="889">
        <f t="shared" si="85"/>
        <v>3558.6650829646023</v>
      </c>
      <c r="BP31" s="889">
        <f t="shared" si="86"/>
        <v>221.76736725663719</v>
      </c>
      <c r="BQ31" s="889">
        <f t="shared" si="87"/>
        <v>267.6633960176992</v>
      </c>
      <c r="BR31" s="889">
        <f t="shared" si="88"/>
        <v>226.66548119469027</v>
      </c>
      <c r="BS31" s="889">
        <f t="shared" si="89"/>
        <v>281.33604535398234</v>
      </c>
      <c r="BT31" s="889">
        <f t="shared" si="90"/>
        <v>298.5345353982301</v>
      </c>
      <c r="BU31" s="889">
        <f t="shared" si="91"/>
        <v>22.236836283185841</v>
      </c>
      <c r="BV31" s="889">
        <f t="shared" si="92"/>
        <v>0</v>
      </c>
      <c r="BW31" s="889">
        <f t="shared" si="93"/>
        <v>0</v>
      </c>
      <c r="BX31" s="889">
        <f t="shared" si="94"/>
        <v>0</v>
      </c>
      <c r="BY31" s="889">
        <f t="shared" si="95"/>
        <v>0</v>
      </c>
    </row>
    <row r="32" spans="1:77">
      <c r="A32" s="828"/>
      <c r="B32" s="420" t="s">
        <v>892</v>
      </c>
      <c r="C32" s="987"/>
      <c r="D32" s="1206">
        <f>$E$53</f>
        <v>144.63999999999999</v>
      </c>
      <c r="E32" s="3" t="s">
        <v>893</v>
      </c>
      <c r="F32" s="987"/>
      <c r="G32" s="1214">
        <v>5473.5663999999997</v>
      </c>
      <c r="H32" s="900">
        <v>2773206.0320000001</v>
      </c>
      <c r="I32" s="900">
        <v>4198651.3760000002</v>
      </c>
      <c r="J32" s="900">
        <v>1499580.44</v>
      </c>
      <c r="K32" s="900">
        <v>47538.025600000001</v>
      </c>
      <c r="L32" s="900">
        <v>2774156.4447999997</v>
      </c>
      <c r="M32" s="900">
        <v>410688.43839999998</v>
      </c>
      <c r="N32" s="1197">
        <v>0</v>
      </c>
      <c r="O32" s="793"/>
      <c r="P32" s="1210">
        <f t="shared" si="56"/>
        <v>37.842688053097348</v>
      </c>
      <c r="Q32" s="902">
        <f t="shared" si="57"/>
        <v>19173.161172566375</v>
      </c>
      <c r="R32" s="902">
        <f t="shared" si="58"/>
        <v>29028.286615044253</v>
      </c>
      <c r="S32" s="902">
        <f t="shared" si="59"/>
        <v>10367.674502212391</v>
      </c>
      <c r="T32" s="902">
        <f t="shared" si="60"/>
        <v>328.6644469026549</v>
      </c>
      <c r="U32" s="902">
        <f t="shared" si="61"/>
        <v>19179.732057522124</v>
      </c>
      <c r="V32" s="902">
        <f t="shared" si="62"/>
        <v>2839.3835619469028</v>
      </c>
      <c r="W32" s="1199">
        <f t="shared" si="63"/>
        <v>0</v>
      </c>
      <c r="X32" s="793"/>
      <c r="Y32" s="888">
        <f t="shared" si="64"/>
        <v>0.54073892191793704</v>
      </c>
      <c r="Z32" s="888">
        <f t="shared" si="65"/>
        <v>3.5356301240351651</v>
      </c>
      <c r="AA32" s="888">
        <f t="shared" si="66"/>
        <v>0.35715764556490293</v>
      </c>
      <c r="AB32" s="888">
        <f t="shared" si="67"/>
        <v>0.34583543246768483</v>
      </c>
      <c r="AC32" s="793"/>
      <c r="AD32" s="888">
        <f t="shared" si="68"/>
        <v>1.5459478894329484</v>
      </c>
      <c r="AE32" s="888">
        <f t="shared" si="69"/>
        <v>1.5618623651973333</v>
      </c>
      <c r="AF32" s="888">
        <f t="shared" si="70"/>
        <v>1.5134875986789196</v>
      </c>
      <c r="AG32" s="888">
        <f t="shared" si="71"/>
        <v>1.4770804366174788</v>
      </c>
      <c r="AH32" s="888">
        <f t="shared" si="72"/>
        <v>10.759908663931537</v>
      </c>
      <c r="AI32" s="888">
        <f t="shared" si="73"/>
        <v>10.539021019710525</v>
      </c>
      <c r="AJ32" s="888">
        <f t="shared" si="74"/>
        <v>10.22344673825617</v>
      </c>
      <c r="AK32" s="888">
        <f t="shared" si="75"/>
        <v>9.4882036708421467</v>
      </c>
      <c r="AL32" s="888" t="str">
        <f t="shared" si="76"/>
        <v>n.m.</v>
      </c>
      <c r="AM32" s="888">
        <f t="shared" si="77"/>
        <v>16.276700680272111</v>
      </c>
      <c r="AN32" s="888" t="str">
        <f t="shared" si="78"/>
        <v>n.m.</v>
      </c>
      <c r="AO32" s="888" t="str">
        <f t="shared" si="79"/>
        <v>n.m.</v>
      </c>
      <c r="AP32" s="793"/>
      <c r="AQ32" s="1202">
        <f>V32/U32</f>
        <v>0.14804083568171231</v>
      </c>
      <c r="AR32" s="793"/>
      <c r="AS32" s="897">
        <v>0.72</v>
      </c>
      <c r="AT32" s="991"/>
      <c r="AU32" s="1197">
        <v>2688233.912</v>
      </c>
      <c r="AV32" s="1197">
        <v>2774156.4447999997</v>
      </c>
      <c r="AW32" s="1197">
        <v>2715907.4408</v>
      </c>
      <c r="AX32" s="1197">
        <v>2793571.8136</v>
      </c>
      <c r="AY32" s="1197">
        <v>2842534.0095999995</v>
      </c>
      <c r="AZ32" s="1197">
        <v>398391.02400000003</v>
      </c>
      <c r="BA32" s="1197">
        <v>410688.43839999998</v>
      </c>
      <c r="BB32" s="1197">
        <v>390212.54799999995</v>
      </c>
      <c r="BC32" s="1197">
        <v>417512.28640000004</v>
      </c>
      <c r="BD32" s="1197">
        <v>442512.77919999999</v>
      </c>
      <c r="BE32" s="1197">
        <v>170378.88</v>
      </c>
      <c r="BF32" s="1197">
        <v>0</v>
      </c>
      <c r="BG32" s="1197">
        <v>0</v>
      </c>
      <c r="BH32" s="1197">
        <v>0</v>
      </c>
      <c r="BI32" s="1197">
        <v>0</v>
      </c>
      <c r="BJ32" s="793"/>
      <c r="BK32" s="889">
        <f t="shared" ref="BK32:BY32" si="96">AU32/$D32</f>
        <v>18585.687997787612</v>
      </c>
      <c r="BL32" s="889">
        <f t="shared" si="96"/>
        <v>19179.732057522124</v>
      </c>
      <c r="BM32" s="889">
        <f t="shared" si="96"/>
        <v>18777.014939159293</v>
      </c>
      <c r="BN32" s="889">
        <f t="shared" si="96"/>
        <v>19313.96441924779</v>
      </c>
      <c r="BO32" s="889">
        <f t="shared" si="96"/>
        <v>19652.475176991149</v>
      </c>
      <c r="BP32" s="889">
        <f t="shared" si="96"/>
        <v>2754.3627212389388</v>
      </c>
      <c r="BQ32" s="889">
        <f t="shared" si="96"/>
        <v>2839.3835619469028</v>
      </c>
      <c r="BR32" s="889">
        <f t="shared" si="96"/>
        <v>2697.81905420354</v>
      </c>
      <c r="BS32" s="889">
        <f t="shared" si="96"/>
        <v>2886.5617146017703</v>
      </c>
      <c r="BT32" s="889">
        <f t="shared" si="96"/>
        <v>3059.4080420353985</v>
      </c>
      <c r="BU32" s="889">
        <f t="shared" si="96"/>
        <v>1177.9513274336284</v>
      </c>
      <c r="BV32" s="889">
        <f t="shared" si="96"/>
        <v>0</v>
      </c>
      <c r="BW32" s="889">
        <f t="shared" si="96"/>
        <v>0</v>
      </c>
      <c r="BX32" s="889">
        <f t="shared" si="96"/>
        <v>0</v>
      </c>
      <c r="BY32" s="889">
        <f t="shared" si="96"/>
        <v>0</v>
      </c>
    </row>
    <row r="33" spans="1:16328">
      <c r="A33" s="1209"/>
      <c r="D33" s="1207"/>
      <c r="G33" s="1212"/>
      <c r="P33" s="1212"/>
      <c r="AQ33" s="1204"/>
      <c r="AU33" s="1198"/>
      <c r="AV33" s="1198"/>
      <c r="AW33" s="1198"/>
      <c r="AX33" s="1198"/>
      <c r="AY33" s="1198"/>
      <c r="AZ33" s="1198"/>
      <c r="BA33" s="1198"/>
      <c r="BB33" s="1198"/>
      <c r="BC33" s="1198"/>
      <c r="BD33" s="1198"/>
      <c r="BE33" s="1198"/>
      <c r="BF33" s="1198"/>
      <c r="BG33" s="1198"/>
      <c r="BH33" s="1198"/>
      <c r="BI33" s="1198"/>
    </row>
    <row r="34" spans="1:16328" s="88" customFormat="1">
      <c r="A34" s="1209"/>
      <c r="B34" s="829" t="s">
        <v>894</v>
      </c>
      <c r="C34" s="987"/>
      <c r="D34" s="1206"/>
      <c r="E34" s="3"/>
      <c r="F34" s="987"/>
      <c r="G34" s="1215"/>
      <c r="H34" s="901"/>
      <c r="I34" s="901"/>
      <c r="J34" s="901"/>
      <c r="K34" s="901"/>
      <c r="L34" s="901"/>
      <c r="M34" s="901"/>
      <c r="N34" s="901"/>
      <c r="O34" s="793"/>
      <c r="P34" s="1213"/>
      <c r="Q34" s="903"/>
      <c r="R34" s="903"/>
      <c r="S34" s="903"/>
      <c r="T34" s="903"/>
      <c r="U34" s="903"/>
      <c r="V34" s="903"/>
      <c r="W34" s="903"/>
      <c r="X34" s="992"/>
      <c r="Y34" s="895"/>
      <c r="Z34" s="892"/>
      <c r="AA34" s="895"/>
      <c r="AB34" s="895"/>
      <c r="AC34" s="793"/>
      <c r="AD34" s="890"/>
      <c r="AE34" s="890"/>
      <c r="AF34" s="890"/>
      <c r="AG34" s="890"/>
      <c r="AH34" s="890"/>
      <c r="AI34" s="890"/>
      <c r="AJ34" s="890"/>
      <c r="AK34" s="890"/>
      <c r="AL34" s="890"/>
      <c r="AM34" s="890"/>
      <c r="AN34" s="890"/>
      <c r="AO34" s="890"/>
      <c r="AP34" s="793"/>
      <c r="AQ34" s="1203"/>
      <c r="AR34" s="793"/>
      <c r="AS34" s="899"/>
      <c r="AT34" s="793"/>
      <c r="AU34" s="1198"/>
      <c r="AV34" s="1198"/>
      <c r="AW34" s="1198"/>
      <c r="AX34" s="1198"/>
      <c r="AY34" s="1198"/>
      <c r="AZ34" s="1198"/>
      <c r="BA34" s="1198"/>
      <c r="BB34" s="1198"/>
      <c r="BC34" s="1198"/>
      <c r="BD34" s="1198"/>
      <c r="BE34" s="1198"/>
      <c r="BF34" s="1198"/>
      <c r="BG34" s="1198"/>
      <c r="BH34" s="1198"/>
      <c r="BI34" s="1198"/>
      <c r="BJ34" s="793"/>
      <c r="BK34" s="891"/>
      <c r="BL34" s="891"/>
      <c r="BM34" s="891"/>
      <c r="BN34" s="891"/>
      <c r="BO34" s="891"/>
      <c r="BP34" s="891"/>
      <c r="BQ34" s="891"/>
      <c r="BR34" s="891"/>
      <c r="BS34" s="891"/>
      <c r="BT34" s="891"/>
      <c r="BU34" s="891"/>
      <c r="BV34" s="891"/>
      <c r="BW34" s="891"/>
      <c r="BX34" s="891"/>
      <c r="BY34" s="891"/>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c r="XBT34" s="2"/>
      <c r="XBU34" s="2"/>
      <c r="XBV34" s="2"/>
      <c r="XBW34" s="2"/>
      <c r="XBX34" s="2"/>
      <c r="XBY34" s="2"/>
      <c r="XBZ34" s="2"/>
      <c r="XCA34" s="2"/>
      <c r="XCB34" s="2"/>
      <c r="XCC34" s="2"/>
      <c r="XCD34" s="2"/>
      <c r="XCE34" s="2"/>
      <c r="XCF34" s="2"/>
      <c r="XCG34" s="2"/>
      <c r="XCH34" s="2"/>
      <c r="XCI34" s="2"/>
      <c r="XCJ34" s="2"/>
      <c r="XCK34" s="2"/>
      <c r="XCL34" s="2"/>
      <c r="XCM34" s="2"/>
      <c r="XCN34" s="2"/>
      <c r="XCO34" s="2"/>
      <c r="XCP34" s="2"/>
      <c r="XCQ34" s="2"/>
      <c r="XCR34" s="2"/>
      <c r="XCS34" s="2"/>
      <c r="XCT34" s="2"/>
      <c r="XCU34" s="2"/>
      <c r="XCV34" s="2"/>
      <c r="XCW34" s="2"/>
      <c r="XCX34" s="2"/>
      <c r="XCY34" s="2"/>
      <c r="XCZ34" s="2"/>
    </row>
    <row r="35" spans="1:16328">
      <c r="A35" s="828"/>
      <c r="B35" s="1338" t="s">
        <v>895</v>
      </c>
      <c r="C35" s="987"/>
      <c r="D35" s="1206">
        <f>$E$47</f>
        <v>1</v>
      </c>
      <c r="E35" s="3" t="s">
        <v>896</v>
      </c>
      <c r="F35" s="987"/>
      <c r="G35" s="1214">
        <v>234.44</v>
      </c>
      <c r="H35" s="900">
        <v>43057.9</v>
      </c>
      <c r="I35" s="900">
        <v>55014.3</v>
      </c>
      <c r="J35" s="900">
        <v>12960.1</v>
      </c>
      <c r="K35" s="900">
        <v>133.5</v>
      </c>
      <c r="L35" s="900">
        <v>10433.540000000001</v>
      </c>
      <c r="M35" s="900">
        <v>3785.92</v>
      </c>
      <c r="N35" s="900">
        <v>2315.5500000000002</v>
      </c>
      <c r="O35" s="793"/>
      <c r="P35" s="1210">
        <f t="shared" ref="P35:W38" si="97">IFERROR(G35/$D35,"n.m.")</f>
        <v>234.44</v>
      </c>
      <c r="Q35" s="902">
        <f t="shared" si="97"/>
        <v>43057.9</v>
      </c>
      <c r="R35" s="902">
        <f t="shared" si="97"/>
        <v>55014.3</v>
      </c>
      <c r="S35" s="902">
        <f t="shared" si="97"/>
        <v>12960.1</v>
      </c>
      <c r="T35" s="902">
        <f t="shared" si="97"/>
        <v>133.5</v>
      </c>
      <c r="U35" s="902">
        <f t="shared" si="97"/>
        <v>10433.540000000001</v>
      </c>
      <c r="V35" s="902">
        <f t="shared" si="97"/>
        <v>3785.92</v>
      </c>
      <c r="W35" s="902">
        <f t="shared" si="97"/>
        <v>2315.5500000000002</v>
      </c>
      <c r="X35" s="793"/>
      <c r="Y35" s="888">
        <f>IFERROR(S35/Q35,"n.m.")</f>
        <v>0.30099238467273137</v>
      </c>
      <c r="Z35" s="888">
        <f>IFERROR((S35-T35)/V35,"n.m.")</f>
        <v>3.3879743893162031</v>
      </c>
      <c r="AA35" s="888">
        <f>IFERROR(S35/R35,"n.m.")</f>
        <v>0.23557693181590966</v>
      </c>
      <c r="AB35" s="888">
        <f>IFERROR((S35-T35)/R35,"n.m.")</f>
        <v>0.23315029001550505</v>
      </c>
      <c r="AC35" s="793"/>
      <c r="AD35" s="888">
        <f>IFERROR(I35/AW35,"n.m.")</f>
        <v>5.8058725382903305</v>
      </c>
      <c r="AE35" s="888">
        <f>IFERROR(I35/AU35,"n.m.")</f>
        <v>5.6217351318209694</v>
      </c>
      <c r="AF35" s="888">
        <f>IFERROR(I35/AV35,"n.m.")</f>
        <v>5.2728316563697462</v>
      </c>
      <c r="AG35" s="888">
        <f>IFERROR(I35/AY35,"n.m.")</f>
        <v>5.1221978386219469</v>
      </c>
      <c r="AH35" s="888">
        <f>IFERROR(I35/BB35,"n.m.")</f>
        <v>16.220942575098185</v>
      </c>
      <c r="AI35" s="888">
        <f>IFERROR(I35/AZ35,"n.m.")</f>
        <v>16.003228903045642</v>
      </c>
      <c r="AJ35" s="888">
        <f>IFERROR(I35/BA35,"n.m.")</f>
        <v>14.531289620488547</v>
      </c>
      <c r="AK35" s="888">
        <f>IFERROR(I35/BD35,"n.m.")</f>
        <v>13.692608659941611</v>
      </c>
      <c r="AL35" s="888">
        <f>IFERROR(H35/BG35,"n.m.")</f>
        <v>21.873345830094845</v>
      </c>
      <c r="AM35" s="888">
        <f>IFERROR(H35/BE35,"n.m.")</f>
        <v>28.391072135038904</v>
      </c>
      <c r="AN35" s="888">
        <f>IFERROR(H35/BF35,"n.m.")</f>
        <v>18.5951069940187</v>
      </c>
      <c r="AO35" s="888">
        <f>IFERROR(H35/BI35,"n.m.")</f>
        <v>17.534574034859098</v>
      </c>
      <c r="AP35" s="793"/>
      <c r="AQ35" s="1202">
        <f>V35/U35</f>
        <v>0.36286054397644518</v>
      </c>
      <c r="AR35" s="793"/>
      <c r="AS35" s="897">
        <v>1.02</v>
      </c>
      <c r="AT35" s="991"/>
      <c r="AU35" s="1197">
        <v>9786</v>
      </c>
      <c r="AV35" s="1197">
        <v>10433.540000000001</v>
      </c>
      <c r="AW35" s="1197">
        <v>9475.6299999999992</v>
      </c>
      <c r="AX35" s="1197">
        <v>10069.57</v>
      </c>
      <c r="AY35" s="1197">
        <v>10740.37</v>
      </c>
      <c r="AZ35" s="1197">
        <v>3437.7</v>
      </c>
      <c r="BA35" s="1197">
        <v>3785.92</v>
      </c>
      <c r="BB35" s="1197">
        <v>3391.56</v>
      </c>
      <c r="BC35" s="1197">
        <v>3707</v>
      </c>
      <c r="BD35" s="1197">
        <v>4017.81</v>
      </c>
      <c r="BE35" s="1197">
        <v>1516.6</v>
      </c>
      <c r="BF35" s="1197">
        <v>2315.5500000000002</v>
      </c>
      <c r="BG35" s="1197">
        <v>1968.51</v>
      </c>
      <c r="BH35" s="1197">
        <v>2207.54</v>
      </c>
      <c r="BI35" s="1197">
        <v>2455.6</v>
      </c>
      <c r="BJ35" s="793"/>
      <c r="BK35" s="889">
        <f t="shared" ref="BK35:BY35" si="98">AU35/$D35</f>
        <v>9786</v>
      </c>
      <c r="BL35" s="889">
        <f t="shared" si="98"/>
        <v>10433.540000000001</v>
      </c>
      <c r="BM35" s="889">
        <f t="shared" si="98"/>
        <v>9475.6299999999992</v>
      </c>
      <c r="BN35" s="889">
        <f t="shared" si="98"/>
        <v>10069.57</v>
      </c>
      <c r="BO35" s="889">
        <f t="shared" si="98"/>
        <v>10740.37</v>
      </c>
      <c r="BP35" s="889">
        <f t="shared" si="98"/>
        <v>3437.7</v>
      </c>
      <c r="BQ35" s="889">
        <f t="shared" si="98"/>
        <v>3785.92</v>
      </c>
      <c r="BR35" s="889">
        <f t="shared" si="98"/>
        <v>3391.56</v>
      </c>
      <c r="BS35" s="889">
        <f t="shared" si="98"/>
        <v>3707</v>
      </c>
      <c r="BT35" s="889">
        <f t="shared" si="98"/>
        <v>4017.81</v>
      </c>
      <c r="BU35" s="889">
        <f t="shared" si="98"/>
        <v>1516.6</v>
      </c>
      <c r="BV35" s="889">
        <f t="shared" si="98"/>
        <v>2315.5500000000002</v>
      </c>
      <c r="BW35" s="889">
        <f t="shared" si="98"/>
        <v>1968.51</v>
      </c>
      <c r="BX35" s="889">
        <f t="shared" si="98"/>
        <v>2207.54</v>
      </c>
      <c r="BY35" s="889">
        <f t="shared" si="98"/>
        <v>2455.6</v>
      </c>
    </row>
    <row r="36" spans="1:16328">
      <c r="A36" s="828"/>
      <c r="B36" s="420" t="s">
        <v>897</v>
      </c>
      <c r="C36" s="987"/>
      <c r="D36" s="1206">
        <f>$E$58</f>
        <v>1.33</v>
      </c>
      <c r="E36" s="3" t="s">
        <v>898</v>
      </c>
      <c r="F36" s="987"/>
      <c r="G36" s="1214">
        <v>0.49580000000000002</v>
      </c>
      <c r="H36" s="900">
        <v>12550.708000000002</v>
      </c>
      <c r="I36" s="900">
        <v>20118.09</v>
      </c>
      <c r="J36" s="900">
        <v>7898.2280000000001</v>
      </c>
      <c r="K36" s="900">
        <v>1761.095</v>
      </c>
      <c r="L36" s="900">
        <v>10969.106</v>
      </c>
      <c r="M36" s="900">
        <v>1778.0326000000002</v>
      </c>
      <c r="N36" s="900">
        <v>1092.6092000000001</v>
      </c>
      <c r="O36" s="793"/>
      <c r="P36" s="1210">
        <f t="shared" si="97"/>
        <v>0.37278195488721805</v>
      </c>
      <c r="Q36" s="902">
        <f t="shared" si="97"/>
        <v>9436.6225563909793</v>
      </c>
      <c r="R36" s="902">
        <f t="shared" si="97"/>
        <v>15126.383458646616</v>
      </c>
      <c r="S36" s="902">
        <f t="shared" si="97"/>
        <v>5938.5172932330825</v>
      </c>
      <c r="T36" s="902">
        <f t="shared" si="97"/>
        <v>1324.1315789473683</v>
      </c>
      <c r="U36" s="902">
        <f t="shared" si="97"/>
        <v>8247.4481203007508</v>
      </c>
      <c r="V36" s="902">
        <f t="shared" si="97"/>
        <v>1336.8666165413536</v>
      </c>
      <c r="W36" s="902">
        <f t="shared" si="97"/>
        <v>821.51067669172937</v>
      </c>
      <c r="X36" s="793"/>
      <c r="Y36" s="888">
        <f>IFERROR(S36/Q36,"n.m.")</f>
        <v>0.62930537464499992</v>
      </c>
      <c r="Z36" s="888">
        <f>IFERROR((S36-T36)/V36,"n.m.")</f>
        <v>3.4516425626841709</v>
      </c>
      <c r="AA36" s="888">
        <f>IFERROR(S36/R36,"n.m.")</f>
        <v>0.39259333266726609</v>
      </c>
      <c r="AB36" s="888">
        <f>IFERROR((S36-T36)/R36,"n.m.")</f>
        <v>0.30505545009491458</v>
      </c>
      <c r="AC36" s="793"/>
      <c r="AD36" s="888">
        <f>IFERROR(I36/AW36,"n.m.")</f>
        <v>1.870834127722887</v>
      </c>
      <c r="AE36" s="888">
        <f>IFERROR(I36/AU36,"n.m.")</f>
        <v>1.9098715176186236</v>
      </c>
      <c r="AF36" s="888">
        <f>IFERROR(I36/AV36,"n.m.")</f>
        <v>1.834068337018532</v>
      </c>
      <c r="AG36" s="888">
        <f>IFERROR(I36/AY36,"n.m.")</f>
        <v>1.7293969255933694</v>
      </c>
      <c r="AH36" s="888">
        <f>IFERROR(I36/BB36,"n.m.")</f>
        <v>11.377052658699785</v>
      </c>
      <c r="AI36" s="888">
        <f>IFERROR(I36/AZ36,"n.m.")</f>
        <v>12.122325393621315</v>
      </c>
      <c r="AJ36" s="888">
        <f>IFERROR(I36/BA36,"n.m.")</f>
        <v>11.314803789311847</v>
      </c>
      <c r="AK36" s="888">
        <f>IFERROR(I36/BD36,"n.m.")</f>
        <v>10.719717253935954</v>
      </c>
      <c r="AL36" s="888">
        <f>IFERROR(H36/BG36,"n.m.")</f>
        <v>11.19729338768874</v>
      </c>
      <c r="AM36" s="888">
        <f>IFERROR(H36/BE36,"n.m.")</f>
        <v>12.121392519735991</v>
      </c>
      <c r="AN36" s="888">
        <f>IFERROR(H36/BF36,"n.m.")</f>
        <v>11.486914076872134</v>
      </c>
      <c r="AO36" s="888">
        <f>IFERROR(H36/BI36,"n.m.")</f>
        <v>10.432855106041707</v>
      </c>
      <c r="AP36" s="793"/>
      <c r="AQ36" s="1202">
        <f t="shared" ref="AQ36:AQ38" si="99">V36/U36</f>
        <v>0.16209457726089987</v>
      </c>
      <c r="AR36" s="793"/>
      <c r="AS36" s="897">
        <v>0.85</v>
      </c>
      <c r="AT36" s="991"/>
      <c r="AU36" s="1197">
        <v>10533.74</v>
      </c>
      <c r="AV36" s="1197">
        <v>10969.106</v>
      </c>
      <c r="AW36" s="1197">
        <v>10753.540199999999</v>
      </c>
      <c r="AX36" s="1197">
        <v>10969.106</v>
      </c>
      <c r="AY36" s="1197">
        <v>11633.009000000002</v>
      </c>
      <c r="AZ36" s="1197">
        <v>1659.5900000000001</v>
      </c>
      <c r="BA36" s="1197">
        <v>1778.0326000000002</v>
      </c>
      <c r="BB36" s="1197">
        <v>1768.3042000000003</v>
      </c>
      <c r="BC36" s="1197">
        <v>1778.0326000000002</v>
      </c>
      <c r="BD36" s="1197">
        <v>1876.7370000000001</v>
      </c>
      <c r="BE36" s="1197">
        <v>1035.4180000000001</v>
      </c>
      <c r="BF36" s="1197">
        <v>1092.6092000000001</v>
      </c>
      <c r="BG36" s="1197">
        <v>1120.8698000000002</v>
      </c>
      <c r="BH36" s="1197">
        <v>1092.6092000000001</v>
      </c>
      <c r="BI36" s="1197">
        <v>1202.9983999999999</v>
      </c>
      <c r="BJ36" s="793"/>
      <c r="BK36" s="889">
        <f t="shared" ref="BK36:BK38" si="100">AU36/$D36</f>
        <v>7920.1052631578941</v>
      </c>
      <c r="BL36" s="889">
        <f t="shared" ref="BL36:BL38" si="101">AV36/$D36</f>
        <v>8247.4481203007508</v>
      </c>
      <c r="BM36" s="889">
        <f t="shared" ref="BM36:BM38" si="102">AW36/$D36</f>
        <v>8085.3685714285702</v>
      </c>
      <c r="BN36" s="889">
        <f t="shared" ref="BN36:BN38" si="103">AX36/$D36</f>
        <v>8247.4481203007508</v>
      </c>
      <c r="BO36" s="889">
        <f t="shared" ref="BO36:BO38" si="104">AY36/$D36</f>
        <v>8746.6233082706767</v>
      </c>
      <c r="BP36" s="889">
        <f t="shared" ref="BP36:BP38" si="105">AZ36/$D36</f>
        <v>1247.812030075188</v>
      </c>
      <c r="BQ36" s="889">
        <f t="shared" ref="BQ36:BQ38" si="106">BA36/$D36</f>
        <v>1336.8666165413536</v>
      </c>
      <c r="BR36" s="889">
        <f t="shared" ref="BR36:BR38" si="107">BB36/$D36</f>
        <v>1329.552030075188</v>
      </c>
      <c r="BS36" s="889">
        <f t="shared" ref="BS36:BS38" si="108">BC36/$D36</f>
        <v>1336.8666165413536</v>
      </c>
      <c r="BT36" s="889">
        <f t="shared" ref="BT36:BT38" si="109">BD36/$D36</f>
        <v>1411.0804511278195</v>
      </c>
      <c r="BU36" s="889">
        <f t="shared" ref="BU36:BU38" si="110">BE36/$D36</f>
        <v>778.50977443609031</v>
      </c>
      <c r="BV36" s="889">
        <f t="shared" ref="BV36:BV38" si="111">BF36/$D36</f>
        <v>821.51067669172937</v>
      </c>
      <c r="BW36" s="889">
        <f t="shared" ref="BW36:BW38" si="112">BG36/$D36</f>
        <v>842.75924812030087</v>
      </c>
      <c r="BX36" s="889">
        <f t="shared" ref="BX36:BX38" si="113">BH36/$D36</f>
        <v>821.51067669172937</v>
      </c>
      <c r="BY36" s="889">
        <f t="shared" ref="BY36:BY38" si="114">BI36/$D36</f>
        <v>904.51007518796985</v>
      </c>
    </row>
    <row r="37" spans="1:16328">
      <c r="A37" s="828"/>
      <c r="B37" s="420" t="s">
        <v>899</v>
      </c>
      <c r="C37" s="987"/>
      <c r="D37" s="1206">
        <f>$E$56</f>
        <v>83.19</v>
      </c>
      <c r="E37" s="3" t="s">
        <v>900</v>
      </c>
      <c r="F37" s="987"/>
      <c r="G37" s="1214">
        <v>5332.0113000000001</v>
      </c>
      <c r="H37" s="900">
        <v>266892.57</v>
      </c>
      <c r="I37" s="900">
        <v>344590.92900000006</v>
      </c>
      <c r="J37" s="900">
        <v>56248.506000000008</v>
      </c>
      <c r="K37" s="900">
        <v>2575.4841000000001</v>
      </c>
      <c r="L37" s="900">
        <v>172163.64510000002</v>
      </c>
      <c r="M37" s="900">
        <v>29933.0154</v>
      </c>
      <c r="N37" s="900">
        <v>15281.873100000001</v>
      </c>
      <c r="O37" s="793"/>
      <c r="P37" s="1210">
        <f t="shared" si="97"/>
        <v>64.09437793003967</v>
      </c>
      <c r="Q37" s="902">
        <f t="shared" si="97"/>
        <v>3208.2289938694557</v>
      </c>
      <c r="R37" s="902">
        <f t="shared" si="97"/>
        <v>4142.215759105663</v>
      </c>
      <c r="S37" s="902">
        <f t="shared" si="97"/>
        <v>676.14504147133084</v>
      </c>
      <c r="T37" s="902">
        <f t="shared" si="97"/>
        <v>30.959058781103501</v>
      </c>
      <c r="U37" s="902">
        <f t="shared" si="97"/>
        <v>2069.523321312658</v>
      </c>
      <c r="V37" s="902">
        <f t="shared" si="97"/>
        <v>359.81506671474938</v>
      </c>
      <c r="W37" s="902">
        <f t="shared" si="97"/>
        <v>183.69843851424451</v>
      </c>
      <c r="X37" s="793"/>
      <c r="Y37" s="888">
        <f>IFERROR(S37/Q37,"n.m.")</f>
        <v>0.21075336042513287</v>
      </c>
      <c r="Z37" s="888">
        <f>IFERROR((S37-T37)/V37,"n.m.")</f>
        <v>1.7931044093873687</v>
      </c>
      <c r="AA37" s="888">
        <f>IFERROR(S37/R37,"n.m.")</f>
        <v>0.16323269496162504</v>
      </c>
      <c r="AB37" s="888">
        <f>IFERROR((S37-T37)/R37,"n.m.")</f>
        <v>0.1557586615984311</v>
      </c>
      <c r="AC37" s="793"/>
      <c r="AD37" s="888">
        <f>IFERROR(I37/AW37,"n.m.")</f>
        <v>2.2082560321644151</v>
      </c>
      <c r="AE37" s="888">
        <f>IFERROR(I37/AU37,"n.m.")</f>
        <v>2.3278476018711607</v>
      </c>
      <c r="AF37" s="888">
        <f>IFERROR(I37/AV37,"n.m.")</f>
        <v>2.0015313267783501</v>
      </c>
      <c r="AG37" s="888">
        <f>IFERROR(I37/AY37,"n.m.")</f>
        <v>1.8651920827669675</v>
      </c>
      <c r="AH37" s="888">
        <f>IFERROR(I37/BB37,"n.m.")</f>
        <v>13.041268037005464</v>
      </c>
      <c r="AI37" s="888">
        <f>IFERROR(I37/AZ37,"n.m.")</f>
        <v>13.667438782263403</v>
      </c>
      <c r="AJ37" s="888">
        <f>IFERROR(I37/BA37,"n.m.")</f>
        <v>11.512068677183791</v>
      </c>
      <c r="AK37" s="888">
        <f>IFERROR(I37/BD37,"n.m.")</f>
        <v>10.121547773666283</v>
      </c>
      <c r="AL37" s="888">
        <f>IFERROR(H37/BG37,"n.m.")</f>
        <v>19.729863081287775</v>
      </c>
      <c r="AM37" s="888">
        <f>IFERROR(H37/BE37,"n.m.")</f>
        <v>21.455399061032864</v>
      </c>
      <c r="AN37" s="888">
        <f>IFERROR(H37/BF37,"n.m.")</f>
        <v>17.464650324834853</v>
      </c>
      <c r="AO37" s="888">
        <f>IFERROR(H37/BI37,"n.m.")</f>
        <v>14.596641722942142</v>
      </c>
      <c r="AP37" s="793"/>
      <c r="AQ37" s="1202">
        <f t="shared" si="99"/>
        <v>0.17386374099255172</v>
      </c>
      <c r="AR37" s="793"/>
      <c r="AS37" s="897">
        <v>0.55000000000000004</v>
      </c>
      <c r="AT37" s="991"/>
      <c r="AU37" s="1197">
        <v>148029.84900000002</v>
      </c>
      <c r="AV37" s="1197">
        <v>172163.64510000002</v>
      </c>
      <c r="AW37" s="1197">
        <v>156046.63770000002</v>
      </c>
      <c r="AX37" s="1197">
        <v>177536.53709999999</v>
      </c>
      <c r="AY37" s="1197">
        <v>184748.22630000001</v>
      </c>
      <c r="AZ37" s="1197">
        <v>25212.546000000002</v>
      </c>
      <c r="BA37" s="1197">
        <v>29933.0154</v>
      </c>
      <c r="BB37" s="1197">
        <v>26423.115300000001</v>
      </c>
      <c r="BC37" s="1197">
        <v>31102.704000000005</v>
      </c>
      <c r="BD37" s="1197">
        <v>34045.280100000004</v>
      </c>
      <c r="BE37" s="1197">
        <v>12439.413</v>
      </c>
      <c r="BF37" s="1197">
        <v>15281.873100000001</v>
      </c>
      <c r="BG37" s="1197">
        <v>13527.340200000001</v>
      </c>
      <c r="BH37" s="1197">
        <v>15865.883100000001</v>
      </c>
      <c r="BI37" s="1197">
        <v>18284.518800000002</v>
      </c>
      <c r="BJ37" s="793"/>
      <c r="BK37" s="889">
        <f t="shared" si="100"/>
        <v>1779.4187883159036</v>
      </c>
      <c r="BL37" s="889">
        <f t="shared" si="101"/>
        <v>2069.523321312658</v>
      </c>
      <c r="BM37" s="889">
        <f t="shared" si="102"/>
        <v>1875.7860043274436</v>
      </c>
      <c r="BN37" s="889">
        <f t="shared" si="103"/>
        <v>2134.1091128741436</v>
      </c>
      <c r="BO37" s="889">
        <f t="shared" si="104"/>
        <v>2220.7984890010821</v>
      </c>
      <c r="BP37" s="889">
        <f t="shared" si="105"/>
        <v>303.07183555715835</v>
      </c>
      <c r="BQ37" s="889">
        <f t="shared" si="106"/>
        <v>359.81506671474938</v>
      </c>
      <c r="BR37" s="889">
        <f t="shared" si="107"/>
        <v>317.62369635773535</v>
      </c>
      <c r="BS37" s="889">
        <f t="shared" si="108"/>
        <v>373.87551388388033</v>
      </c>
      <c r="BT37" s="889">
        <f t="shared" si="109"/>
        <v>409.24726649837726</v>
      </c>
      <c r="BU37" s="889">
        <f t="shared" si="110"/>
        <v>149.53014785430943</v>
      </c>
      <c r="BV37" s="889">
        <f t="shared" si="111"/>
        <v>183.69843851424451</v>
      </c>
      <c r="BW37" s="889">
        <f t="shared" si="112"/>
        <v>162.60776776054814</v>
      </c>
      <c r="BX37" s="889">
        <f t="shared" si="113"/>
        <v>190.71863324918863</v>
      </c>
      <c r="BY37" s="889">
        <f t="shared" si="114"/>
        <v>219.79226830147857</v>
      </c>
    </row>
    <row r="38" spans="1:16328">
      <c r="A38" s="828"/>
      <c r="B38" s="420" t="s">
        <v>901</v>
      </c>
      <c r="C38" s="987"/>
      <c r="D38" s="1206">
        <f>$E$59</f>
        <v>1314.75</v>
      </c>
      <c r="E38" s="3" t="s">
        <v>902</v>
      </c>
      <c r="F38" s="987"/>
      <c r="G38" s="1214">
        <v>22918.698100000001</v>
      </c>
      <c r="H38" s="900">
        <v>1591144.7670000002</v>
      </c>
      <c r="I38" s="900">
        <v>2357690.31</v>
      </c>
      <c r="J38" s="900">
        <v>1015215.3920000001</v>
      </c>
      <c r="K38" s="900">
        <v>356023.0845</v>
      </c>
      <c r="L38" s="900">
        <v>2645957.7718000002</v>
      </c>
      <c r="M38" s="900">
        <v>323455.10110000003</v>
      </c>
      <c r="N38" s="900">
        <v>82578.399300000005</v>
      </c>
      <c r="O38" s="793"/>
      <c r="P38" s="1210">
        <f t="shared" si="97"/>
        <v>17.431981821639095</v>
      </c>
      <c r="Q38" s="902">
        <f t="shared" si="97"/>
        <v>1210.2261015402169</v>
      </c>
      <c r="R38" s="902">
        <f t="shared" si="97"/>
        <v>1793.2613120365088</v>
      </c>
      <c r="S38" s="902">
        <f t="shared" si="97"/>
        <v>772.17371515497246</v>
      </c>
      <c r="T38" s="902">
        <f t="shared" si="97"/>
        <v>270.79146948088987</v>
      </c>
      <c r="U38" s="902">
        <f t="shared" si="97"/>
        <v>2012.5177956265452</v>
      </c>
      <c r="V38" s="902">
        <f t="shared" si="97"/>
        <v>246.02023281992777</v>
      </c>
      <c r="W38" s="902">
        <f t="shared" si="97"/>
        <v>62.809202738163151</v>
      </c>
      <c r="X38" s="793"/>
      <c r="Y38" s="888">
        <f>IFERROR(S38/Q38,"n.m.")</f>
        <v>0.63804087035658141</v>
      </c>
      <c r="Z38" s="888">
        <f>IFERROR((S38-T38)/V38,"n.m.")</f>
        <v>2.0379715925277768</v>
      </c>
      <c r="AA38" s="888">
        <f>IFERROR(S38/R38,"n.m.")</f>
        <v>0.43059743160245678</v>
      </c>
      <c r="AB38" s="888">
        <f>IFERROR((S38-T38)/R38,"n.m.")</f>
        <v>0.27959240647682865</v>
      </c>
      <c r="AC38" s="793"/>
      <c r="AD38" s="888">
        <f>IFERROR(I38/AW38,"n.m.")</f>
        <v>0.91996178383209537</v>
      </c>
      <c r="AE38" s="888">
        <f>IFERROR(I38/AU38,"n.m.")</f>
        <v>0.93951634055500188</v>
      </c>
      <c r="AF38" s="888">
        <f>IFERROR(I38/AV38,"n.m.")</f>
        <v>0.89105364232479922</v>
      </c>
      <c r="AG38" s="888">
        <f>IFERROR(I38/AY38,"n.m.")</f>
        <v>0.85537030226904764</v>
      </c>
      <c r="AH38" s="888">
        <f>IFERROR(I38/BB38,"n.m.")</f>
        <v>8.4833270178097759</v>
      </c>
      <c r="AI38" s="888">
        <f>IFERROR(I38/AZ38,"n.m.")</f>
        <v>8.9639639639639626</v>
      </c>
      <c r="AJ38" s="888">
        <f>IFERROR(I38/BA38,"n.m.")</f>
        <v>7.2890806234992462</v>
      </c>
      <c r="AK38" s="888">
        <f>IFERROR(I38/BD38,"n.m.")</f>
        <v>6.4021447721179623</v>
      </c>
      <c r="AL38" s="888">
        <f>IFERROR(H38/BG38,"n.m.")</f>
        <v>30.522727272727277</v>
      </c>
      <c r="AM38" s="888">
        <f>IFERROR(H38/BE38,"n.m.")</f>
        <v>91.568181818181827</v>
      </c>
      <c r="AN38" s="888">
        <f>IFERROR(H38/BF38,"n.m.")</f>
        <v>19.26829268292683</v>
      </c>
      <c r="AO38" s="888">
        <f>IFERROR(H38/BI38,"n.m.")</f>
        <v>13.97502601456816</v>
      </c>
      <c r="AP38" s="793"/>
      <c r="AQ38" s="1202">
        <f t="shared" si="99"/>
        <v>0.12224499746266132</v>
      </c>
      <c r="AR38" s="793"/>
      <c r="AS38" s="897">
        <v>0.43</v>
      </c>
      <c r="AT38" s="991"/>
      <c r="AU38" s="1197">
        <v>2509472.3829999999</v>
      </c>
      <c r="AV38" s="1197">
        <v>2645957.7718000002</v>
      </c>
      <c r="AW38" s="1197">
        <v>2562813.3162000002</v>
      </c>
      <c r="AX38" s="1197">
        <v>2673668.2023</v>
      </c>
      <c r="AY38" s="1197">
        <v>2756338.7503</v>
      </c>
      <c r="AZ38" s="1197">
        <v>263018.71800000005</v>
      </c>
      <c r="BA38" s="1197">
        <v>323455.10110000003</v>
      </c>
      <c r="BB38" s="1197">
        <v>277920.4792</v>
      </c>
      <c r="BC38" s="1197">
        <v>338633.30840000004</v>
      </c>
      <c r="BD38" s="1197">
        <v>368265.69750000001</v>
      </c>
      <c r="BE38" s="1197">
        <v>17376.612000000001</v>
      </c>
      <c r="BF38" s="1197">
        <v>82578.399300000005</v>
      </c>
      <c r="BG38" s="1197">
        <v>52129.836000000003</v>
      </c>
      <c r="BH38" s="1197">
        <v>92727.920400000003</v>
      </c>
      <c r="BI38" s="1197">
        <v>113856.3009</v>
      </c>
      <c r="BJ38" s="793"/>
      <c r="BK38" s="889">
        <f t="shared" si="100"/>
        <v>1908.7068895227228</v>
      </c>
      <c r="BL38" s="889">
        <f t="shared" si="101"/>
        <v>2012.5177956265452</v>
      </c>
      <c r="BM38" s="889">
        <f t="shared" si="102"/>
        <v>1949.2780499714777</v>
      </c>
      <c r="BN38" s="889">
        <f t="shared" si="103"/>
        <v>2033.5943733029094</v>
      </c>
      <c r="BO38" s="889">
        <f t="shared" si="104"/>
        <v>2096.4736644228942</v>
      </c>
      <c r="BP38" s="889">
        <f t="shared" si="105"/>
        <v>200.05226697090706</v>
      </c>
      <c r="BQ38" s="889">
        <f t="shared" si="106"/>
        <v>246.02023281992777</v>
      </c>
      <c r="BR38" s="889">
        <f t="shared" si="107"/>
        <v>211.38655957406351</v>
      </c>
      <c r="BS38" s="889">
        <f t="shared" si="108"/>
        <v>257.5647905685492</v>
      </c>
      <c r="BT38" s="889">
        <f t="shared" si="109"/>
        <v>280.1032116371934</v>
      </c>
      <c r="BU38" s="889">
        <f t="shared" si="110"/>
        <v>13.21666628636623</v>
      </c>
      <c r="BV38" s="889">
        <f t="shared" si="111"/>
        <v>62.809202738163151</v>
      </c>
      <c r="BW38" s="889">
        <f t="shared" si="112"/>
        <v>39.649998859098687</v>
      </c>
      <c r="BX38" s="889">
        <f t="shared" si="113"/>
        <v>70.528937364517972</v>
      </c>
      <c r="BY38" s="889">
        <f t="shared" si="114"/>
        <v>86.599202053622363</v>
      </c>
    </row>
    <row r="39" spans="1:16328">
      <c r="A39" s="1209"/>
      <c r="B39" s="420"/>
      <c r="D39" s="1207"/>
      <c r="G39" s="1212"/>
      <c r="P39" s="1212"/>
      <c r="AQ39" s="1204"/>
      <c r="AU39" s="1198"/>
      <c r="AV39" s="1198"/>
      <c r="AW39" s="1198"/>
      <c r="AX39" s="1198"/>
      <c r="AY39" s="1198"/>
      <c r="AZ39" s="1198"/>
      <c r="BA39" s="1198"/>
      <c r="BB39" s="1198"/>
      <c r="BC39" s="1198"/>
      <c r="BD39" s="1198"/>
      <c r="BE39" s="1198"/>
      <c r="BF39" s="1198"/>
      <c r="BG39" s="1198"/>
      <c r="BH39" s="1198"/>
      <c r="BI39" s="1198"/>
    </row>
    <row r="40" spans="1:16328">
      <c r="A40" s="828"/>
      <c r="B40" s="829" t="s">
        <v>903</v>
      </c>
      <c r="C40" s="987"/>
      <c r="D40" s="1206"/>
      <c r="E40" s="23"/>
      <c r="F40" s="987"/>
      <c r="G40" s="1211"/>
      <c r="H40" s="351"/>
      <c r="I40" s="351"/>
      <c r="J40" s="3"/>
      <c r="K40" s="3"/>
      <c r="L40" s="23"/>
      <c r="M40" s="23"/>
      <c r="N40" s="23"/>
      <c r="O40" s="987"/>
      <c r="P40" s="1211"/>
      <c r="Q40" s="351"/>
      <c r="R40" s="351"/>
      <c r="S40" s="3"/>
      <c r="T40" s="3"/>
      <c r="U40" s="23"/>
      <c r="V40" s="23"/>
      <c r="W40" s="23"/>
      <c r="X40" s="987"/>
      <c r="Y40" s="351"/>
      <c r="Z40" s="989"/>
      <c r="AA40" s="989"/>
      <c r="AB40" s="989"/>
      <c r="AC40" s="987"/>
      <c r="AD40" s="221"/>
      <c r="AE40" s="221"/>
      <c r="AF40" s="221"/>
      <c r="AG40" s="221"/>
      <c r="AH40" s="221"/>
      <c r="AI40" s="221"/>
      <c r="AJ40" s="221"/>
      <c r="AK40" s="221"/>
      <c r="AL40" s="221"/>
      <c r="AM40" s="221"/>
      <c r="AN40" s="221"/>
      <c r="AO40" s="221"/>
      <c r="AP40" s="987"/>
      <c r="AQ40" s="1201"/>
      <c r="AR40" s="3"/>
      <c r="AS40" s="988"/>
      <c r="AT40" s="987"/>
      <c r="AU40" s="1198"/>
      <c r="AV40" s="1198"/>
      <c r="AW40" s="1198"/>
      <c r="AX40" s="1198"/>
      <c r="AY40" s="1198"/>
      <c r="AZ40" s="1198"/>
      <c r="BA40" s="1198"/>
      <c r="BB40" s="1198"/>
      <c r="BC40" s="1198"/>
      <c r="BD40" s="1198"/>
      <c r="BE40" s="1198"/>
      <c r="BF40" s="1198"/>
      <c r="BG40" s="1198"/>
      <c r="BH40" s="1198"/>
      <c r="BI40" s="1198"/>
      <c r="BJ40" s="3"/>
      <c r="BK40" s="1200"/>
      <c r="BL40" s="1200"/>
      <c r="BM40" s="1200"/>
      <c r="BN40" s="1200"/>
      <c r="BO40" s="1200"/>
      <c r="BP40" s="1200"/>
      <c r="BQ40" s="1200"/>
      <c r="BR40" s="1200"/>
      <c r="BS40" s="1200"/>
      <c r="BT40" s="1200"/>
      <c r="BU40" s="3"/>
      <c r="BV40" s="3"/>
      <c r="BW40" s="3"/>
      <c r="BX40" s="3"/>
      <c r="BY40" s="3"/>
    </row>
    <row r="41" spans="1:16328">
      <c r="A41" s="1209"/>
      <c r="B41" s="420" t="s">
        <v>904</v>
      </c>
      <c r="C41" s="3"/>
      <c r="D41" s="1206">
        <f>$E$51</f>
        <v>0.79</v>
      </c>
      <c r="E41" s="3" t="s">
        <v>905</v>
      </c>
      <c r="F41" s="3"/>
      <c r="G41" s="1214">
        <v>10.672000000000001</v>
      </c>
      <c r="H41" s="900">
        <v>1245.1200000000001</v>
      </c>
      <c r="I41" s="900">
        <v>1185.2</v>
      </c>
      <c r="J41" s="900">
        <v>16.96</v>
      </c>
      <c r="K41" s="900">
        <v>95.576000000000008</v>
      </c>
      <c r="L41" s="900">
        <v>407.024</v>
      </c>
      <c r="M41" s="900">
        <v>48.128</v>
      </c>
      <c r="N41" s="900">
        <v>28.439999999999998</v>
      </c>
      <c r="O41" s="793"/>
      <c r="P41" s="1210">
        <f t="shared" ref="P41:W41" si="115">IFERROR(G41/$D41,"n.m.")</f>
        <v>13.508860759493672</v>
      </c>
      <c r="Q41" s="902">
        <f t="shared" si="115"/>
        <v>1576.1012658227849</v>
      </c>
      <c r="R41" s="902">
        <f t="shared" si="115"/>
        <v>1500.253164556962</v>
      </c>
      <c r="S41" s="902">
        <f t="shared" si="115"/>
        <v>21.468354430379748</v>
      </c>
      <c r="T41" s="902">
        <f t="shared" si="115"/>
        <v>120.98227848101266</v>
      </c>
      <c r="U41" s="902">
        <f t="shared" si="115"/>
        <v>515.22025316455699</v>
      </c>
      <c r="V41" s="902">
        <f t="shared" si="115"/>
        <v>60.92151898734177</v>
      </c>
      <c r="W41" s="902">
        <f t="shared" si="115"/>
        <v>35.999999999999993</v>
      </c>
      <c r="X41" s="793"/>
      <c r="Y41" s="888">
        <f>IFERROR(S41/Q41,"n.m.")</f>
        <v>1.362117707530198E-2</v>
      </c>
      <c r="Z41" s="888">
        <f>IFERROR((S41-T41)/V41,"n.m.")</f>
        <v>-1.6334773936170213</v>
      </c>
      <c r="AA41" s="888">
        <f>IFERROR(S41/R41,"n.m.")</f>
        <v>1.430982112723591E-2</v>
      </c>
      <c r="AB41" s="888">
        <f>IFERROR((S41-T41)/R41,"n.m.")</f>
        <v>-6.6331420857239282E-2</v>
      </c>
      <c r="AC41" s="793"/>
      <c r="AD41" s="888">
        <f>IFERROR(I41/AW41,"n.m.")</f>
        <v>3.0690669539277424</v>
      </c>
      <c r="AE41" s="888">
        <f>IFERROR(I41/AU41,"n.m.")</f>
        <v>3.2922222222222222</v>
      </c>
      <c r="AF41" s="888">
        <f>IFERROR(I41/AV41,"n.m.")</f>
        <v>2.9118676048586818</v>
      </c>
      <c r="AG41" s="888">
        <f>IFERROR(I41/AY41,"n.m.")</f>
        <v>2.5081262273989302</v>
      </c>
      <c r="AH41" s="888">
        <f>IFERROR(I41/BB41,"n.m.")</f>
        <v>35.561689870379269</v>
      </c>
      <c r="AI41" s="888">
        <f>IFERROR(I41/AZ41,"n.m.")</f>
        <v>51.620209059233453</v>
      </c>
      <c r="AJ41" s="888">
        <f>IFERROR(I41/BA41,"n.m.")</f>
        <v>24.625997340425531</v>
      </c>
      <c r="AK41" s="888">
        <f>IFERROR(I41/BD41,"n.m.")</f>
        <v>15.106556541246048</v>
      </c>
      <c r="AL41" s="888">
        <f>IFERROR(H41/BG41,"n.m.")</f>
        <v>73.276836158192097</v>
      </c>
      <c r="AM41" s="888">
        <f>IFERROR(H41/BE41,"n.m.")</f>
        <v>104.45637583892616</v>
      </c>
      <c r="AN41" s="888">
        <f>IFERROR(H41/BF41,"n.m.")</f>
        <v>43.780590717299589</v>
      </c>
      <c r="AO41" s="888">
        <f>IFERROR(H41/BI41,"n.m.")</f>
        <v>24.197761194029855</v>
      </c>
      <c r="AP41" s="793"/>
      <c r="AQ41" s="1202">
        <f>V41/U41</f>
        <v>0.11824364165258067</v>
      </c>
      <c r="AR41" s="793"/>
      <c r="AS41" s="897">
        <v>1.1399999999999999</v>
      </c>
      <c r="AT41" s="991"/>
      <c r="AU41" s="1197">
        <v>360</v>
      </c>
      <c r="AV41" s="1197">
        <v>407.024</v>
      </c>
      <c r="AW41" s="1197">
        <v>386.17600000000004</v>
      </c>
      <c r="AX41" s="1197">
        <v>427.88000000000005</v>
      </c>
      <c r="AY41" s="1197">
        <v>472.54399999999998</v>
      </c>
      <c r="AZ41" s="1197">
        <v>22.96</v>
      </c>
      <c r="BA41" s="1197">
        <v>48.128</v>
      </c>
      <c r="BB41" s="1197">
        <v>33.327999999999996</v>
      </c>
      <c r="BC41" s="1197">
        <v>62.920000000000009</v>
      </c>
      <c r="BD41" s="1197">
        <v>78.456000000000003</v>
      </c>
      <c r="BE41" s="1197">
        <v>11.920000000000002</v>
      </c>
      <c r="BF41" s="1197">
        <v>28.439999999999998</v>
      </c>
      <c r="BG41" s="1197">
        <v>16.992000000000001</v>
      </c>
      <c r="BH41" s="1197">
        <v>39.888000000000005</v>
      </c>
      <c r="BI41" s="1197">
        <v>51.455999999999996</v>
      </c>
      <c r="BJ41" s="793"/>
      <c r="BK41" s="889">
        <f t="shared" ref="BK41:BY41" si="116">AU41/$D41</f>
        <v>455.69620253164555</v>
      </c>
      <c r="BL41" s="889">
        <f t="shared" si="116"/>
        <v>515.22025316455699</v>
      </c>
      <c r="BM41" s="889">
        <f t="shared" si="116"/>
        <v>488.83037974683549</v>
      </c>
      <c r="BN41" s="889">
        <f t="shared" si="116"/>
        <v>541.62025316455697</v>
      </c>
      <c r="BO41" s="889">
        <f t="shared" si="116"/>
        <v>598.15696202531637</v>
      </c>
      <c r="BP41" s="889">
        <f t="shared" si="116"/>
        <v>29.063291139240505</v>
      </c>
      <c r="BQ41" s="889">
        <f t="shared" si="116"/>
        <v>60.92151898734177</v>
      </c>
      <c r="BR41" s="889">
        <f t="shared" si="116"/>
        <v>42.187341772151889</v>
      </c>
      <c r="BS41" s="889">
        <f t="shared" si="116"/>
        <v>79.64556962025317</v>
      </c>
      <c r="BT41" s="889">
        <f t="shared" si="116"/>
        <v>99.311392405063287</v>
      </c>
      <c r="BU41" s="889">
        <f t="shared" si="116"/>
        <v>15.088607594936711</v>
      </c>
      <c r="BV41" s="889">
        <f t="shared" si="116"/>
        <v>35.999999999999993</v>
      </c>
      <c r="BW41" s="889">
        <f t="shared" si="116"/>
        <v>21.508860759493672</v>
      </c>
      <c r="BX41" s="889">
        <f t="shared" si="116"/>
        <v>50.491139240506335</v>
      </c>
      <c r="BY41" s="889">
        <f t="shared" si="116"/>
        <v>65.134177215189865</v>
      </c>
    </row>
    <row r="42" spans="1:16328">
      <c r="A42" s="828"/>
      <c r="B42" s="829"/>
      <c r="C42" s="987"/>
      <c r="D42" s="1206"/>
      <c r="E42" s="23"/>
      <c r="F42" s="987"/>
      <c r="G42" s="1211"/>
      <c r="H42" s="351"/>
      <c r="I42" s="351"/>
      <c r="J42" s="3"/>
      <c r="K42" s="3"/>
      <c r="L42" s="23"/>
      <c r="M42" s="23"/>
      <c r="N42" s="23"/>
      <c r="O42" s="987"/>
      <c r="P42" s="1211"/>
      <c r="Q42" s="351"/>
      <c r="R42" s="351"/>
      <c r="S42" s="3"/>
      <c r="T42" s="3"/>
      <c r="U42" s="23"/>
      <c r="V42" s="23"/>
      <c r="W42" s="23"/>
      <c r="X42" s="987"/>
      <c r="Y42" s="351"/>
      <c r="Z42" s="989"/>
      <c r="AA42" s="989"/>
      <c r="AB42" s="989"/>
      <c r="AC42" s="987"/>
      <c r="AD42" s="221"/>
      <c r="AE42" s="221"/>
      <c r="AF42" s="221"/>
      <c r="AG42" s="221"/>
      <c r="AH42" s="221"/>
      <c r="AI42" s="221"/>
      <c r="AJ42" s="221"/>
      <c r="AK42" s="221"/>
      <c r="AL42" s="221"/>
      <c r="AM42" s="221"/>
      <c r="AN42" s="221"/>
      <c r="AO42" s="221"/>
      <c r="AP42" s="987"/>
      <c r="AQ42" s="1201"/>
      <c r="AR42" s="3"/>
      <c r="AS42" s="988"/>
      <c r="AT42" s="987"/>
      <c r="AU42" s="1198"/>
      <c r="AV42" s="1198"/>
      <c r="AW42" s="1198"/>
      <c r="AX42" s="1198"/>
      <c r="AY42" s="1198"/>
      <c r="AZ42" s="1198"/>
      <c r="BA42" s="1198"/>
      <c r="BB42" s="1198"/>
      <c r="BC42" s="1198"/>
      <c r="BD42" s="1198"/>
      <c r="BE42" s="1198"/>
      <c r="BF42" s="1198"/>
      <c r="BG42" s="1198"/>
      <c r="BH42" s="1198"/>
      <c r="BI42" s="1198"/>
      <c r="BJ42" s="3"/>
      <c r="BK42" s="1200"/>
      <c r="BL42" s="1200"/>
      <c r="BM42" s="1200"/>
      <c r="BN42" s="1200"/>
      <c r="BO42" s="1200"/>
      <c r="BP42" s="1200"/>
      <c r="BQ42" s="1200"/>
      <c r="BR42" s="1200"/>
      <c r="BS42" s="1200"/>
      <c r="BT42" s="1200"/>
      <c r="BU42" s="3"/>
      <c r="BV42" s="3"/>
      <c r="BW42" s="3"/>
      <c r="BX42" s="3"/>
      <c r="BY42" s="3"/>
    </row>
    <row r="43" spans="1:16328">
      <c r="A43" s="1209"/>
      <c r="B43" s="829" t="s">
        <v>906</v>
      </c>
      <c r="C43" s="73"/>
      <c r="D43" s="1208"/>
      <c r="E43" s="73"/>
      <c r="F43" s="73"/>
      <c r="G43" s="1215"/>
      <c r="H43" s="901"/>
      <c r="I43" s="901"/>
      <c r="J43" s="901"/>
      <c r="K43" s="901"/>
      <c r="L43" s="901"/>
      <c r="M43" s="901"/>
      <c r="N43" s="901"/>
      <c r="O43" s="793"/>
      <c r="P43" s="1213"/>
      <c r="Q43" s="903"/>
      <c r="R43" s="903"/>
      <c r="S43" s="903"/>
      <c r="T43" s="903"/>
      <c r="U43" s="903"/>
      <c r="V43" s="903"/>
      <c r="W43" s="903"/>
      <c r="X43" s="894"/>
      <c r="Y43" s="896"/>
      <c r="Z43" s="995"/>
      <c r="AA43" s="996"/>
      <c r="AB43" s="996"/>
      <c r="AC43" s="894"/>
      <c r="AD43" s="893"/>
      <c r="AE43" s="893"/>
      <c r="AF43" s="893"/>
      <c r="AG43" s="893"/>
      <c r="AH43" s="893"/>
      <c r="AI43" s="893"/>
      <c r="AJ43" s="893"/>
      <c r="AK43" s="893"/>
      <c r="AL43" s="893"/>
      <c r="AM43" s="893"/>
      <c r="AN43" s="893"/>
      <c r="AO43" s="893"/>
      <c r="AP43" s="894"/>
      <c r="AQ43" s="1203"/>
      <c r="AR43" s="793"/>
      <c r="AS43" s="899"/>
      <c r="AT43" s="793"/>
      <c r="AU43" s="1198"/>
      <c r="AV43" s="1198"/>
      <c r="AW43" s="1198"/>
      <c r="AX43" s="1198"/>
      <c r="AY43" s="1198"/>
      <c r="AZ43" s="1198"/>
      <c r="BA43" s="1198"/>
      <c r="BB43" s="1198"/>
      <c r="BC43" s="1198"/>
      <c r="BD43" s="1198"/>
      <c r="BE43" s="1198"/>
      <c r="BF43" s="1198"/>
      <c r="BG43" s="1198"/>
      <c r="BH43" s="1198"/>
      <c r="BI43" s="1198"/>
      <c r="BJ43" s="793"/>
      <c r="BK43" s="997"/>
      <c r="BL43" s="997"/>
      <c r="BM43" s="997"/>
      <c r="BN43" s="997"/>
      <c r="BO43" s="997"/>
      <c r="BP43" s="997"/>
      <c r="BQ43" s="997"/>
      <c r="BR43" s="997"/>
      <c r="BS43" s="997"/>
      <c r="BT43" s="997"/>
      <c r="BU43" s="891"/>
      <c r="BV43" s="891"/>
      <c r="BW43" s="891"/>
      <c r="BX43" s="891"/>
      <c r="BY43" s="891"/>
    </row>
    <row r="44" spans="1:16328">
      <c r="A44" s="828"/>
      <c r="B44" s="420" t="s">
        <v>128</v>
      </c>
      <c r="C44" s="987"/>
      <c r="D44" s="1206">
        <f>$E$51</f>
        <v>0.79</v>
      </c>
      <c r="E44" s="3" t="s">
        <v>907</v>
      </c>
      <c r="F44" s="987"/>
      <c r="G44" s="1214">
        <v>28.368000000000002</v>
      </c>
      <c r="H44" s="900">
        <v>63422.080000000009</v>
      </c>
      <c r="I44" s="900">
        <v>80631.280000000013</v>
      </c>
      <c r="J44" s="900">
        <v>17376.72</v>
      </c>
      <c r="K44" s="900">
        <v>1641.6959999999999</v>
      </c>
      <c r="L44" s="900">
        <v>16809.752</v>
      </c>
      <c r="M44" s="900">
        <v>5627.92</v>
      </c>
      <c r="N44" s="900">
        <v>3451.12</v>
      </c>
      <c r="O44" s="793"/>
      <c r="P44" s="1210">
        <f t="shared" ref="P44:W44" si="117">IFERROR(G44/$D44,"n.m.")</f>
        <v>35.90886075949367</v>
      </c>
      <c r="Q44" s="902">
        <f t="shared" si="117"/>
        <v>80281.113924050645</v>
      </c>
      <c r="R44" s="902">
        <f t="shared" si="117"/>
        <v>102064.91139240508</v>
      </c>
      <c r="S44" s="902">
        <f>IFERROR(J44/$D44,"n.m.")</f>
        <v>21995.848101265823</v>
      </c>
      <c r="T44" s="902">
        <f t="shared" si="117"/>
        <v>2078.0962025316453</v>
      </c>
      <c r="U44" s="902">
        <f t="shared" si="117"/>
        <v>21278.167088607595</v>
      </c>
      <c r="V44" s="902">
        <f t="shared" si="117"/>
        <v>7123.9493670886077</v>
      </c>
      <c r="W44" s="902">
        <f t="shared" si="117"/>
        <v>4368.506329113924</v>
      </c>
      <c r="X44" s="793"/>
      <c r="Y44" s="888">
        <f>IFERROR(S44/Q44,"n.m.")</f>
        <v>0.27398533759851457</v>
      </c>
      <c r="Z44" s="888">
        <f>IFERROR((S44-T44)/V44,"n.m.")</f>
        <v>2.795886224395514</v>
      </c>
      <c r="AA44" s="888">
        <f>IFERROR(S44/R44,"n.m.")</f>
        <v>0.21550842303383994</v>
      </c>
      <c r="AB44" s="888">
        <f>IFERROR((S44-T44)/R44,"n.m.")</f>
        <v>0.19514788801566835</v>
      </c>
      <c r="AC44" s="793"/>
      <c r="AD44" s="888">
        <f>IFERROR(I44/AW44,"n.m.")</f>
        <v>4.66210643611414</v>
      </c>
      <c r="AE44" s="888">
        <f>IFERROR(I44/AU44,"n.m.")</f>
        <v>4.6982011588284935</v>
      </c>
      <c r="AF44" s="888">
        <f>IFERROR(I44/AV44,"n.m.")</f>
        <v>4.7966965842208742</v>
      </c>
      <c r="AG44" s="888">
        <f>IFERROR(I44/AY44,"n.m.")</f>
        <v>4.556203548708055</v>
      </c>
      <c r="AH44" s="888">
        <f>IFERROR(I44/BB44,"n.m.")</f>
        <v>13.691027467877623</v>
      </c>
      <c r="AI44" s="888">
        <f>IFERROR(I44/AZ44,"n.m.")</f>
        <v>14.207454081560734</v>
      </c>
      <c r="AJ44" s="888">
        <f>IFERROR(I44/BA44,"n.m.")</f>
        <v>14.327012466417436</v>
      </c>
      <c r="AK44" s="888">
        <f>IFERROR(I44/BD44,"n.m.")</f>
        <v>13.480353737056527</v>
      </c>
      <c r="AL44" s="888">
        <f>IFERROR(H44/BG44,"n.m.")</f>
        <v>17.030084959668326</v>
      </c>
      <c r="AM44" s="888">
        <f>IFERROR(H44/BE44,"n.m.")</f>
        <v>16.936401119442845</v>
      </c>
      <c r="AN44" s="888">
        <f>IFERROR(H44/BF44,"n.m.")</f>
        <v>18.377245647789707</v>
      </c>
      <c r="AO44" s="888">
        <f>IFERROR(H44/BI44,"n.m.")</f>
        <v>17.199749198890057</v>
      </c>
      <c r="AP44" s="793"/>
      <c r="AQ44" s="1202">
        <f t="shared" ref="AQ44" si="118">V44/U44</f>
        <v>0.33480089414763525</v>
      </c>
      <c r="AR44" s="793"/>
      <c r="AS44" s="897">
        <v>0.32</v>
      </c>
      <c r="AT44" s="991"/>
      <c r="AU44" s="1197">
        <v>17162.16</v>
      </c>
      <c r="AV44" s="1197">
        <v>16809.752</v>
      </c>
      <c r="AW44" s="1197">
        <v>17295.032000000003</v>
      </c>
      <c r="AX44" s="1197">
        <v>16809.752</v>
      </c>
      <c r="AY44" s="1197">
        <v>17697.032000000003</v>
      </c>
      <c r="AZ44" s="1197">
        <v>5675.2800000000007</v>
      </c>
      <c r="BA44" s="1197">
        <v>5627.92</v>
      </c>
      <c r="BB44" s="1197">
        <v>5889.3519999999999</v>
      </c>
      <c r="BC44" s="1197">
        <v>5627.92</v>
      </c>
      <c r="BD44" s="1197">
        <v>5981.3919999999998</v>
      </c>
      <c r="BE44" s="1197">
        <v>3744.72</v>
      </c>
      <c r="BF44" s="1197">
        <v>3451.12</v>
      </c>
      <c r="BG44" s="1197">
        <v>3724.12</v>
      </c>
      <c r="BH44" s="1197">
        <v>3451.12</v>
      </c>
      <c r="BI44" s="1197">
        <v>3687.384</v>
      </c>
      <c r="BJ44" s="793"/>
      <c r="BK44" s="889">
        <f>AU44/$D44</f>
        <v>21724.253164556962</v>
      </c>
      <c r="BL44" s="889">
        <f t="shared" ref="BL44" si="119">AV44/$D44</f>
        <v>21278.167088607595</v>
      </c>
      <c r="BM44" s="889">
        <f t="shared" ref="BM44" si="120">AW44/$D44</f>
        <v>21892.445569620257</v>
      </c>
      <c r="BN44" s="889">
        <f t="shared" ref="BN44" si="121">AX44/$D44</f>
        <v>21278.167088607595</v>
      </c>
      <c r="BO44" s="889">
        <f t="shared" ref="BO44" si="122">AY44/$D44</f>
        <v>22401.306329113926</v>
      </c>
      <c r="BP44" s="889">
        <f t="shared" ref="BP44" si="123">AZ44/$D44</f>
        <v>7183.8987341772154</v>
      </c>
      <c r="BQ44" s="889">
        <f t="shared" ref="BQ44" si="124">BA44/$D44</f>
        <v>7123.9493670886077</v>
      </c>
      <c r="BR44" s="889">
        <f t="shared" ref="BR44" si="125">BB44/$D44</f>
        <v>7454.8759493670877</v>
      </c>
      <c r="BS44" s="889">
        <f t="shared" ref="BS44" si="126">BC44/$D44</f>
        <v>7123.9493670886077</v>
      </c>
      <c r="BT44" s="889">
        <f t="shared" ref="BT44" si="127">BD44/$D44</f>
        <v>7571.3822784810118</v>
      </c>
      <c r="BU44" s="889">
        <f t="shared" ref="BU44" si="128">BE44/$D44</f>
        <v>4740.1518987341769</v>
      </c>
      <c r="BV44" s="889">
        <f t="shared" ref="BV44" si="129">BF44/$D44</f>
        <v>4368.506329113924</v>
      </c>
      <c r="BW44" s="889">
        <f t="shared" ref="BW44" si="130">BG44/$D44</f>
        <v>4714.0759493670885</v>
      </c>
      <c r="BX44" s="889">
        <f t="shared" ref="BX44" si="131">BH44/$D44</f>
        <v>4368.506329113924</v>
      </c>
      <c r="BY44" s="889">
        <f t="shared" ref="BY44" si="132">BI44/$D44</f>
        <v>4667.5746835443033</v>
      </c>
    </row>
    <row r="45" spans="1:16328">
      <c r="B45" s="3"/>
      <c r="C45" s="3"/>
      <c r="D45" s="3"/>
      <c r="E45" s="3"/>
      <c r="F45" s="3"/>
      <c r="G45" s="3"/>
      <c r="H45" s="3"/>
      <c r="I45" s="3"/>
      <c r="J45" s="3"/>
      <c r="K45" s="3"/>
      <c r="L45" s="3"/>
      <c r="M45" s="3"/>
      <c r="N45" s="3"/>
      <c r="O45" s="3"/>
      <c r="P45" s="3"/>
      <c r="Q45" s="3"/>
      <c r="R45" s="3"/>
      <c r="S45" s="3"/>
      <c r="T45" s="3"/>
      <c r="U45" s="3"/>
      <c r="V45" s="3"/>
      <c r="W45" s="3"/>
      <c r="X45" s="3"/>
      <c r="Y45" s="993"/>
      <c r="Z45" s="478"/>
      <c r="AA45" s="994"/>
      <c r="AB45" s="994"/>
      <c r="AC45" s="994"/>
      <c r="AD45" s="994"/>
      <c r="AE45" s="994"/>
      <c r="AF45" s="994"/>
      <c r="AG45" s="994"/>
      <c r="AH45" s="994"/>
      <c r="AI45" s="994"/>
      <c r="AJ45" s="994"/>
      <c r="AK45" s="994"/>
      <c r="AL45" s="994"/>
      <c r="AM45" s="994"/>
      <c r="AN45" s="994"/>
      <c r="AO45" s="994"/>
      <c r="AP45" s="994"/>
      <c r="AQ45" s="994"/>
      <c r="AR45" s="994"/>
      <c r="AS45" s="994"/>
      <c r="AT45" s="994"/>
      <c r="AU45" s="994"/>
      <c r="AV45" s="994"/>
      <c r="AW45" s="994"/>
      <c r="AX45" s="994"/>
      <c r="AY45" s="994"/>
      <c r="AZ45" s="994"/>
      <c r="BA45" s="994"/>
      <c r="BB45" s="994"/>
      <c r="BC45" s="994"/>
      <c r="BD45" s="994"/>
      <c r="BE45" s="994"/>
      <c r="BF45" s="994"/>
      <c r="BG45" s="994"/>
      <c r="BH45" s="994"/>
      <c r="BI45" s="994"/>
      <c r="BJ45" s="994"/>
      <c r="BK45" s="994"/>
      <c r="BL45" s="994"/>
      <c r="BM45" s="994"/>
      <c r="BN45" s="994"/>
      <c r="BO45" s="994"/>
      <c r="BP45" s="994"/>
      <c r="BQ45" s="994"/>
      <c r="BR45" s="994"/>
      <c r="BS45" s="994"/>
      <c r="BT45" s="994"/>
      <c r="BU45" s="994"/>
      <c r="BV45" s="994"/>
      <c r="BW45" s="994"/>
      <c r="BX45" s="994"/>
      <c r="BY45" s="994"/>
      <c r="BZ45" s="994"/>
      <c r="CA45" s="994"/>
      <c r="CB45" s="994"/>
      <c r="CC45" s="994"/>
      <c r="CD45" s="994"/>
      <c r="CE45" s="994"/>
    </row>
    <row r="46" spans="1:16328">
      <c r="B46" s="1" t="s">
        <v>908</v>
      </c>
      <c r="C46" s="3"/>
      <c r="D46" s="3"/>
      <c r="E46" s="831">
        <f ca="1">TODAY()</f>
        <v>45300</v>
      </c>
      <c r="F46" s="3"/>
      <c r="G46" s="3"/>
      <c r="H46" s="3"/>
      <c r="I46" s="3"/>
      <c r="J46" s="3"/>
      <c r="K46" s="3"/>
      <c r="L46" s="3"/>
      <c r="M46" s="3"/>
      <c r="N46" s="3"/>
      <c r="O46" s="3"/>
      <c r="P46" s="3"/>
      <c r="Q46" s="3"/>
      <c r="R46" s="3"/>
      <c r="S46" s="3"/>
      <c r="T46" s="3"/>
      <c r="U46" s="3"/>
      <c r="V46" s="3"/>
      <c r="W46" s="3"/>
      <c r="X46" s="3"/>
      <c r="Y46" s="993"/>
      <c r="Z46" s="478"/>
      <c r="AA46" s="994"/>
      <c r="AB46" s="994"/>
      <c r="AC46" s="994"/>
      <c r="AD46" s="994"/>
      <c r="AE46" s="994"/>
      <c r="AF46" s="994"/>
      <c r="AG46" s="994"/>
      <c r="AH46" s="994"/>
      <c r="AI46" s="994"/>
      <c r="AJ46" s="994"/>
      <c r="AK46" s="994"/>
      <c r="AL46" s="994"/>
      <c r="AM46" s="994"/>
      <c r="AN46" s="994"/>
      <c r="AO46" s="994"/>
      <c r="AP46" s="994"/>
      <c r="AQ46" s="994"/>
      <c r="AR46" s="994"/>
      <c r="AS46" s="994"/>
      <c r="AT46" s="994"/>
      <c r="AU46" s="994"/>
      <c r="AV46" s="994"/>
      <c r="AW46" s="994"/>
      <c r="AX46" s="994"/>
      <c r="AY46" s="994"/>
      <c r="AZ46" s="994"/>
      <c r="BA46" s="994"/>
      <c r="BB46" s="994"/>
      <c r="BC46" s="994"/>
      <c r="BD46" s="994"/>
      <c r="BE46" s="994"/>
      <c r="BF46" s="994"/>
      <c r="BG46" s="994"/>
      <c r="BH46" s="994"/>
      <c r="BI46" s="994"/>
      <c r="BJ46" s="994"/>
      <c r="BK46" s="994"/>
      <c r="BL46" s="994"/>
      <c r="BM46" s="994"/>
      <c r="BN46" s="994"/>
      <c r="BO46" s="994"/>
      <c r="BP46" s="994"/>
      <c r="BQ46" s="994"/>
      <c r="BR46" s="994"/>
      <c r="BS46" s="994"/>
      <c r="BT46" s="994"/>
      <c r="BU46" s="994"/>
      <c r="BV46" s="994"/>
      <c r="BW46" s="994"/>
      <c r="BX46" s="994"/>
      <c r="BY46" s="994"/>
      <c r="BZ46" s="994"/>
      <c r="CA46" s="994"/>
      <c r="CB46" s="994"/>
      <c r="CC46" s="994"/>
      <c r="CD46" s="994"/>
      <c r="CE46" s="994"/>
    </row>
    <row r="47" spans="1:16328">
      <c r="B47" s="3" t="s">
        <v>909</v>
      </c>
      <c r="C47" s="3"/>
      <c r="D47" s="3"/>
      <c r="E47" s="230">
        <v>1</v>
      </c>
      <c r="F47" s="3"/>
      <c r="G47" s="3" t="s">
        <v>910</v>
      </c>
      <c r="H47" s="832"/>
      <c r="I47" s="3"/>
      <c r="J47" s="3"/>
      <c r="K47" s="3"/>
      <c r="L47" s="3"/>
      <c r="M47" s="3"/>
      <c r="N47" s="3"/>
      <c r="O47" s="3"/>
      <c r="P47" s="3"/>
      <c r="Q47" s="3"/>
      <c r="R47" s="3"/>
      <c r="S47" s="3"/>
      <c r="T47" s="3"/>
      <c r="U47" s="3"/>
      <c r="V47" s="3"/>
      <c r="W47" s="3"/>
      <c r="X47" s="3"/>
      <c r="Y47" s="3"/>
      <c r="Z47" s="987"/>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row>
    <row r="48" spans="1:16328">
      <c r="B48" s="3" t="s">
        <v>911</v>
      </c>
      <c r="C48" s="3"/>
      <c r="D48" s="3"/>
      <c r="E48" s="898">
        <v>1.34</v>
      </c>
      <c r="F48" s="3"/>
      <c r="G48" s="3" t="s">
        <v>912</v>
      </c>
      <c r="H48" s="832"/>
      <c r="I48" s="833"/>
      <c r="J48" s="993"/>
      <c r="K48" s="3"/>
      <c r="L48" s="3"/>
      <c r="M48" s="987"/>
      <c r="N48" s="3"/>
      <c r="O48" s="3"/>
      <c r="P48" s="3"/>
      <c r="Q48" s="3"/>
      <c r="R48" s="3"/>
      <c r="S48" s="3"/>
      <c r="T48" s="3"/>
      <c r="U48" s="3"/>
      <c r="V48" s="3"/>
      <c r="W48" s="3"/>
      <c r="X48" s="3"/>
      <c r="Y48" s="3"/>
      <c r="Z48" s="1"/>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row>
    <row r="49" spans="2:83">
      <c r="B49" s="3" t="s">
        <v>913</v>
      </c>
      <c r="C49" s="3"/>
      <c r="D49" s="3"/>
      <c r="E49" s="898">
        <v>7.1</v>
      </c>
      <c r="F49" s="3"/>
      <c r="G49" s="3" t="s">
        <v>914</v>
      </c>
      <c r="H49" s="832"/>
      <c r="I49" s="833"/>
      <c r="J49" s="993"/>
      <c r="K49" s="3"/>
      <c r="L49" s="3"/>
      <c r="M49" s="987"/>
      <c r="N49" s="3"/>
      <c r="O49" s="3"/>
      <c r="P49" s="3"/>
      <c r="Q49" s="3"/>
      <c r="R49" s="3"/>
      <c r="S49" s="3"/>
      <c r="T49" s="3"/>
      <c r="U49" s="3"/>
      <c r="V49" s="3"/>
      <c r="W49" s="3"/>
      <c r="X49" s="3"/>
      <c r="Y49" s="3"/>
      <c r="Z49" s="1"/>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row>
    <row r="50" spans="2:83">
      <c r="B50" s="3" t="s">
        <v>915</v>
      </c>
      <c r="C50" s="3"/>
      <c r="D50" s="3"/>
      <c r="E50" s="898">
        <v>7.81</v>
      </c>
      <c r="F50" s="3"/>
      <c r="G50" s="3" t="s">
        <v>916</v>
      </c>
      <c r="H50" s="832"/>
      <c r="I50" s="833"/>
      <c r="J50" s="993"/>
      <c r="K50" s="3"/>
      <c r="L50" s="3"/>
      <c r="M50" s="987"/>
      <c r="N50" s="3"/>
      <c r="O50" s="3"/>
      <c r="P50" s="3"/>
      <c r="Q50" s="3"/>
      <c r="R50" s="3"/>
      <c r="S50" s="3"/>
      <c r="T50" s="3"/>
      <c r="U50" s="3"/>
      <c r="V50" s="3"/>
      <c r="W50" s="3"/>
      <c r="X50" s="3"/>
      <c r="Y50" s="3"/>
      <c r="Z50" s="1"/>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row>
    <row r="51" spans="2:83">
      <c r="B51" s="3" t="s">
        <v>917</v>
      </c>
      <c r="C51" s="3"/>
      <c r="D51" s="3"/>
      <c r="E51" s="1354">
        <v>0.79</v>
      </c>
      <c r="F51" s="3"/>
      <c r="G51" s="3" t="s">
        <v>918</v>
      </c>
      <c r="H51" s="832"/>
      <c r="I51" s="833"/>
      <c r="J51" s="993"/>
      <c r="K51" s="3"/>
      <c r="L51" s="3"/>
      <c r="M51" s="987"/>
      <c r="N51" s="3"/>
      <c r="O51" s="3"/>
      <c r="P51" s="3"/>
      <c r="Q51" s="3"/>
      <c r="R51" s="3"/>
      <c r="S51" s="3"/>
      <c r="T51" s="3"/>
      <c r="U51" s="3"/>
      <c r="V51" s="3"/>
      <c r="W51" s="3"/>
      <c r="X51" s="3"/>
      <c r="Y51" s="3"/>
      <c r="Z51" s="1"/>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row>
    <row r="52" spans="2:83">
      <c r="B52" s="3" t="s">
        <v>919</v>
      </c>
      <c r="C52" s="3"/>
      <c r="D52" s="3"/>
      <c r="E52" s="898">
        <v>0.91</v>
      </c>
      <c r="F52" s="3"/>
      <c r="G52" s="3" t="s">
        <v>920</v>
      </c>
      <c r="H52" s="832"/>
      <c r="I52" s="833"/>
      <c r="J52" s="993"/>
      <c r="K52" s="3"/>
      <c r="L52" s="3"/>
      <c r="M52" s="987"/>
      <c r="N52" s="3"/>
      <c r="O52" s="3"/>
      <c r="P52" s="3"/>
      <c r="Q52" s="3"/>
      <c r="R52" s="3"/>
      <c r="S52" s="3"/>
      <c r="T52" s="3"/>
      <c r="U52" s="3"/>
      <c r="V52" s="3"/>
      <c r="W52" s="3"/>
      <c r="X52" s="3"/>
      <c r="Y52" s="3"/>
      <c r="Z52" s="1"/>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row>
    <row r="53" spans="2:83">
      <c r="B53" s="3" t="s">
        <v>921</v>
      </c>
      <c r="C53" s="3"/>
      <c r="D53" s="3"/>
      <c r="E53" s="898">
        <v>144.63999999999999</v>
      </c>
      <c r="F53" s="3"/>
      <c r="G53" s="3" t="s">
        <v>922</v>
      </c>
      <c r="H53" s="832"/>
      <c r="I53" s="833"/>
      <c r="J53" s="993"/>
      <c r="K53" s="3"/>
      <c r="L53" s="3"/>
      <c r="M53" s="987"/>
      <c r="N53" s="3"/>
      <c r="O53" s="3"/>
      <c r="P53" s="3"/>
      <c r="Q53" s="3"/>
      <c r="R53" s="3"/>
      <c r="S53" s="3"/>
      <c r="T53" s="3"/>
      <c r="U53" s="3"/>
      <c r="V53" s="3"/>
      <c r="W53" s="3"/>
      <c r="X53" s="3"/>
      <c r="Y53" s="3"/>
      <c r="Z53" s="1"/>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row>
    <row r="54" spans="2:83">
      <c r="B54" s="3" t="s">
        <v>923</v>
      </c>
      <c r="C54" s="3"/>
      <c r="D54" s="3"/>
      <c r="E54" s="898">
        <v>55.51</v>
      </c>
      <c r="F54" s="3"/>
      <c r="G54" s="3" t="s">
        <v>924</v>
      </c>
      <c r="H54" s="832"/>
      <c r="I54" s="833"/>
      <c r="J54" s="993"/>
      <c r="K54" s="3"/>
      <c r="L54" s="3"/>
      <c r="M54" s="987"/>
      <c r="N54" s="3"/>
      <c r="O54" s="3"/>
      <c r="P54" s="3"/>
      <c r="Q54" s="3"/>
      <c r="R54" s="3"/>
      <c r="S54" s="3"/>
      <c r="T54" s="3"/>
      <c r="U54" s="3"/>
      <c r="V54" s="3"/>
      <c r="W54" s="3"/>
      <c r="X54" s="3"/>
      <c r="Y54" s="3"/>
      <c r="Z54" s="1"/>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row>
    <row r="55" spans="2:83">
      <c r="B55" s="3" t="s">
        <v>925</v>
      </c>
      <c r="C55" s="3"/>
      <c r="D55" s="3"/>
      <c r="E55" s="898">
        <v>1.49</v>
      </c>
      <c r="F55" s="3"/>
      <c r="G55" s="3" t="s">
        <v>926</v>
      </c>
      <c r="H55" s="832"/>
      <c r="I55" s="833"/>
      <c r="J55" s="993"/>
      <c r="K55" s="3"/>
      <c r="L55" s="3"/>
      <c r="M55" s="987"/>
      <c r="N55" s="3"/>
      <c r="O55" s="3"/>
      <c r="P55" s="3"/>
      <c r="Q55" s="3"/>
      <c r="R55" s="3"/>
      <c r="S55" s="3"/>
      <c r="T55" s="3"/>
      <c r="U55" s="3"/>
      <c r="V55" s="3"/>
      <c r="W55" s="3"/>
      <c r="X55" s="3"/>
      <c r="Y55" s="3"/>
      <c r="Z55" s="1"/>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row>
    <row r="56" spans="2:83">
      <c r="B56" s="3" t="s">
        <v>927</v>
      </c>
      <c r="C56" s="3"/>
      <c r="D56" s="3"/>
      <c r="E56" s="898">
        <v>83.19</v>
      </c>
      <c r="F56" s="3"/>
      <c r="G56" s="3" t="s">
        <v>928</v>
      </c>
      <c r="H56" s="832"/>
      <c r="I56" s="833"/>
      <c r="J56" s="993"/>
      <c r="K56" s="3"/>
      <c r="L56" s="3"/>
      <c r="M56" s="987"/>
      <c r="N56" s="3"/>
      <c r="O56" s="3"/>
      <c r="P56" s="3"/>
      <c r="Q56" s="3"/>
      <c r="R56" s="3"/>
      <c r="S56" s="3"/>
      <c r="T56" s="3"/>
      <c r="U56" s="3"/>
      <c r="V56" s="3"/>
      <c r="W56" s="3"/>
      <c r="X56" s="3"/>
      <c r="Y56" s="3"/>
      <c r="Z56" s="1"/>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row>
    <row r="57" spans="2:83">
      <c r="B57" s="3" t="s">
        <v>929</v>
      </c>
      <c r="C57" s="3"/>
      <c r="D57" s="3"/>
      <c r="E57" s="898">
        <v>4.87</v>
      </c>
      <c r="F57" s="3"/>
      <c r="G57" s="3" t="s">
        <v>930</v>
      </c>
      <c r="H57" s="832"/>
      <c r="I57" s="833"/>
      <c r="J57" s="993"/>
      <c r="K57" s="3"/>
      <c r="L57" s="3"/>
      <c r="M57" s="987"/>
      <c r="N57" s="3"/>
      <c r="O57" s="3"/>
      <c r="P57" s="3"/>
      <c r="Q57" s="3"/>
      <c r="R57" s="3"/>
      <c r="S57" s="3"/>
      <c r="T57" s="3"/>
      <c r="U57" s="3"/>
      <c r="V57" s="3"/>
      <c r="W57" s="3"/>
      <c r="X57" s="3"/>
      <c r="Y57" s="3"/>
      <c r="Z57" s="1"/>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row>
    <row r="58" spans="2:83">
      <c r="B58" s="3" t="s">
        <v>931</v>
      </c>
      <c r="C58" s="3"/>
      <c r="D58" s="3"/>
      <c r="E58" s="898">
        <v>1.33</v>
      </c>
      <c r="F58" s="3"/>
      <c r="G58" s="3" t="s">
        <v>932</v>
      </c>
      <c r="H58" s="832"/>
      <c r="I58" s="833"/>
      <c r="J58" s="993"/>
      <c r="K58" s="3"/>
      <c r="L58" s="3"/>
      <c r="M58" s="987"/>
      <c r="N58" s="3"/>
      <c r="O58" s="3"/>
      <c r="P58" s="3"/>
      <c r="Q58" s="3"/>
      <c r="R58" s="3"/>
      <c r="S58" s="3"/>
      <c r="T58" s="3"/>
      <c r="U58" s="3"/>
      <c r="V58" s="3"/>
      <c r="W58" s="3"/>
      <c r="X58" s="3"/>
      <c r="Y58" s="3"/>
      <c r="Z58" s="1"/>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row>
    <row r="59" spans="2:83">
      <c r="B59" s="3" t="s">
        <v>933</v>
      </c>
      <c r="C59" s="3"/>
      <c r="D59" s="3"/>
      <c r="E59" s="898">
        <v>1314.75</v>
      </c>
      <c r="F59" s="3"/>
      <c r="G59" s="3" t="s">
        <v>934</v>
      </c>
      <c r="H59" s="832"/>
      <c r="I59" s="833"/>
      <c r="J59" s="993"/>
      <c r="K59" s="3"/>
      <c r="L59" s="3"/>
      <c r="M59" s="987"/>
      <c r="N59" s="3"/>
      <c r="O59" s="3"/>
      <c r="P59" s="3"/>
      <c r="Q59" s="3"/>
      <c r="R59" s="3"/>
      <c r="S59" s="3"/>
      <c r="T59" s="3"/>
      <c r="U59" s="3"/>
      <c r="V59" s="3"/>
      <c r="W59" s="3"/>
      <c r="X59" s="3"/>
      <c r="Y59" s="3"/>
      <c r="Z59" s="1"/>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row>
    <row r="60" spans="2:83">
      <c r="B60" s="3" t="s">
        <v>935</v>
      </c>
      <c r="C60" s="3"/>
      <c r="D60" s="3"/>
      <c r="E60" s="898">
        <v>16.88</v>
      </c>
      <c r="F60" s="3"/>
      <c r="G60" s="3" t="s">
        <v>936</v>
      </c>
      <c r="H60" s="832"/>
      <c r="I60" s="833"/>
      <c r="J60" s="993"/>
      <c r="K60" s="3"/>
      <c r="L60" s="3"/>
      <c r="M60" s="987"/>
      <c r="N60" s="3"/>
      <c r="O60" s="3"/>
      <c r="P60" s="3"/>
      <c r="Q60" s="3"/>
      <c r="R60" s="3"/>
      <c r="S60" s="3"/>
      <c r="T60" s="3"/>
      <c r="U60" s="3"/>
      <c r="V60" s="3"/>
      <c r="W60" s="3"/>
      <c r="X60" s="3"/>
      <c r="Y60" s="3"/>
      <c r="Z60" s="1"/>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row>
    <row r="61" spans="2:83">
      <c r="B61" s="88"/>
      <c r="Z61" s="822"/>
    </row>
    <row r="62" spans="2:83">
      <c r="B62" s="1" t="s">
        <v>937</v>
      </c>
      <c r="Z62" s="822"/>
    </row>
    <row r="63" spans="2:83">
      <c r="B63" s="1" t="s">
        <v>938</v>
      </c>
      <c r="Z63" s="822"/>
    </row>
    <row r="64" spans="2:83">
      <c r="B64" s="1" t="s">
        <v>939</v>
      </c>
      <c r="Z64" s="822"/>
    </row>
    <row r="65" spans="2:77">
      <c r="B65" s="834"/>
      <c r="Z65" s="822"/>
    </row>
    <row r="66" spans="2:77">
      <c r="B66" s="3" t="s">
        <v>940</v>
      </c>
      <c r="Z66" s="822"/>
    </row>
    <row r="67" spans="2:77">
      <c r="B67" s="16">
        <v>-1</v>
      </c>
      <c r="C67" s="998"/>
      <c r="D67" s="998"/>
      <c r="E67" s="15"/>
      <c r="F67" s="998"/>
      <c r="G67" s="999">
        <f t="shared" ref="G67:N67" si="133">COLUMN()+$B67</f>
        <v>6</v>
      </c>
      <c r="H67" s="508">
        <f t="shared" si="133"/>
        <v>7</v>
      </c>
      <c r="I67" s="508">
        <f t="shared" si="133"/>
        <v>8</v>
      </c>
      <c r="J67" s="508">
        <f t="shared" si="133"/>
        <v>9</v>
      </c>
      <c r="K67" s="508">
        <f t="shared" si="133"/>
        <v>10</v>
      </c>
      <c r="L67" s="508">
        <f t="shared" si="133"/>
        <v>11</v>
      </c>
      <c r="M67" s="508">
        <f t="shared" si="133"/>
        <v>12</v>
      </c>
      <c r="N67" s="508">
        <f t="shared" si="133"/>
        <v>13</v>
      </c>
      <c r="O67" s="508"/>
      <c r="P67" s="508">
        <f t="shared" ref="P67:W67" si="134">COLUMN()+$B67</f>
        <v>15</v>
      </c>
      <c r="Q67" s="508">
        <f t="shared" si="134"/>
        <v>16</v>
      </c>
      <c r="R67" s="508">
        <f t="shared" si="134"/>
        <v>17</v>
      </c>
      <c r="S67" s="508">
        <f t="shared" si="134"/>
        <v>18</v>
      </c>
      <c r="T67" s="508">
        <f t="shared" si="134"/>
        <v>19</v>
      </c>
      <c r="U67" s="508">
        <f t="shared" si="134"/>
        <v>20</v>
      </c>
      <c r="V67" s="508">
        <f t="shared" si="134"/>
        <v>21</v>
      </c>
      <c r="W67" s="508">
        <f t="shared" si="134"/>
        <v>22</v>
      </c>
      <c r="X67" s="508"/>
      <c r="Y67" s="508">
        <f t="shared" ref="Y67:BD67" si="135">COLUMN()+$B67</f>
        <v>24</v>
      </c>
      <c r="Z67" s="508">
        <f t="shared" si="135"/>
        <v>25</v>
      </c>
      <c r="AA67" s="508">
        <f t="shared" si="135"/>
        <v>26</v>
      </c>
      <c r="AB67" s="508">
        <f t="shared" si="135"/>
        <v>27</v>
      </c>
      <c r="AC67" s="508">
        <f t="shared" si="135"/>
        <v>28</v>
      </c>
      <c r="AD67" s="508">
        <f t="shared" si="135"/>
        <v>29</v>
      </c>
      <c r="AE67" s="508">
        <f t="shared" si="135"/>
        <v>30</v>
      </c>
      <c r="AF67" s="508">
        <f t="shared" si="135"/>
        <v>31</v>
      </c>
      <c r="AG67" s="508">
        <f t="shared" si="135"/>
        <v>32</v>
      </c>
      <c r="AH67" s="508">
        <f t="shared" si="135"/>
        <v>33</v>
      </c>
      <c r="AI67" s="508">
        <f t="shared" si="135"/>
        <v>34</v>
      </c>
      <c r="AJ67" s="508">
        <f t="shared" si="135"/>
        <v>35</v>
      </c>
      <c r="AK67" s="508">
        <f t="shared" si="135"/>
        <v>36</v>
      </c>
      <c r="AL67" s="508">
        <f t="shared" si="135"/>
        <v>37</v>
      </c>
      <c r="AM67" s="508">
        <f t="shared" si="135"/>
        <v>38</v>
      </c>
      <c r="AN67" s="508">
        <f t="shared" si="135"/>
        <v>39</v>
      </c>
      <c r="AO67" s="508">
        <f t="shared" si="135"/>
        <v>40</v>
      </c>
      <c r="AP67" s="508">
        <f t="shared" si="135"/>
        <v>41</v>
      </c>
      <c r="AQ67" s="508">
        <f t="shared" si="135"/>
        <v>42</v>
      </c>
      <c r="AR67" s="508">
        <f t="shared" si="135"/>
        <v>43</v>
      </c>
      <c r="AS67" s="508">
        <f t="shared" si="135"/>
        <v>44</v>
      </c>
      <c r="AT67" s="508">
        <f t="shared" si="135"/>
        <v>45</v>
      </c>
      <c r="AU67" s="508">
        <f t="shared" si="135"/>
        <v>46</v>
      </c>
      <c r="AV67" s="508">
        <f t="shared" si="135"/>
        <v>47</v>
      </c>
      <c r="AW67" s="508">
        <f t="shared" si="135"/>
        <v>48</v>
      </c>
      <c r="AX67" s="508">
        <f t="shared" si="135"/>
        <v>49</v>
      </c>
      <c r="AY67" s="508">
        <f t="shared" si="135"/>
        <v>50</v>
      </c>
      <c r="AZ67" s="508">
        <f t="shared" si="135"/>
        <v>51</v>
      </c>
      <c r="BA67" s="508">
        <f t="shared" si="135"/>
        <v>52</v>
      </c>
      <c r="BB67" s="508">
        <f t="shared" si="135"/>
        <v>53</v>
      </c>
      <c r="BC67" s="508">
        <f t="shared" si="135"/>
        <v>54</v>
      </c>
      <c r="BD67" s="508">
        <f t="shared" si="135"/>
        <v>55</v>
      </c>
      <c r="BE67" s="508">
        <f t="shared" ref="BE67:BY67" si="136">COLUMN()+$B67</f>
        <v>56</v>
      </c>
      <c r="BF67" s="508">
        <f t="shared" si="136"/>
        <v>57</v>
      </c>
      <c r="BG67" s="508">
        <f t="shared" si="136"/>
        <v>58</v>
      </c>
      <c r="BH67" s="508">
        <f t="shared" si="136"/>
        <v>59</v>
      </c>
      <c r="BI67" s="508">
        <f t="shared" si="136"/>
        <v>60</v>
      </c>
      <c r="BJ67" s="508">
        <f t="shared" si="136"/>
        <v>61</v>
      </c>
      <c r="BK67" s="508">
        <f t="shared" si="136"/>
        <v>62</v>
      </c>
      <c r="BL67" s="508">
        <f t="shared" si="136"/>
        <v>63</v>
      </c>
      <c r="BM67" s="508">
        <f t="shared" si="136"/>
        <v>64</v>
      </c>
      <c r="BN67" s="508">
        <f t="shared" si="136"/>
        <v>65</v>
      </c>
      <c r="BO67" s="508">
        <f t="shared" si="136"/>
        <v>66</v>
      </c>
      <c r="BP67" s="508">
        <f t="shared" si="136"/>
        <v>67</v>
      </c>
      <c r="BQ67" s="508">
        <f t="shared" si="136"/>
        <v>68</v>
      </c>
      <c r="BR67" s="508">
        <f t="shared" si="136"/>
        <v>69</v>
      </c>
      <c r="BS67" s="508">
        <f t="shared" si="136"/>
        <v>70</v>
      </c>
      <c r="BT67" s="508">
        <f t="shared" si="136"/>
        <v>71</v>
      </c>
      <c r="BU67" s="508">
        <f t="shared" si="136"/>
        <v>72</v>
      </c>
      <c r="BV67" s="508">
        <f t="shared" si="136"/>
        <v>73</v>
      </c>
      <c r="BW67" s="508">
        <f t="shared" si="136"/>
        <v>74</v>
      </c>
      <c r="BX67" s="508">
        <f t="shared" si="136"/>
        <v>75</v>
      </c>
      <c r="BY67" s="835">
        <f t="shared" si="136"/>
        <v>76</v>
      </c>
    </row>
    <row r="68" spans="2:77"/>
  </sheetData>
  <mergeCells count="9">
    <mergeCell ref="BK5:BO5"/>
    <mergeCell ref="BP5:BT5"/>
    <mergeCell ref="BU5:BY5"/>
    <mergeCell ref="AD5:AG5"/>
    <mergeCell ref="AH5:AK5"/>
    <mergeCell ref="AL5:AO5"/>
    <mergeCell ref="AU5:AY5"/>
    <mergeCell ref="AZ5:BD5"/>
    <mergeCell ref="BE5:BI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tabColor rgb="FF2E576A"/>
  </sheetPr>
  <dimension ref="A1:CI92"/>
  <sheetViews>
    <sheetView showGridLines="0" topLeftCell="A6" zoomScale="185" zoomScaleNormal="100" workbookViewId="0">
      <selection activeCell="F33" sqref="F33"/>
    </sheetView>
  </sheetViews>
  <sheetFormatPr baseColWidth="10" defaultColWidth="0" defaultRowHeight="0" customHeight="1" zeroHeight="1"/>
  <cols>
    <col min="1" max="1" width="2.5" style="428" customWidth="1"/>
    <col min="2" max="2" width="28.5" style="429" customWidth="1"/>
    <col min="3" max="3" width="1.5" style="428" customWidth="1"/>
    <col min="4" max="4" width="8.83203125" style="428" customWidth="1"/>
    <col min="5" max="5" width="1.5" style="428" customWidth="1"/>
    <col min="6" max="6" width="12.1640625" style="428" customWidth="1"/>
    <col min="7" max="7" width="1.5" style="428" customWidth="1"/>
    <col min="8" max="8" width="8.83203125" style="428" customWidth="1"/>
    <col min="9" max="9" width="1.5" style="428" customWidth="1"/>
    <col min="10" max="10" width="12.1640625" style="428" customWidth="1"/>
    <col min="11" max="11" width="1.1640625" style="428" customWidth="1"/>
    <col min="12" max="12" width="67.5" style="429" customWidth="1"/>
    <col min="13" max="13" width="1.5" style="429" customWidth="1"/>
    <col min="14" max="14" width="75.5" style="429" customWidth="1"/>
    <col min="15" max="15" width="1.5" style="429" customWidth="1"/>
    <col min="16" max="16" width="75.5" style="429" customWidth="1"/>
    <col min="17" max="17" width="8.83203125" style="428" customWidth="1"/>
    <col min="18" max="19" width="0" style="428" hidden="1" customWidth="1"/>
    <col min="20" max="16384" width="8.83203125" style="428" hidden="1"/>
  </cols>
  <sheetData>
    <row r="1" spans="1:87" s="28" customFormat="1" ht="13">
      <c r="A1" s="36"/>
      <c r="B1" s="36" t="str">
        <f>'DCF - Assumptions'!$F$8&amp;" | Precedent Transactions - Selection"</f>
        <v>Diageo PLC | Precedent Transactions - Selection</v>
      </c>
      <c r="T1" s="421"/>
      <c r="U1" s="421"/>
      <c r="V1" s="421"/>
      <c r="W1" s="421"/>
      <c r="X1" s="421"/>
      <c r="Y1" s="421"/>
    </row>
    <row r="2" spans="1:87" s="3" customFormat="1" ht="2.25" customHeight="1">
      <c r="A2" s="117"/>
      <c r="E2" s="2"/>
      <c r="F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row>
    <row r="3" spans="1:87" s="28" customFormat="1" ht="3" customHeight="1">
      <c r="A3" s="29"/>
      <c r="E3" s="26"/>
      <c r="F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row>
    <row r="4" spans="1:87" s="429" customFormat="1" ht="11">
      <c r="A4" s="441"/>
      <c r="C4" s="428"/>
      <c r="F4" s="440"/>
      <c r="G4" s="428"/>
      <c r="J4" s="440"/>
      <c r="K4" s="440"/>
      <c r="R4" s="440"/>
      <c r="S4" s="440"/>
    </row>
    <row r="5" spans="1:87" ht="11">
      <c r="B5" s="1235"/>
      <c r="C5" s="1236"/>
      <c r="D5" s="1237" t="s">
        <v>941</v>
      </c>
      <c r="E5" s="1238"/>
      <c r="F5" s="1238"/>
      <c r="G5" s="1239"/>
      <c r="H5" s="1237"/>
      <c r="I5" s="1238"/>
      <c r="J5" s="1238"/>
      <c r="K5" s="1236"/>
      <c r="L5" s="1240"/>
    </row>
    <row r="6" spans="1:87" ht="14">
      <c r="B6" s="1241"/>
      <c r="C6" s="1233"/>
      <c r="D6" s="1233"/>
      <c r="E6" s="1233"/>
      <c r="F6" s="1233" t="s">
        <v>792</v>
      </c>
      <c r="G6" s="1233"/>
      <c r="H6" s="1233"/>
      <c r="I6" s="1233"/>
      <c r="J6" s="1233" t="s">
        <v>655</v>
      </c>
      <c r="K6" s="947"/>
      <c r="L6" s="1242"/>
      <c r="M6" s="948"/>
      <c r="N6" s="948"/>
      <c r="O6" s="948"/>
      <c r="P6" s="948"/>
      <c r="Q6" s="947"/>
    </row>
    <row r="7" spans="1:87" ht="14">
      <c r="B7" s="1241" t="s">
        <v>906</v>
      </c>
      <c r="C7" s="937"/>
      <c r="D7" s="937" t="s">
        <v>795</v>
      </c>
      <c r="E7" s="937"/>
      <c r="F7" s="937" t="s">
        <v>844</v>
      </c>
      <c r="G7" s="937"/>
      <c r="H7" s="937" t="s">
        <v>795</v>
      </c>
      <c r="I7" s="937"/>
      <c r="J7" s="937" t="s">
        <v>844</v>
      </c>
      <c r="K7" s="947"/>
      <c r="L7" s="1243" t="s">
        <v>942</v>
      </c>
      <c r="M7" s="937"/>
      <c r="N7" s="937" t="s">
        <v>943</v>
      </c>
      <c r="O7" s="937"/>
      <c r="P7" s="937" t="s">
        <v>944</v>
      </c>
      <c r="Q7" s="947"/>
    </row>
    <row r="8" spans="1:87" ht="11">
      <c r="B8" s="1" t="s">
        <v>796</v>
      </c>
      <c r="L8" s="1234"/>
      <c r="M8" s="433" t="s">
        <v>659</v>
      </c>
      <c r="O8" s="433" t="s">
        <v>659</v>
      </c>
      <c r="Q8" s="432" t="s">
        <v>659</v>
      </c>
    </row>
    <row r="9" spans="1:87" ht="11">
      <c r="B9" s="1302" t="s">
        <v>797</v>
      </c>
      <c r="L9" s="1234"/>
      <c r="M9" s="433" t="s">
        <v>659</v>
      </c>
      <c r="O9" s="433" t="s">
        <v>659</v>
      </c>
      <c r="Q9" s="432" t="s">
        <v>659</v>
      </c>
      <c r="R9" s="1133" t="str">
        <f t="shared" ref="R9:R21" si="0">IF(O9="","",L9/O9)</f>
        <v/>
      </c>
    </row>
    <row r="10" spans="1:87" ht="11">
      <c r="B10" s="1302"/>
      <c r="L10" s="1234"/>
      <c r="M10" s="433"/>
      <c r="O10" s="433"/>
      <c r="Q10" s="432"/>
      <c r="R10" s="1134"/>
    </row>
    <row r="11" spans="1:87" ht="11">
      <c r="B11" s="1246" t="str">
        <f>'Precedents - Dataset'!B9</f>
        <v>Stock Spirits Group</v>
      </c>
      <c r="D11" s="534">
        <v>1</v>
      </c>
      <c r="F11" s="439">
        <f>IFERROR(D11*'Precedents - Dataset'!Q9,"")</f>
        <v>2.6907563025210086</v>
      </c>
      <c r="H11" s="534">
        <v>1</v>
      </c>
      <c r="J11" s="439">
        <f>IF(H11=1,'Precedents - Dataset'!R9,0)</f>
        <v>13.900408580183862</v>
      </c>
      <c r="L11" s="1247" t="s">
        <v>1025</v>
      </c>
      <c r="M11" s="433" t="s">
        <v>659</v>
      </c>
      <c r="N11" s="438"/>
      <c r="O11" s="433" t="s">
        <v>659</v>
      </c>
      <c r="P11" s="438"/>
      <c r="Q11" s="432" t="s">
        <v>659</v>
      </c>
      <c r="R11" s="1134" t="str">
        <f t="shared" si="0"/>
        <v/>
      </c>
    </row>
    <row r="12" spans="1:87" ht="11">
      <c r="B12" s="1248" t="str">
        <f>'Precedents - Dataset'!B10</f>
        <v>International Wine And Spirits</v>
      </c>
      <c r="D12" s="535">
        <v>0</v>
      </c>
      <c r="F12" s="435">
        <f>IFERROR(D12*'Precedents - Dataset'!Q10,"")</f>
        <v>0</v>
      </c>
      <c r="H12" s="535">
        <v>0</v>
      </c>
      <c r="J12" s="435">
        <f>IF(H12=1,'Precedents - Dataset'!R10,0)</f>
        <v>0</v>
      </c>
      <c r="L12" s="1249" t="s">
        <v>1026</v>
      </c>
      <c r="M12" s="433"/>
      <c r="N12" s="437"/>
      <c r="O12" s="433" t="s">
        <v>659</v>
      </c>
      <c r="P12" s="437"/>
      <c r="Q12" s="432" t="s">
        <v>659</v>
      </c>
      <c r="R12" s="1134" t="str">
        <f t="shared" si="0"/>
        <v/>
      </c>
    </row>
    <row r="13" spans="1:87" ht="11">
      <c r="B13" s="1248" t="str">
        <f>'Precedents - Dataset'!B11</f>
        <v>Patron Spirits</v>
      </c>
      <c r="D13" s="535">
        <v>1</v>
      </c>
      <c r="F13" s="435">
        <f>IFERROR(D13*'Precedents - Dataset'!Q11,"")</f>
        <v>7.5555555555555554</v>
      </c>
      <c r="H13" s="535">
        <v>1</v>
      </c>
      <c r="J13" s="435" t="str">
        <f>IF(H13=1,'Precedents - Dataset'!R11,0)</f>
        <v/>
      </c>
      <c r="L13" s="1249" t="s">
        <v>1027</v>
      </c>
      <c r="M13" s="433"/>
      <c r="N13" s="437"/>
      <c r="O13" s="433" t="s">
        <v>659</v>
      </c>
      <c r="P13" s="437"/>
      <c r="Q13" s="432" t="s">
        <v>659</v>
      </c>
      <c r="R13" s="1134" t="str">
        <f t="shared" si="0"/>
        <v/>
      </c>
    </row>
    <row r="14" spans="1:87" ht="11">
      <c r="B14" s="1248" t="str">
        <f>'Precedents - Dataset'!B12</f>
        <v>Casamigos</v>
      </c>
      <c r="D14" s="535">
        <v>0</v>
      </c>
      <c r="F14" s="435">
        <f>IFERROR(D14*'Precedents - Dataset'!Q12,"")</f>
        <v>0</v>
      </c>
      <c r="H14" s="535">
        <v>1</v>
      </c>
      <c r="J14" s="435" t="str">
        <f>IF(H14=1,'Precedents - Dataset'!R12,0)</f>
        <v/>
      </c>
      <c r="L14" s="1249" t="s">
        <v>1035</v>
      </c>
      <c r="M14" s="433"/>
      <c r="N14" s="437"/>
      <c r="O14" s="433" t="s">
        <v>659</v>
      </c>
      <c r="P14" s="437"/>
      <c r="Q14" s="432" t="s">
        <v>659</v>
      </c>
      <c r="R14" s="1134" t="str">
        <f t="shared" si="0"/>
        <v/>
      </c>
    </row>
    <row r="15" spans="1:87" ht="11">
      <c r="B15" s="1248" t="str">
        <f>'Precedents - Dataset'!B13</f>
        <v>Miller Brand Portfolio</v>
      </c>
      <c r="D15" s="535">
        <v>0</v>
      </c>
      <c r="F15" s="435">
        <f>IFERROR(D15*'Precedents - Dataset'!Q13,"")</f>
        <v>0</v>
      </c>
      <c r="H15" s="535">
        <v>0</v>
      </c>
      <c r="J15" s="435">
        <f>IF(H15=1,'Precedents - Dataset'!R13,0)</f>
        <v>0</v>
      </c>
      <c r="L15" s="1249" t="s">
        <v>1029</v>
      </c>
      <c r="M15" s="433"/>
      <c r="N15" s="437"/>
      <c r="O15" s="433" t="s">
        <v>659</v>
      </c>
      <c r="P15" s="437"/>
      <c r="Q15" s="432" t="s">
        <v>659</v>
      </c>
      <c r="R15" s="1134" t="str">
        <f t="shared" si="0"/>
        <v/>
      </c>
    </row>
    <row r="16" spans="1:87" ht="11">
      <c r="B16" s="1248" t="str">
        <f>'Precedents - Dataset'!B14</f>
        <v>SAB Miller</v>
      </c>
      <c r="D16" s="535">
        <v>0</v>
      </c>
      <c r="F16" s="435">
        <f>IFERROR(D16*'Precedents - Dataset'!Q14,"")</f>
        <v>0</v>
      </c>
      <c r="H16" s="535">
        <v>0</v>
      </c>
      <c r="J16" s="435">
        <f>IF(H16=1,'Precedents - Dataset'!R14,0)</f>
        <v>0</v>
      </c>
      <c r="L16" s="1250" t="s">
        <v>1029</v>
      </c>
      <c r="M16" s="433" t="s">
        <v>659</v>
      </c>
      <c r="N16" s="436"/>
      <c r="O16" s="433" t="s">
        <v>659</v>
      </c>
      <c r="P16" s="436"/>
      <c r="Q16" s="432" t="s">
        <v>659</v>
      </c>
      <c r="R16" s="1134" t="str">
        <f t="shared" si="0"/>
        <v/>
      </c>
    </row>
    <row r="17" spans="2:18" ht="11">
      <c r="B17" s="1248" t="str">
        <f>'Precedents - Dataset'!B15</f>
        <v>Beam</v>
      </c>
      <c r="D17" s="535">
        <v>1</v>
      </c>
      <c r="F17" s="435">
        <f>IFERROR(D17*'Precedents - Dataset'!Q15,"")</f>
        <v>6.1170609486073877</v>
      </c>
      <c r="H17" s="535">
        <v>1</v>
      </c>
      <c r="J17" s="435">
        <f>IF(H17=1,'Precedents - Dataset'!R15,0)</f>
        <v>19.807735849056602</v>
      </c>
      <c r="L17" s="1250" t="s">
        <v>1028</v>
      </c>
      <c r="M17" s="433"/>
      <c r="N17" s="436"/>
      <c r="O17" s="433" t="s">
        <v>659</v>
      </c>
      <c r="P17" s="436"/>
      <c r="Q17" s="432" t="s">
        <v>659</v>
      </c>
      <c r="R17" s="1134" t="str">
        <f t="shared" si="0"/>
        <v/>
      </c>
    </row>
    <row r="18" spans="2:18" ht="11">
      <c r="B18" s="1248" t="str">
        <f>'Precedents - Dataset'!B16</f>
        <v>United Spirits</v>
      </c>
      <c r="D18" s="535">
        <v>1</v>
      </c>
      <c r="F18" s="435">
        <f>IFERROR(D18*'Precedents - Dataset'!Q16,"")</f>
        <v>5.4750467433342722</v>
      </c>
      <c r="H18" s="535">
        <v>0</v>
      </c>
      <c r="J18" s="435">
        <f>IF(H18=1,'Precedents - Dataset'!R16,0)</f>
        <v>0</v>
      </c>
      <c r="L18" s="1250" t="s">
        <v>1030</v>
      </c>
      <c r="M18" s="433"/>
      <c r="N18" s="436"/>
      <c r="O18" s="433" t="s">
        <v>659</v>
      </c>
      <c r="P18" s="436"/>
      <c r="Q18" s="432" t="s">
        <v>659</v>
      </c>
      <c r="R18" s="1134" t="str">
        <f t="shared" si="0"/>
        <v/>
      </c>
    </row>
    <row r="19" spans="2:18" ht="11">
      <c r="B19" s="1248" t="str">
        <f>'Precedents - Dataset'!B17</f>
        <v>Grupo Modelo</v>
      </c>
      <c r="D19" s="535">
        <v>0</v>
      </c>
      <c r="F19" s="435">
        <f>IFERROR(D19*'Precedents - Dataset'!Q17,"")</f>
        <v>0</v>
      </c>
      <c r="H19" s="535">
        <v>0</v>
      </c>
      <c r="J19" s="435">
        <f>IF(H19=1,'Precedents - Dataset'!R17,0)</f>
        <v>0</v>
      </c>
      <c r="L19" s="1250" t="s">
        <v>1031</v>
      </c>
      <c r="M19" s="433"/>
      <c r="N19" s="436"/>
      <c r="O19" s="433" t="s">
        <v>659</v>
      </c>
      <c r="P19" s="436"/>
      <c r="Q19" s="432" t="s">
        <v>659</v>
      </c>
      <c r="R19" s="1134" t="str">
        <f t="shared" si="0"/>
        <v/>
      </c>
    </row>
    <row r="20" spans="2:18" ht="11">
      <c r="B20" s="1248" t="str">
        <f>'Precedents - Dataset'!B18</f>
        <v xml:space="preserve">Mey Içki Sanayi ve Ticaret A.S. </v>
      </c>
      <c r="D20" s="535">
        <v>1</v>
      </c>
      <c r="F20" s="435">
        <f>IFERROR(D20*'Precedents - Dataset'!Q18,"")</f>
        <v>4.1782674313311201</v>
      </c>
      <c r="H20" s="535">
        <v>1</v>
      </c>
      <c r="J20" s="435">
        <f>IF(H20=1,'Precedents - Dataset'!R18,0)</f>
        <v>9.8875714285714285</v>
      </c>
      <c r="L20" s="1250" t="s">
        <v>1034</v>
      </c>
      <c r="M20" s="433"/>
      <c r="N20" s="436"/>
      <c r="O20" s="433" t="s">
        <v>659</v>
      </c>
      <c r="P20" s="436"/>
      <c r="Q20" s="432" t="s">
        <v>659</v>
      </c>
      <c r="R20" s="1134" t="str">
        <f t="shared" si="0"/>
        <v/>
      </c>
    </row>
    <row r="21" spans="2:18" ht="11">
      <c r="B21" s="1248" t="str">
        <f>'Precedents - Dataset'!B19</f>
        <v>Fosters Group</v>
      </c>
      <c r="D21" s="535">
        <v>0</v>
      </c>
      <c r="F21" s="435">
        <f>IFERROR(D21*'Precedents - Dataset'!Q19,"")</f>
        <v>0</v>
      </c>
      <c r="H21" s="535">
        <v>0</v>
      </c>
      <c r="J21" s="435">
        <f>IF(H21=1,'Precedents - Dataset'!R19,0)</f>
        <v>0</v>
      </c>
      <c r="L21" s="1250" t="s">
        <v>1029</v>
      </c>
      <c r="M21" s="433"/>
      <c r="N21" s="436"/>
      <c r="O21" s="433" t="s">
        <v>659</v>
      </c>
      <c r="P21" s="436"/>
      <c r="Q21" s="432" t="s">
        <v>659</v>
      </c>
      <c r="R21" s="1134" t="str">
        <f t="shared" si="0"/>
        <v/>
      </c>
    </row>
    <row r="22" spans="2:18" ht="11">
      <c r="B22" s="1251" t="str">
        <f>'Precedents - Dataset'!B20</f>
        <v>Anheuser Busch</v>
      </c>
      <c r="D22" s="536">
        <v>0</v>
      </c>
      <c r="F22" s="434">
        <f>IFERROR(D22*'Precedents - Dataset'!Q20,"")</f>
        <v>0</v>
      </c>
      <c r="H22" s="536">
        <v>0</v>
      </c>
      <c r="J22" s="434">
        <f>IF(H22=1,'Precedents - Dataset'!R20,0)</f>
        <v>0</v>
      </c>
      <c r="L22" s="1252" t="s">
        <v>1029</v>
      </c>
      <c r="M22" s="433" t="s">
        <v>659</v>
      </c>
      <c r="N22" s="1142"/>
      <c r="O22" s="433" t="s">
        <v>659</v>
      </c>
      <c r="P22" s="1142"/>
      <c r="Q22" s="432" t="s">
        <v>659</v>
      </c>
      <c r="R22" s="1135"/>
    </row>
    <row r="23" spans="2:18" ht="3.75" customHeight="1">
      <c r="B23" s="1245"/>
      <c r="L23" s="1234"/>
      <c r="M23" s="433" t="s">
        <v>659</v>
      </c>
      <c r="O23" s="433" t="s">
        <v>659</v>
      </c>
      <c r="Q23" s="432" t="s">
        <v>659</v>
      </c>
    </row>
    <row r="24" spans="2:18" ht="11">
      <c r="B24" s="1253" t="s">
        <v>798</v>
      </c>
      <c r="C24" s="1230"/>
      <c r="F24" s="539">
        <f>IFERROR(AVERAGEIF(D11:D22,1,F11:F22),0)</f>
        <v>5.2033373962698688</v>
      </c>
      <c r="J24" s="539">
        <f>IFERROR(AVERAGEIF(H11:H22,1,J11:J22),0)</f>
        <v>14.531905285937297</v>
      </c>
      <c r="L24" s="1234"/>
      <c r="M24" s="433" t="s">
        <v>659</v>
      </c>
      <c r="O24" s="433" t="s">
        <v>659</v>
      </c>
      <c r="P24" s="431"/>
      <c r="Q24" s="432" t="s">
        <v>659</v>
      </c>
    </row>
    <row r="25" spans="2:18" ht="11">
      <c r="B25" s="1254" t="str">
        <f>'DCF - Assumptions'!F8</f>
        <v>Diageo PLC</v>
      </c>
      <c r="C25" s="1230"/>
      <c r="F25" s="537">
        <f>'Comps - Selection'!D58</f>
        <v>16809.752</v>
      </c>
      <c r="J25" s="537">
        <f>'Comps - Selection'!F58</f>
        <v>5627.92</v>
      </c>
      <c r="L25" s="1234"/>
      <c r="M25" s="433" t="s">
        <v>659</v>
      </c>
      <c r="O25" s="433" t="s">
        <v>659</v>
      </c>
      <c r="P25" s="431"/>
      <c r="Q25" s="432" t="s">
        <v>659</v>
      </c>
    </row>
    <row r="26" spans="2:18" ht="11">
      <c r="B26" s="1255" t="s">
        <v>945</v>
      </c>
      <c r="C26" s="1230"/>
      <c r="F26" s="1141">
        <f>F24*F25</f>
        <v>87466.811203622216</v>
      </c>
      <c r="J26" s="1232">
        <f>J24*J25</f>
        <v>81784.400396832236</v>
      </c>
      <c r="L26" s="1234"/>
      <c r="M26" s="433" t="s">
        <v>659</v>
      </c>
      <c r="O26" s="433" t="s">
        <v>659</v>
      </c>
      <c r="P26" s="431"/>
      <c r="Q26" s="432" t="s">
        <v>659</v>
      </c>
    </row>
    <row r="27" spans="2:18" ht="11">
      <c r="B27" s="1256" t="s">
        <v>802</v>
      </c>
      <c r="C27" s="1230"/>
      <c r="D27" s="1230"/>
      <c r="E27" s="1230"/>
      <c r="F27" s="1168">
        <f>F26</f>
        <v>87466.811203622216</v>
      </c>
      <c r="J27" s="1168">
        <f>J26</f>
        <v>81784.400396832236</v>
      </c>
      <c r="L27" s="1234"/>
      <c r="M27" s="433" t="s">
        <v>659</v>
      </c>
      <c r="O27" s="433" t="s">
        <v>659</v>
      </c>
      <c r="P27" s="431"/>
      <c r="Q27" s="432" t="s">
        <v>659</v>
      </c>
    </row>
    <row r="28" spans="2:18" ht="11">
      <c r="B28" s="1257" t="s">
        <v>803</v>
      </c>
      <c r="C28" s="1230"/>
      <c r="D28" s="1230"/>
      <c r="E28" s="1230"/>
      <c r="F28" s="1143">
        <f>-'Comps - Selection'!D61</f>
        <v>-17330</v>
      </c>
      <c r="J28" s="1143">
        <f>F28</f>
        <v>-17330</v>
      </c>
      <c r="L28" s="1234"/>
      <c r="M28" s="433" t="s">
        <v>659</v>
      </c>
      <c r="O28" s="433" t="s">
        <v>659</v>
      </c>
      <c r="P28" s="431"/>
      <c r="Q28" s="432" t="s">
        <v>659</v>
      </c>
    </row>
    <row r="29" spans="2:18" ht="11">
      <c r="B29" s="1258" t="s">
        <v>804</v>
      </c>
      <c r="C29" s="1230"/>
      <c r="D29" s="1230"/>
      <c r="E29" s="1230"/>
      <c r="F29" s="1143">
        <f>-'Comps - Selection'!D62</f>
        <v>-1711</v>
      </c>
      <c r="J29" s="1143">
        <f>F29</f>
        <v>-1711</v>
      </c>
      <c r="L29" s="1234"/>
      <c r="M29" s="433" t="s">
        <v>659</v>
      </c>
      <c r="O29" s="433" t="s">
        <v>659</v>
      </c>
      <c r="P29" s="431"/>
      <c r="Q29" s="432" t="s">
        <v>659</v>
      </c>
    </row>
    <row r="30" spans="2:18" ht="11">
      <c r="B30" s="1258" t="s">
        <v>805</v>
      </c>
      <c r="C30" s="1230"/>
      <c r="D30" s="1230"/>
      <c r="E30" s="1230"/>
      <c r="F30" s="538">
        <f>'Comps - Selection'!D63</f>
        <v>1640</v>
      </c>
      <c r="J30" s="1140">
        <f>F30</f>
        <v>1640</v>
      </c>
      <c r="L30" s="1234"/>
      <c r="M30" s="433" t="s">
        <v>659</v>
      </c>
      <c r="O30" s="433" t="s">
        <v>659</v>
      </c>
      <c r="P30" s="431"/>
      <c r="Q30" s="432" t="s">
        <v>659</v>
      </c>
    </row>
    <row r="31" spans="2:18" ht="11">
      <c r="B31" s="1259" t="s">
        <v>556</v>
      </c>
      <c r="C31" s="1230"/>
      <c r="D31" s="1230"/>
      <c r="E31" s="1230"/>
      <c r="F31" s="1169">
        <f>SUM(F27:F30)</f>
        <v>70065.811203622216</v>
      </c>
      <c r="J31" s="1170">
        <f>SUM(J27:J30)</f>
        <v>64383.400396832236</v>
      </c>
      <c r="L31" s="1234"/>
      <c r="M31" s="433" t="s">
        <v>659</v>
      </c>
      <c r="O31" s="433" t="s">
        <v>659</v>
      </c>
      <c r="P31" s="431"/>
      <c r="Q31" s="432" t="s">
        <v>659</v>
      </c>
    </row>
    <row r="32" spans="2:18" ht="11">
      <c r="B32" s="1260" t="s">
        <v>946</v>
      </c>
      <c r="C32" s="1230"/>
      <c r="D32" s="1230"/>
      <c r="E32" s="1230"/>
      <c r="F32" s="538">
        <f>'DCF - Valuation'!S25</f>
        <v>2240</v>
      </c>
      <c r="J32" s="538">
        <f>F32</f>
        <v>2240</v>
      </c>
      <c r="L32" s="1234"/>
      <c r="M32" s="433" t="s">
        <v>659</v>
      </c>
      <c r="O32" s="433" t="s">
        <v>659</v>
      </c>
      <c r="P32" s="431"/>
      <c r="Q32" s="432" t="s">
        <v>659</v>
      </c>
    </row>
    <row r="33" spans="2:17" ht="11">
      <c r="B33" s="1261" t="s">
        <v>119</v>
      </c>
      <c r="C33" s="1230"/>
      <c r="D33" s="1230"/>
      <c r="E33" s="1230"/>
      <c r="F33" s="1357">
        <f>IFERROR(F31/F32,"")</f>
        <v>31.27938000161706</v>
      </c>
      <c r="J33" s="1357">
        <f>IFERROR(J31/J32,"")</f>
        <v>28.742589462871535</v>
      </c>
      <c r="L33" s="1234"/>
      <c r="M33" s="433" t="s">
        <v>659</v>
      </c>
      <c r="O33" s="433" t="s">
        <v>659</v>
      </c>
      <c r="P33" s="431"/>
      <c r="Q33" s="432" t="s">
        <v>659</v>
      </c>
    </row>
    <row r="34" spans="2:17" ht="11">
      <c r="B34" s="1262" t="s">
        <v>120</v>
      </c>
      <c r="C34" s="1230"/>
      <c r="D34" s="1230"/>
      <c r="E34" s="1230"/>
      <c r="F34" s="1358">
        <f>IFERROR(F33/'Comps - Dataset'!E51,"")</f>
        <v>39.594151900781085</v>
      </c>
      <c r="J34" s="1358">
        <f>IFERROR(J33/'Comps - Dataset'!E51,"")</f>
        <v>36.383024636546246</v>
      </c>
      <c r="L34" s="1234"/>
      <c r="M34" s="433"/>
      <c r="O34" s="433"/>
      <c r="P34" s="431"/>
      <c r="Q34" s="432"/>
    </row>
    <row r="35" spans="2:17" ht="11">
      <c r="B35" s="1263"/>
      <c r="C35" s="1264"/>
      <c r="D35" s="1264"/>
      <c r="E35" s="1264"/>
      <c r="F35" s="1265"/>
      <c r="G35" s="1264"/>
      <c r="H35" s="1264"/>
      <c r="I35" s="1264"/>
      <c r="J35" s="1265"/>
      <c r="K35" s="1264"/>
      <c r="L35" s="1266"/>
      <c r="M35" s="433"/>
      <c r="O35" s="433"/>
      <c r="P35" s="431"/>
      <c r="Q35" s="432"/>
    </row>
    <row r="36" spans="2:17" ht="11">
      <c r="M36" s="433" t="s">
        <v>659</v>
      </c>
      <c r="O36" s="433" t="s">
        <v>659</v>
      </c>
      <c r="P36" s="431"/>
      <c r="Q36" s="432" t="s">
        <v>659</v>
      </c>
    </row>
    <row r="37" spans="2:17" ht="11" hidden="1">
      <c r="B37" s="1"/>
      <c r="M37" s="433" t="s">
        <v>659</v>
      </c>
      <c r="O37" s="433" t="s">
        <v>659</v>
      </c>
      <c r="Q37" s="432" t="s">
        <v>659</v>
      </c>
    </row>
    <row r="38" spans="2:17" ht="10.5" hidden="1" customHeight="1"/>
    <row r="39" spans="2:17" ht="10.5" hidden="1" customHeight="1"/>
    <row r="40" spans="2:17" ht="10.5" hidden="1" customHeight="1"/>
    <row r="41" spans="2:17" ht="10.5" hidden="1" customHeight="1"/>
    <row r="42" spans="2:17" ht="10.5" hidden="1" customHeight="1"/>
    <row r="43" spans="2:17" ht="10.5" hidden="1" customHeight="1"/>
    <row r="44" spans="2:17" ht="10.5" hidden="1" customHeight="1"/>
    <row r="45" spans="2:17" ht="10.5" hidden="1" customHeight="1"/>
    <row r="46" spans="2:17" ht="10.5" hidden="1" customHeight="1"/>
    <row r="47" spans="2:17" ht="10.5" hidden="1" customHeight="1"/>
    <row r="48" spans="2:17" ht="10.5" hidden="1" customHeight="1"/>
    <row r="49" ht="10.5" hidden="1" customHeight="1"/>
    <row r="50" ht="10.5" hidden="1" customHeight="1"/>
    <row r="51" ht="10.5" hidden="1" customHeight="1"/>
    <row r="52" ht="10.5" hidden="1" customHeight="1"/>
    <row r="53" ht="10.5" hidden="1" customHeight="1"/>
    <row r="54" ht="10.5" hidden="1" customHeight="1"/>
    <row r="55" ht="10.5" hidden="1" customHeight="1"/>
    <row r="56" ht="10.5" hidden="1" customHeight="1"/>
    <row r="57" ht="10.5" hidden="1" customHeight="1"/>
    <row r="58" ht="10.5" hidden="1" customHeight="1"/>
    <row r="59" ht="10.5" hidden="1" customHeight="1"/>
    <row r="60" ht="10.5" hidden="1" customHeight="1"/>
    <row r="61" ht="10.5" hidden="1" customHeight="1"/>
    <row r="62" ht="10.5" hidden="1" customHeight="1"/>
    <row r="63" ht="10.5" hidden="1" customHeight="1"/>
    <row r="64" ht="10.5" hidden="1" customHeight="1"/>
    <row r="65" ht="10.5" hidden="1" customHeight="1"/>
    <row r="66" ht="10.5" hidden="1" customHeight="1"/>
    <row r="67" ht="10.5" hidden="1" customHeight="1"/>
    <row r="68" ht="10.5" hidden="1" customHeight="1"/>
    <row r="69" ht="10.5" hidden="1" customHeight="1"/>
    <row r="70" ht="10.5" hidden="1" customHeight="1"/>
    <row r="71" ht="10.5" hidden="1" customHeight="1"/>
    <row r="72" ht="10.5" hidden="1" customHeight="1"/>
    <row r="73" ht="10.5" hidden="1" customHeight="1"/>
    <row r="74" ht="10.5" hidden="1" customHeight="1"/>
    <row r="75" ht="10.5" hidden="1" customHeight="1"/>
    <row r="76" ht="10.5" hidden="1" customHeight="1"/>
    <row r="77" ht="10.5" hidden="1" customHeight="1"/>
    <row r="78" ht="10.5" hidden="1" customHeight="1"/>
    <row r="79" ht="10.5" hidden="1" customHeight="1"/>
    <row r="80" ht="10.5" hidden="1" customHeight="1"/>
    <row r="81" ht="10.5" hidden="1" customHeight="1"/>
    <row r="82" ht="10.5" hidden="1" customHeight="1"/>
    <row r="83" ht="10.5" hidden="1" customHeight="1"/>
    <row r="84" ht="10.5" hidden="1" customHeight="1"/>
    <row r="85" ht="10.5" hidden="1" customHeight="1"/>
    <row r="86" ht="10.5" hidden="1" customHeight="1"/>
    <row r="87" ht="10.5" hidden="1" customHeight="1"/>
    <row r="88" ht="10.5" hidden="1" customHeight="1"/>
    <row r="89" ht="10.5" hidden="1" customHeight="1"/>
    <row r="90" ht="10.5" hidden="1" customHeight="1"/>
    <row r="91" ht="10.5" hidden="1" customHeight="1"/>
    <row r="92" ht="10.5" hidden="1" customHeight="1"/>
  </sheetData>
  <conditionalFormatting sqref="D11:D22">
    <cfRule type="cellIs" dxfId="38" priority="9" operator="equal">
      <formula>0</formula>
    </cfRule>
  </conditionalFormatting>
  <conditionalFormatting sqref="F11">
    <cfRule type="expression" dxfId="37" priority="28">
      <formula>NOT(F11*D11)</formula>
    </cfRule>
  </conditionalFormatting>
  <conditionalFormatting sqref="F11:F21">
    <cfRule type="expression" dxfId="36" priority="30">
      <formula>NOT(F11*D11)</formula>
    </cfRule>
  </conditionalFormatting>
  <conditionalFormatting sqref="F22">
    <cfRule type="expression" dxfId="35" priority="24">
      <formula>NOT(F22*D22)</formula>
    </cfRule>
    <cfRule type="expression" dxfId="34" priority="26">
      <formula>NOT(F22*D22)</formula>
    </cfRule>
  </conditionalFormatting>
  <conditionalFormatting sqref="H11:H22">
    <cfRule type="cellIs" dxfId="33" priority="7" operator="equal">
      <formula>0</formula>
    </cfRule>
  </conditionalFormatting>
  <conditionalFormatting sqref="J11">
    <cfRule type="expression" dxfId="32" priority="3">
      <formula>NOT(J11*H11)</formula>
    </cfRule>
  </conditionalFormatting>
  <conditionalFormatting sqref="J11:J21">
    <cfRule type="expression" dxfId="31" priority="4">
      <formula>NOT(J11*H11)</formula>
    </cfRule>
  </conditionalFormatting>
  <conditionalFormatting sqref="J22">
    <cfRule type="expression" dxfId="30" priority="1">
      <formula>NOT(J22*H22)</formula>
    </cfRule>
    <cfRule type="expression" dxfId="29" priority="2">
      <formula>NOT(J22*H22)</formula>
    </cfRule>
  </conditionalFormatting>
  <conditionalFormatting sqref="L11:L15">
    <cfRule type="expression" dxfId="28" priority="46">
      <formula>NOT(L11*J11)</formula>
    </cfRule>
    <cfRule type="expression" dxfId="27" priority="47">
      <formula>NOT(L11*J11)</formula>
    </cfRule>
  </conditionalFormatting>
  <conditionalFormatting sqref="L16:L22">
    <cfRule type="expression" dxfId="26" priority="57">
      <formula>NOT(L16*J16)</formula>
    </cfRule>
  </conditionalFormatting>
  <conditionalFormatting sqref="L22">
    <cfRule type="expression" dxfId="25" priority="55">
      <formula>NOT(L22*J22)</formula>
    </cfRule>
  </conditionalFormatting>
  <conditionalFormatting sqref="N11:N15">
    <cfRule type="expression" dxfId="24" priority="43">
      <formula>NOT(N11*L11)</formula>
    </cfRule>
  </conditionalFormatting>
  <conditionalFormatting sqref="N16:N22">
    <cfRule type="expression" dxfId="23" priority="54">
      <formula>NOT(N16*L16)</formula>
    </cfRule>
  </conditionalFormatting>
  <conditionalFormatting sqref="N22">
    <cfRule type="expression" dxfId="22" priority="52">
      <formula>NOT(N22*L22)</formula>
    </cfRule>
  </conditionalFormatting>
  <conditionalFormatting sqref="P11:P15">
    <cfRule type="expression" dxfId="21" priority="40">
      <formula>NOT(P11*N11)</formula>
    </cfRule>
    <cfRule type="expression" dxfId="20" priority="42">
      <formula>NOT(P11*N11)</formula>
    </cfRule>
  </conditionalFormatting>
  <conditionalFormatting sqref="P16:P22">
    <cfRule type="expression" dxfId="19" priority="51">
      <formula>NOT(P16*N16)</formula>
    </cfRule>
  </conditionalFormatting>
  <conditionalFormatting sqref="P22">
    <cfRule type="expression" dxfId="18" priority="49">
      <formula>NOT(P22*N22)</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rgb="FF2E576A"/>
  </sheetPr>
  <dimension ref="A1:CQ27"/>
  <sheetViews>
    <sheetView showGridLines="0" tabSelected="1" topLeftCell="F1" zoomScale="243" zoomScaleNormal="100" workbookViewId="0">
      <selection activeCell="O10" sqref="O10"/>
    </sheetView>
  </sheetViews>
  <sheetFormatPr baseColWidth="10" defaultColWidth="0" defaultRowHeight="15" zeroHeight="1"/>
  <cols>
    <col min="1" max="1" width="2.5" customWidth="1"/>
    <col min="2" max="2" width="24.5" customWidth="1"/>
    <col min="3" max="3" width="19.5" customWidth="1"/>
    <col min="4" max="4" width="1.5" customWidth="1"/>
    <col min="5" max="5" width="24.5" customWidth="1"/>
    <col min="6" max="6" width="20.1640625" customWidth="1"/>
    <col min="7" max="7" width="8.1640625" customWidth="1"/>
    <col min="8" max="8" width="1.5" customWidth="1"/>
    <col min="9" max="9" width="15.5" customWidth="1"/>
    <col min="10" max="10" width="4.5" bestFit="1" customWidth="1"/>
    <col min="11" max="11" width="20.5" customWidth="1"/>
    <col min="12" max="12" width="8.1640625" customWidth="1"/>
    <col min="13" max="13" width="1.5" customWidth="1"/>
    <col min="14" max="14" width="9.1640625" customWidth="1"/>
    <col min="15" max="15" width="8.5" customWidth="1"/>
    <col min="16" max="16" width="1.5" customWidth="1"/>
    <col min="17" max="18" width="7.83203125" customWidth="1"/>
    <col min="19" max="19" width="3.5" customWidth="1"/>
    <col min="20" max="95" width="0" hidden="1" customWidth="1"/>
    <col min="96" max="16384" width="8.83203125" hidden="1"/>
  </cols>
  <sheetData>
    <row r="1" spans="1:95" s="28" customFormat="1" ht="13">
      <c r="A1" s="36"/>
      <c r="B1" s="36" t="str">
        <f>'DCF - Assumptions'!$F$8&amp;" | Precedent Transactions - Dataset and Calculations"</f>
        <v>Diageo PLC | Precedent Transactions - Dataset and Calculations</v>
      </c>
      <c r="AB1" s="421"/>
      <c r="AC1" s="421"/>
      <c r="AD1" s="421"/>
      <c r="AE1" s="421"/>
      <c r="AF1" s="421"/>
      <c r="AG1" s="421"/>
    </row>
    <row r="2" spans="1:95" s="3" customFormat="1" ht="2.25" customHeight="1">
      <c r="A2" s="117"/>
      <c r="C2" s="81"/>
      <c r="M2" s="2"/>
      <c r="N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row>
    <row r="3" spans="1:95" s="28" customFormat="1" ht="3" customHeight="1">
      <c r="A3" s="29"/>
      <c r="C3" s="329"/>
      <c r="M3" s="26"/>
      <c r="N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row>
    <row r="4" spans="1:95">
      <c r="B4" s="1" t="s">
        <v>947</v>
      </c>
      <c r="C4" s="429"/>
      <c r="D4" s="430"/>
      <c r="E4" s="429"/>
      <c r="F4" s="429"/>
      <c r="G4" s="429"/>
      <c r="H4" s="428"/>
      <c r="I4" s="429"/>
      <c r="J4" s="429"/>
      <c r="K4" s="429"/>
      <c r="L4" s="440"/>
      <c r="M4" s="440"/>
      <c r="N4" s="429"/>
      <c r="O4" s="429"/>
      <c r="P4" s="429"/>
      <c r="Q4" s="440"/>
      <c r="R4" s="440"/>
      <c r="S4" s="429"/>
    </row>
    <row r="5" spans="1:95" ht="19">
      <c r="A5" s="429"/>
      <c r="B5" s="1288" t="s">
        <v>906</v>
      </c>
      <c r="C5" s="1289"/>
      <c r="D5" s="937"/>
      <c r="E5" s="1289" t="s">
        <v>948</v>
      </c>
      <c r="F5" s="1290"/>
      <c r="G5" s="1290"/>
      <c r="H5" s="1269"/>
      <c r="I5" s="1289" t="s">
        <v>949</v>
      </c>
      <c r="J5" s="1290"/>
      <c r="K5" s="1290"/>
      <c r="L5" s="1290"/>
      <c r="M5" s="1233"/>
      <c r="N5" s="1344" t="s">
        <v>844</v>
      </c>
      <c r="O5" s="1344"/>
      <c r="P5" s="937"/>
      <c r="Q5" s="1344" t="s">
        <v>950</v>
      </c>
      <c r="R5" s="1345"/>
      <c r="S5" s="429"/>
      <c r="T5" s="429"/>
    </row>
    <row r="6" spans="1:95" ht="19">
      <c r="A6" s="429"/>
      <c r="B6" s="1241" t="s">
        <v>951</v>
      </c>
      <c r="C6" s="937" t="s">
        <v>124</v>
      </c>
      <c r="D6" s="937"/>
      <c r="E6" s="937" t="s">
        <v>951</v>
      </c>
      <c r="F6" s="937" t="s">
        <v>124</v>
      </c>
      <c r="G6" s="937" t="s">
        <v>952</v>
      </c>
      <c r="H6" s="1269"/>
      <c r="I6" s="937" t="s">
        <v>953</v>
      </c>
      <c r="J6" s="937" t="s">
        <v>954</v>
      </c>
      <c r="K6" s="937" t="s">
        <v>955</v>
      </c>
      <c r="L6" s="937" t="s">
        <v>956</v>
      </c>
      <c r="M6" s="937"/>
      <c r="N6" s="937" t="s">
        <v>823</v>
      </c>
      <c r="O6" s="937" t="s">
        <v>66</v>
      </c>
      <c r="P6" s="937"/>
      <c r="Q6" s="937" t="s">
        <v>823</v>
      </c>
      <c r="R6" s="1243" t="s">
        <v>66</v>
      </c>
      <c r="S6" s="429"/>
      <c r="T6" s="429"/>
    </row>
    <row r="7" spans="1:95">
      <c r="A7" s="429"/>
      <c r="B7" s="1245"/>
      <c r="C7" s="1"/>
      <c r="D7" s="430"/>
      <c r="E7" s="3"/>
      <c r="F7" s="3"/>
      <c r="G7" s="3"/>
      <c r="H7" s="428"/>
      <c r="I7" s="429"/>
      <c r="J7" s="429"/>
      <c r="K7" s="429"/>
      <c r="L7" s="310"/>
      <c r="M7" s="310"/>
      <c r="N7" s="3"/>
      <c r="O7" s="3"/>
      <c r="P7" s="3"/>
      <c r="Q7" s="310"/>
      <c r="R7" s="1270"/>
      <c r="S7" s="429"/>
      <c r="T7" s="429"/>
    </row>
    <row r="8" spans="1:95" ht="3" customHeight="1">
      <c r="A8" s="429"/>
      <c r="B8" s="1245"/>
      <c r="C8" s="429"/>
      <c r="D8" s="430"/>
      <c r="E8" s="3"/>
      <c r="F8" s="3"/>
      <c r="G8" s="3"/>
      <c r="H8" s="428"/>
      <c r="I8" s="1"/>
      <c r="J8" s="1"/>
      <c r="K8" s="1"/>
      <c r="L8" s="310"/>
      <c r="M8" s="310"/>
      <c r="N8" s="3"/>
      <c r="O8" s="3"/>
      <c r="P8" s="3"/>
      <c r="Q8" s="310"/>
      <c r="R8" s="1270"/>
      <c r="S8" s="429"/>
      <c r="T8" s="429"/>
    </row>
    <row r="9" spans="1:95" ht="11.5" customHeight="1">
      <c r="A9" s="429"/>
      <c r="B9" s="1271" t="s">
        <v>957</v>
      </c>
      <c r="C9" s="469"/>
      <c r="D9" s="430"/>
      <c r="E9" s="468" t="s">
        <v>958</v>
      </c>
      <c r="F9" s="467"/>
      <c r="G9" s="540" t="s">
        <v>959</v>
      </c>
      <c r="H9" s="428"/>
      <c r="I9" s="1138" t="s">
        <v>960</v>
      </c>
      <c r="J9" s="1144">
        <v>2021</v>
      </c>
      <c r="K9" s="1136"/>
      <c r="L9" s="540">
        <v>1088.68</v>
      </c>
      <c r="M9" s="455"/>
      <c r="N9" s="543">
        <v>404.6</v>
      </c>
      <c r="O9" s="544">
        <v>78.319999999999993</v>
      </c>
      <c r="P9" s="454"/>
      <c r="Q9" s="466">
        <f t="shared" ref="Q9:Q20" si="0">IF(N9="","",L9/N9)</f>
        <v>2.6907563025210086</v>
      </c>
      <c r="R9" s="1272">
        <f t="shared" ref="R9:R20" si="1">IF(O9="","",L9/O9)</f>
        <v>13.900408580183862</v>
      </c>
      <c r="S9" s="429"/>
      <c r="T9" s="429"/>
    </row>
    <row r="10" spans="1:95" ht="11.5" customHeight="1">
      <c r="A10" s="429"/>
      <c r="B10" s="1273" t="s">
        <v>961</v>
      </c>
      <c r="C10" s="463"/>
      <c r="D10" s="430"/>
      <c r="E10" s="462" t="s">
        <v>962</v>
      </c>
      <c r="F10" s="464"/>
      <c r="G10" s="541" t="s">
        <v>959</v>
      </c>
      <c r="H10" s="428"/>
      <c r="I10" s="1132" t="s">
        <v>963</v>
      </c>
      <c r="J10" s="1145">
        <v>2021</v>
      </c>
      <c r="K10" s="1274"/>
      <c r="L10" s="541">
        <v>1200</v>
      </c>
      <c r="M10" s="455"/>
      <c r="N10" s="545">
        <v>614</v>
      </c>
      <c r="O10" s="1286"/>
      <c r="P10" s="454"/>
      <c r="Q10" s="460">
        <f t="shared" si="0"/>
        <v>1.9543973941368078</v>
      </c>
      <c r="R10" s="1287" t="str">
        <f t="shared" si="1"/>
        <v/>
      </c>
      <c r="S10" s="429"/>
      <c r="T10" s="429"/>
    </row>
    <row r="11" spans="1:95" ht="11.5" customHeight="1">
      <c r="A11" s="429"/>
      <c r="B11" s="1273" t="s">
        <v>964</v>
      </c>
      <c r="C11" s="463"/>
      <c r="D11" s="430"/>
      <c r="E11" s="462" t="s">
        <v>965</v>
      </c>
      <c r="F11" s="464"/>
      <c r="G11" s="541" t="s">
        <v>959</v>
      </c>
      <c r="H11" s="428"/>
      <c r="I11" s="1132" t="s">
        <v>966</v>
      </c>
      <c r="J11" s="1145">
        <v>2018</v>
      </c>
      <c r="K11" s="1274"/>
      <c r="L11" s="541">
        <v>5100</v>
      </c>
      <c r="M11" s="455"/>
      <c r="N11" s="545">
        <v>675</v>
      </c>
      <c r="O11" s="1286"/>
      <c r="P11" s="454"/>
      <c r="Q11" s="460">
        <f>IF(N11="","",L11/N11)</f>
        <v>7.5555555555555554</v>
      </c>
      <c r="R11" s="1287" t="str">
        <f t="shared" si="1"/>
        <v/>
      </c>
      <c r="S11" s="429"/>
      <c r="T11" s="429"/>
    </row>
    <row r="12" spans="1:95" ht="11.5" customHeight="1">
      <c r="A12" s="429"/>
      <c r="B12" s="1273" t="s">
        <v>967</v>
      </c>
      <c r="C12" s="463"/>
      <c r="D12" s="430"/>
      <c r="E12" s="462" t="s">
        <v>968</v>
      </c>
      <c r="F12" s="464"/>
      <c r="G12" s="541">
        <v>95170</v>
      </c>
      <c r="H12" s="428"/>
      <c r="I12" s="1132" t="s">
        <v>969</v>
      </c>
      <c r="J12" s="1145">
        <v>2017</v>
      </c>
      <c r="K12" s="1274"/>
      <c r="L12" s="541">
        <v>700</v>
      </c>
      <c r="M12" s="455"/>
      <c r="N12" s="545">
        <v>50</v>
      </c>
      <c r="O12" s="1286"/>
      <c r="P12" s="454"/>
      <c r="Q12" s="460">
        <f t="shared" si="0"/>
        <v>14</v>
      </c>
      <c r="R12" s="1287" t="str">
        <f t="shared" si="1"/>
        <v/>
      </c>
      <c r="S12" s="429"/>
      <c r="T12" s="429"/>
    </row>
    <row r="13" spans="1:95" ht="11.5" customHeight="1">
      <c r="A13" s="429"/>
      <c r="B13" s="1273" t="s">
        <v>970</v>
      </c>
      <c r="C13" s="463"/>
      <c r="D13" s="430"/>
      <c r="E13" s="462" t="s">
        <v>971</v>
      </c>
      <c r="F13" s="464"/>
      <c r="G13" s="541">
        <v>22564</v>
      </c>
      <c r="H13" s="428"/>
      <c r="I13" s="1132" t="s">
        <v>972</v>
      </c>
      <c r="J13" s="1145">
        <v>2016</v>
      </c>
      <c r="K13" s="1274"/>
      <c r="L13" s="542">
        <v>20695.16</v>
      </c>
      <c r="M13" s="455"/>
      <c r="N13" s="545">
        <v>7759.1</v>
      </c>
      <c r="O13" s="546">
        <v>1677.5</v>
      </c>
      <c r="P13" s="454"/>
      <c r="Q13" s="460">
        <f t="shared" si="0"/>
        <v>2.667211403384413</v>
      </c>
      <c r="R13" s="1275">
        <f t="shared" si="1"/>
        <v>12.336906110283159</v>
      </c>
      <c r="S13" s="429"/>
      <c r="T13" s="429"/>
    </row>
    <row r="14" spans="1:95" ht="11.5" customHeight="1">
      <c r="A14" s="429"/>
      <c r="B14" s="1276" t="s">
        <v>973</v>
      </c>
      <c r="C14" s="465"/>
      <c r="D14" s="430"/>
      <c r="E14" s="462" t="s">
        <v>974</v>
      </c>
      <c r="F14" s="464"/>
      <c r="G14" s="541">
        <v>257633</v>
      </c>
      <c r="H14" s="428"/>
      <c r="I14" s="1132" t="s">
        <v>975</v>
      </c>
      <c r="J14" s="1145">
        <v>2016</v>
      </c>
      <c r="K14" s="1274"/>
      <c r="L14" s="541">
        <v>114630.61000000002</v>
      </c>
      <c r="M14" s="455"/>
      <c r="N14" s="545">
        <v>14895</v>
      </c>
      <c r="O14" s="546">
        <v>6043</v>
      </c>
      <c r="P14" s="454"/>
      <c r="Q14" s="460">
        <f t="shared" si="0"/>
        <v>7.6959120510238348</v>
      </c>
      <c r="R14" s="1275">
        <f t="shared" si="1"/>
        <v>18.969156048320372</v>
      </c>
      <c r="S14" s="429"/>
      <c r="T14" s="429"/>
    </row>
    <row r="15" spans="1:95" ht="11.5" customHeight="1">
      <c r="A15" s="429"/>
      <c r="B15" s="1276" t="s">
        <v>976</v>
      </c>
      <c r="C15" s="465"/>
      <c r="D15" s="430"/>
      <c r="E15" s="462" t="s">
        <v>977</v>
      </c>
      <c r="F15" s="464"/>
      <c r="G15" s="541">
        <v>13478</v>
      </c>
      <c r="H15" s="428"/>
      <c r="I15" s="1132" t="s">
        <v>978</v>
      </c>
      <c r="J15" s="1145">
        <v>2014</v>
      </c>
      <c r="K15" s="1274"/>
      <c r="L15" s="542">
        <v>15747.15</v>
      </c>
      <c r="M15" s="455"/>
      <c r="N15" s="545">
        <v>2574.3000000000002</v>
      </c>
      <c r="O15" s="546">
        <v>795</v>
      </c>
      <c r="P15" s="454"/>
      <c r="Q15" s="460">
        <f t="shared" si="0"/>
        <v>6.1170609486073877</v>
      </c>
      <c r="R15" s="1275">
        <f t="shared" si="1"/>
        <v>19.807735849056602</v>
      </c>
      <c r="S15" s="429"/>
      <c r="T15" s="429"/>
    </row>
    <row r="16" spans="1:95" ht="11.5" customHeight="1">
      <c r="A16" s="429"/>
      <c r="B16" s="1276" t="s">
        <v>979</v>
      </c>
      <c r="C16" s="465"/>
      <c r="D16" s="430"/>
      <c r="E16" s="462" t="s">
        <v>980</v>
      </c>
      <c r="F16" s="464"/>
      <c r="G16" s="541">
        <v>91833</v>
      </c>
      <c r="H16" s="428"/>
      <c r="I16" s="1132" t="s">
        <v>981</v>
      </c>
      <c r="J16" s="1145">
        <v>2014</v>
      </c>
      <c r="K16" s="1274"/>
      <c r="L16" s="541">
        <v>8550.49</v>
      </c>
      <c r="M16" s="455"/>
      <c r="N16" s="545">
        <v>1561.72</v>
      </c>
      <c r="O16" s="546">
        <v>212.42</v>
      </c>
      <c r="P16" s="454"/>
      <c r="Q16" s="460">
        <f t="shared" si="0"/>
        <v>5.4750467433342722</v>
      </c>
      <c r="R16" s="1275">
        <f t="shared" si="1"/>
        <v>40.252753977968176</v>
      </c>
      <c r="S16" s="429"/>
      <c r="T16" s="429"/>
    </row>
    <row r="17" spans="1:20" ht="11.5" customHeight="1">
      <c r="A17" s="429"/>
      <c r="B17" s="1273" t="s">
        <v>982</v>
      </c>
      <c r="C17" s="463"/>
      <c r="D17" s="430"/>
      <c r="E17" s="462" t="s">
        <v>983</v>
      </c>
      <c r="F17" s="464"/>
      <c r="G17" s="541">
        <v>183753</v>
      </c>
      <c r="H17" s="428"/>
      <c r="I17" s="1132" t="s">
        <v>984</v>
      </c>
      <c r="J17" s="1145">
        <v>2013</v>
      </c>
      <c r="K17" s="1274"/>
      <c r="L17" s="541">
        <v>29075.870000000003</v>
      </c>
      <c r="M17" s="455"/>
      <c r="N17" s="545">
        <v>6941.1400000000012</v>
      </c>
      <c r="O17" s="546">
        <v>2166.31</v>
      </c>
      <c r="P17" s="454"/>
      <c r="Q17" s="460">
        <f t="shared" si="0"/>
        <v>4.1889185349956923</v>
      </c>
      <c r="R17" s="1275">
        <f t="shared" si="1"/>
        <v>13.421841749334122</v>
      </c>
      <c r="S17" s="429"/>
      <c r="T17" s="429"/>
    </row>
    <row r="18" spans="1:20" ht="11.5" customHeight="1">
      <c r="A18" s="429"/>
      <c r="B18" s="1273" t="s">
        <v>985</v>
      </c>
      <c r="C18" s="463"/>
      <c r="D18" s="430"/>
      <c r="E18" s="462" t="s">
        <v>968</v>
      </c>
      <c r="F18" s="461"/>
      <c r="G18" s="541">
        <v>60722</v>
      </c>
      <c r="H18" s="428"/>
      <c r="I18" s="1132" t="s">
        <v>986</v>
      </c>
      <c r="J18" s="1145">
        <v>2011</v>
      </c>
      <c r="K18" s="1274"/>
      <c r="L18" s="541">
        <v>2076.39</v>
      </c>
      <c r="M18" s="455"/>
      <c r="N18" s="545">
        <v>496.95</v>
      </c>
      <c r="O18" s="546">
        <v>210</v>
      </c>
      <c r="P18" s="454"/>
      <c r="Q18" s="460">
        <f t="shared" si="0"/>
        <v>4.1782674313311201</v>
      </c>
      <c r="R18" s="1275">
        <f t="shared" si="1"/>
        <v>9.8875714285714285</v>
      </c>
      <c r="S18" s="429"/>
      <c r="T18" s="429"/>
    </row>
    <row r="19" spans="1:20" ht="11.5" customHeight="1">
      <c r="A19" s="429"/>
      <c r="B19" s="1273" t="s">
        <v>987</v>
      </c>
      <c r="C19" s="463"/>
      <c r="D19" s="430"/>
      <c r="E19" s="462" t="s">
        <v>973</v>
      </c>
      <c r="F19" s="461"/>
      <c r="G19" s="541">
        <v>62507</v>
      </c>
      <c r="H19" s="428"/>
      <c r="I19" s="1132" t="s">
        <v>988</v>
      </c>
      <c r="J19" s="1145">
        <v>2011</v>
      </c>
      <c r="K19" s="1274"/>
      <c r="L19" s="541">
        <v>12614.31</v>
      </c>
      <c r="M19" s="455"/>
      <c r="N19" s="545">
        <v>2473</v>
      </c>
      <c r="O19" s="546">
        <v>882</v>
      </c>
      <c r="P19" s="454"/>
      <c r="Q19" s="460">
        <f t="shared" si="0"/>
        <v>5.1008127780024264</v>
      </c>
      <c r="R19" s="1275">
        <f t="shared" si="1"/>
        <v>14.301938775510203</v>
      </c>
      <c r="S19" s="429"/>
      <c r="T19" s="429"/>
    </row>
    <row r="20" spans="1:20" ht="11.5" customHeight="1">
      <c r="A20" s="429"/>
      <c r="B20" s="1273" t="s">
        <v>989</v>
      </c>
      <c r="C20" s="463"/>
      <c r="D20" s="430"/>
      <c r="E20" s="462" t="s">
        <v>990</v>
      </c>
      <c r="F20" s="461"/>
      <c r="G20" s="541">
        <v>55372</v>
      </c>
      <c r="H20" s="428"/>
      <c r="I20" s="1132" t="s">
        <v>991</v>
      </c>
      <c r="J20" s="1145">
        <v>2008</v>
      </c>
      <c r="K20" s="1274"/>
      <c r="L20" s="541">
        <v>60797.39</v>
      </c>
      <c r="M20" s="455"/>
      <c r="N20" s="545">
        <v>17132.5</v>
      </c>
      <c r="O20" s="546">
        <v>4549.6000000000004</v>
      </c>
      <c r="P20" s="454"/>
      <c r="Q20" s="460">
        <f t="shared" si="0"/>
        <v>3.5486583977819932</v>
      </c>
      <c r="R20" s="1275">
        <f t="shared" si="1"/>
        <v>13.363238526463864</v>
      </c>
      <c r="S20" s="429"/>
      <c r="T20" s="429"/>
    </row>
    <row r="21" spans="1:20" ht="11.5" customHeight="1">
      <c r="A21" s="429"/>
      <c r="B21" s="1277"/>
      <c r="C21" s="459"/>
      <c r="D21" s="430"/>
      <c r="E21" s="458"/>
      <c r="F21" s="457"/>
      <c r="G21" s="547"/>
      <c r="H21" s="428"/>
      <c r="I21" s="456"/>
      <c r="J21" s="458"/>
      <c r="K21" s="1137"/>
      <c r="L21" s="547"/>
      <c r="M21" s="455"/>
      <c r="N21" s="548"/>
      <c r="O21" s="549"/>
      <c r="P21" s="454"/>
      <c r="Q21" s="453"/>
      <c r="R21" s="1278"/>
      <c r="S21" s="429"/>
      <c r="T21" s="429"/>
    </row>
    <row r="22" spans="1:20" ht="6" customHeight="1">
      <c r="A22" s="429"/>
      <c r="B22" s="1245"/>
      <c r="C22" s="429"/>
      <c r="D22" s="430"/>
      <c r="E22" s="429"/>
      <c r="F22" s="429"/>
      <c r="G22" s="429"/>
      <c r="H22" s="428"/>
      <c r="I22" s="1279"/>
      <c r="J22" s="1280"/>
      <c r="K22" s="1279"/>
      <c r="L22" s="452"/>
      <c r="M22" s="452"/>
      <c r="N22" s="451"/>
      <c r="O22" s="451"/>
      <c r="P22" s="450"/>
      <c r="Q22" s="1281"/>
      <c r="R22" s="1282"/>
      <c r="S22" s="429"/>
      <c r="T22" s="429"/>
    </row>
    <row r="23" spans="1:20">
      <c r="A23" s="429"/>
      <c r="B23" s="1283" t="s">
        <v>992</v>
      </c>
      <c r="C23" s="448"/>
      <c r="D23" s="449"/>
      <c r="E23" s="448"/>
      <c r="F23" s="448"/>
      <c r="G23" s="1139">
        <f>AVERAGE(G12:G20)</f>
        <v>93670.222222222219</v>
      </c>
      <c r="H23" s="447"/>
      <c r="I23" s="445"/>
      <c r="J23" s="446"/>
      <c r="K23" s="445"/>
      <c r="L23" s="1139">
        <f>AVERAGE(L9:L20)</f>
        <v>22689.670833333334</v>
      </c>
      <c r="M23" s="1139"/>
      <c r="N23" s="1139">
        <f>AVERAGE(N9:N20)</f>
        <v>4631.4425000000001</v>
      </c>
      <c r="O23" s="1139">
        <f>AVERAGE(O9:O20)</f>
        <v>1846.0166666666669</v>
      </c>
      <c r="P23" s="444"/>
      <c r="Q23" s="443">
        <f>AVERAGE(Q9:Q20)</f>
        <v>5.43104979505621</v>
      </c>
      <c r="R23" s="1284">
        <f>AVERAGE(R9:R20)</f>
        <v>17.360172338410202</v>
      </c>
      <c r="S23" s="429"/>
      <c r="T23" s="429"/>
    </row>
    <row r="24" spans="1:20" ht="6.75" customHeight="1">
      <c r="A24" s="429"/>
      <c r="B24" s="442"/>
      <c r="C24" s="442"/>
      <c r="D24" s="430"/>
      <c r="E24" s="429"/>
      <c r="F24" s="429"/>
      <c r="G24" s="429"/>
      <c r="H24" s="428"/>
      <c r="I24" s="429"/>
      <c r="J24" s="429"/>
      <c r="K24" s="429"/>
      <c r="L24" s="440"/>
      <c r="M24" s="440"/>
      <c r="N24" s="429"/>
      <c r="O24" s="429"/>
      <c r="P24" s="429"/>
      <c r="Q24" s="440"/>
      <c r="R24" s="440"/>
      <c r="S24" s="429"/>
      <c r="T24" s="429"/>
    </row>
    <row r="25" spans="1:20">
      <c r="A25" s="429"/>
      <c r="B25" s="1" t="s">
        <v>993</v>
      </c>
      <c r="C25" s="442"/>
      <c r="D25" s="430"/>
      <c r="E25" s="429"/>
      <c r="F25" s="429"/>
      <c r="G25" s="429"/>
      <c r="H25" s="428"/>
      <c r="I25" s="429"/>
      <c r="J25" s="429"/>
      <c r="K25" s="429"/>
      <c r="L25" s="440"/>
      <c r="M25" s="440"/>
      <c r="N25" s="429"/>
      <c r="O25" s="429"/>
      <c r="P25" s="429"/>
      <c r="Q25" s="440"/>
      <c r="R25" s="440"/>
      <c r="S25" s="429"/>
      <c r="T25" s="429"/>
    </row>
    <row r="26" spans="1:20">
      <c r="A26" s="429"/>
      <c r="B26" s="1" t="s">
        <v>994</v>
      </c>
      <c r="C26" s="429"/>
      <c r="D26" s="430"/>
      <c r="E26" s="429"/>
      <c r="F26" s="429"/>
      <c r="G26" s="429"/>
      <c r="H26" s="428"/>
      <c r="I26" s="1195"/>
      <c r="J26" s="429"/>
      <c r="K26" s="429"/>
      <c r="L26" s="440"/>
      <c r="M26" s="440"/>
      <c r="N26" s="429"/>
      <c r="O26" s="429"/>
      <c r="P26" s="429"/>
      <c r="Q26" s="440"/>
      <c r="R26" s="440"/>
      <c r="S26" s="429"/>
      <c r="T26" s="429"/>
    </row>
    <row r="27" spans="1:20"/>
  </sheetData>
  <mergeCells count="2">
    <mergeCell ref="N5:O5"/>
    <mergeCell ref="Q5:R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499984740745262"/>
  </sheetPr>
  <dimension ref="A1:CV149"/>
  <sheetViews>
    <sheetView showGridLines="0" zoomScaleNormal="100" workbookViewId="0"/>
  </sheetViews>
  <sheetFormatPr baseColWidth="10" defaultColWidth="0" defaultRowHeight="15" zeroHeight="1"/>
  <cols>
    <col min="1" max="1" width="2.5" customWidth="1"/>
    <col min="2" max="2" width="1" customWidth="1"/>
    <col min="3" max="3" width="37.5" customWidth="1"/>
    <col min="4" max="4" width="10.5" customWidth="1"/>
    <col min="5" max="16" width="9.5" customWidth="1"/>
    <col min="17" max="17" width="3.5" customWidth="1"/>
    <col min="18" max="19" width="5.5" customWidth="1"/>
    <col min="20" max="20" width="4.5" customWidth="1"/>
    <col min="21" max="21" width="4.5" hidden="1" customWidth="1"/>
    <col min="22" max="22" width="8.83203125" hidden="1" customWidth="1"/>
    <col min="23" max="100" width="0" hidden="1" customWidth="1"/>
    <col min="101" max="16384" width="8.83203125" hidden="1"/>
  </cols>
  <sheetData>
    <row r="1" spans="1:100" s="26" customFormat="1" ht="13">
      <c r="A1" s="36"/>
      <c r="B1" s="36"/>
      <c r="C1" s="36" t="str">
        <f>'DCF - Assumptions'!$F$8&amp;" | LBO Model - Summary"</f>
        <v>Diageo PLC | LBO Model - Summary</v>
      </c>
      <c r="D1" s="621"/>
      <c r="E1" s="622"/>
      <c r="F1" s="622"/>
      <c r="G1" s="622"/>
      <c r="H1" s="622"/>
      <c r="I1" s="623"/>
      <c r="J1" s="623"/>
      <c r="K1" s="622"/>
      <c r="L1" s="622"/>
      <c r="M1" s="576"/>
      <c r="N1" s="622"/>
      <c r="O1" s="622"/>
      <c r="P1" s="622"/>
      <c r="Q1" s="622"/>
      <c r="R1" s="623" t="str">
        <f>IF(R5=S5,"OK","Check")</f>
        <v>Check</v>
      </c>
      <c r="S1" s="623" t="str">
        <f ca="1">IF(R6=S6,"OK","Check")</f>
        <v>Check</v>
      </c>
      <c r="T1" s="576"/>
      <c r="U1" s="576"/>
      <c r="V1" s="576"/>
      <c r="W1" s="576"/>
      <c r="X1" s="576"/>
      <c r="Y1" s="576"/>
      <c r="Z1" s="576"/>
      <c r="AA1" s="576"/>
      <c r="AB1" s="576"/>
      <c r="AC1" s="576"/>
    </row>
    <row r="2" spans="1:100" s="3" customFormat="1" ht="2.25" customHeight="1">
      <c r="A2" s="573"/>
      <c r="B2" s="573"/>
      <c r="C2" s="552"/>
      <c r="D2" s="552"/>
      <c r="E2" s="552"/>
      <c r="F2" s="552"/>
      <c r="G2" s="552"/>
      <c r="H2" s="552"/>
      <c r="I2" s="619"/>
      <c r="J2" s="619"/>
      <c r="K2" s="552"/>
      <c r="L2" s="552"/>
      <c r="M2" s="552"/>
      <c r="N2" s="552"/>
      <c r="O2" s="552"/>
      <c r="P2" s="552"/>
      <c r="Q2" s="552"/>
      <c r="R2" s="554"/>
      <c r="S2" s="554"/>
      <c r="T2" s="554"/>
      <c r="U2" s="554"/>
      <c r="V2" s="554"/>
      <c r="W2" s="554"/>
      <c r="X2" s="554"/>
      <c r="Y2" s="554"/>
      <c r="Z2" s="554"/>
      <c r="AA2" s="554"/>
      <c r="AB2" s="554"/>
      <c r="AC2" s="554"/>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row>
    <row r="3" spans="1:100" s="28" customFormat="1" ht="3" customHeight="1">
      <c r="A3" s="574"/>
      <c r="B3" s="574"/>
      <c r="C3" s="575"/>
      <c r="D3" s="575"/>
      <c r="E3" s="575"/>
      <c r="F3" s="575"/>
      <c r="G3" s="575"/>
      <c r="H3" s="575"/>
      <c r="I3" s="576"/>
      <c r="J3" s="576"/>
      <c r="K3" s="575"/>
      <c r="L3" s="575"/>
      <c r="M3" s="575"/>
      <c r="N3" s="575"/>
      <c r="O3" s="575"/>
      <c r="P3" s="575"/>
      <c r="Q3" s="575"/>
      <c r="R3" s="576"/>
      <c r="S3" s="576"/>
      <c r="T3" s="576"/>
      <c r="U3" s="576"/>
      <c r="V3" s="576"/>
      <c r="W3" s="576"/>
      <c r="X3" s="576"/>
      <c r="Y3" s="576"/>
      <c r="Z3" s="576"/>
      <c r="AA3" s="576"/>
      <c r="AB3" s="576"/>
      <c r="AC3" s="57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row>
    <row r="4" spans="1:100" s="166" customFormat="1" ht="11.25" customHeight="1">
      <c r="A4" s="620"/>
      <c r="B4" s="620"/>
      <c r="C4" s="620"/>
      <c r="D4" s="620"/>
      <c r="E4" s="620"/>
      <c r="F4" s="620"/>
      <c r="G4" s="620"/>
      <c r="H4" s="620"/>
      <c r="I4" s="552"/>
      <c r="J4" s="552"/>
      <c r="K4" s="620"/>
      <c r="L4" s="620"/>
      <c r="M4" s="620"/>
      <c r="N4" s="620"/>
      <c r="O4" s="620"/>
      <c r="P4" s="620"/>
      <c r="Q4" s="620"/>
      <c r="R4" s="620"/>
      <c r="S4" s="620"/>
      <c r="T4" s="620"/>
      <c r="U4" s="620"/>
      <c r="V4" s="620"/>
      <c r="W4" s="620"/>
      <c r="X4" s="620"/>
      <c r="Y4" s="620"/>
      <c r="Z4" s="620"/>
      <c r="AA4" s="620"/>
      <c r="AB4" s="620"/>
      <c r="AC4" s="620"/>
    </row>
    <row r="5" spans="1:100">
      <c r="A5" s="591"/>
      <c r="B5" s="591"/>
      <c r="C5" s="926" t="s">
        <v>551</v>
      </c>
      <c r="D5" s="927"/>
      <c r="E5" s="927"/>
      <c r="F5" s="927"/>
      <c r="G5" s="927"/>
      <c r="H5" s="927"/>
      <c r="I5" s="927"/>
      <c r="J5" s="927"/>
      <c r="K5" s="927"/>
      <c r="L5" s="927"/>
      <c r="M5" s="927"/>
      <c r="N5" s="927"/>
      <c r="O5" s="927"/>
      <c r="P5" s="927"/>
      <c r="Q5" s="552"/>
      <c r="R5" s="579">
        <f>ROWS(C5:C120)</f>
        <v>116</v>
      </c>
      <c r="S5" s="580">
        <v>117</v>
      </c>
      <c r="T5" s="585"/>
      <c r="U5" s="585"/>
      <c r="V5" s="581"/>
      <c r="W5" s="581"/>
      <c r="X5" s="581"/>
      <c r="Y5" s="581"/>
      <c r="Z5" s="581"/>
      <c r="AA5" s="581"/>
      <c r="AB5" s="581"/>
      <c r="AC5" s="581"/>
    </row>
    <row r="6" spans="1:100" ht="16" thickBot="1">
      <c r="A6" s="591"/>
      <c r="B6" s="591"/>
      <c r="C6" s="582" t="s">
        <v>552</v>
      </c>
      <c r="D6" s="582"/>
      <c r="E6" s="582"/>
      <c r="F6" s="582"/>
      <c r="G6" s="568"/>
      <c r="H6" s="582" t="s">
        <v>553</v>
      </c>
      <c r="I6" s="582"/>
      <c r="J6" s="582"/>
      <c r="K6" s="582"/>
      <c r="L6" s="582"/>
      <c r="M6" s="582"/>
      <c r="N6" s="582"/>
      <c r="O6" s="582"/>
      <c r="P6" s="582"/>
      <c r="Q6" s="572"/>
      <c r="R6" s="579">
        <f ca="1">SUM(R7:R120)</f>
        <v>95</v>
      </c>
      <c r="S6" s="580">
        <v>96</v>
      </c>
      <c r="T6" s="585"/>
      <c r="U6" s="585"/>
      <c r="V6" s="581"/>
      <c r="W6" s="581"/>
      <c r="X6" s="581"/>
      <c r="Y6" s="581"/>
      <c r="Z6" s="581"/>
      <c r="AA6" s="581"/>
      <c r="AB6" s="581"/>
      <c r="AC6" s="581"/>
    </row>
    <row r="7" spans="1:100">
      <c r="A7" s="591"/>
      <c r="B7" s="591"/>
      <c r="C7" s="585" t="str">
        <f>'DCF - Assumptions'!F8</f>
        <v>Diageo PLC</v>
      </c>
      <c r="D7" s="560"/>
      <c r="E7" s="560">
        <f>'LBO - Assumptions'!F62</f>
        <v>0</v>
      </c>
      <c r="F7" s="794">
        <f ca="1">E7/$E$14</f>
        <v>0</v>
      </c>
      <c r="G7" s="585"/>
      <c r="H7" s="585" t="s">
        <v>554</v>
      </c>
      <c r="I7" s="585"/>
      <c r="J7" s="585"/>
      <c r="K7" s="585"/>
      <c r="L7" s="585"/>
      <c r="M7" s="585"/>
      <c r="N7" s="585"/>
      <c r="O7" s="560">
        <f ca="1">'LBO - Assumptions'!F49</f>
        <v>0</v>
      </c>
      <c r="P7" s="795">
        <f ca="1">O7/$O$14</f>
        <v>0</v>
      </c>
      <c r="Q7" s="578"/>
      <c r="R7" s="579">
        <f t="shared" ref="R7:R71" si="0">IF(NOT(ISBLANK(C7)), 1, 0)</f>
        <v>1</v>
      </c>
      <c r="S7" s="580">
        <v>1</v>
      </c>
      <c r="T7" s="585"/>
      <c r="U7" s="585"/>
      <c r="V7" s="581"/>
      <c r="W7" s="581"/>
      <c r="X7" s="581"/>
      <c r="Y7" s="581"/>
      <c r="Z7" s="581"/>
      <c r="AA7" s="581"/>
      <c r="AB7" s="581"/>
      <c r="AC7" s="581"/>
    </row>
    <row r="8" spans="1:100">
      <c r="A8" s="591"/>
      <c r="B8" s="591"/>
      <c r="C8" s="605" t="str">
        <f ca="1">"Parent Equity Premium "&amp;TEXT('LBO - Assumptions'!G93,"(#0%)")</f>
        <v>Parent Equity Premium (0%)</v>
      </c>
      <c r="D8" s="603"/>
      <c r="E8" s="603">
        <f ca="1">'LBO - Assumptions'!F63</f>
        <v>0</v>
      </c>
      <c r="F8" s="604">
        <f ca="1">E8/$E$14</f>
        <v>0</v>
      </c>
      <c r="G8" s="585"/>
      <c r="H8" s="585" t="s">
        <v>555</v>
      </c>
      <c r="I8" s="585"/>
      <c r="J8" s="585"/>
      <c r="K8" s="585"/>
      <c r="L8" s="585"/>
      <c r="M8" s="585"/>
      <c r="N8" s="585"/>
      <c r="O8" s="560">
        <f ca="1">'LBO - Assumptions'!F50</f>
        <v>0</v>
      </c>
      <c r="P8" s="795">
        <f ca="1">O8/O14</f>
        <v>0</v>
      </c>
      <c r="Q8" s="578"/>
      <c r="R8" s="579">
        <f t="shared" ca="1" si="0"/>
        <v>1</v>
      </c>
      <c r="S8" s="580">
        <v>1</v>
      </c>
      <c r="T8" s="585"/>
      <c r="U8" s="585"/>
      <c r="V8" s="581"/>
      <c r="W8" s="581"/>
      <c r="X8" s="581"/>
      <c r="Y8" s="581"/>
      <c r="Z8" s="581"/>
      <c r="AA8" s="581"/>
      <c r="AB8" s="581"/>
      <c r="AC8" s="581"/>
    </row>
    <row r="9" spans="1:100">
      <c r="A9" s="591"/>
      <c r="B9" s="591"/>
      <c r="C9" s="796" t="s">
        <v>556</v>
      </c>
      <c r="D9" s="585"/>
      <c r="E9" s="560">
        <f ca="1">SUM(E7:E8)</f>
        <v>0</v>
      </c>
      <c r="F9" s="795">
        <f ca="1">E9/E14</f>
        <v>0</v>
      </c>
      <c r="G9" s="585"/>
      <c r="H9" s="585" t="s">
        <v>557</v>
      </c>
      <c r="I9" s="585"/>
      <c r="J9" s="585"/>
      <c r="K9" s="585"/>
      <c r="L9" s="585"/>
      <c r="M9" s="585"/>
      <c r="N9" s="585"/>
      <c r="O9" s="560">
        <f ca="1">'LBO - Assumptions'!F51</f>
        <v>0</v>
      </c>
      <c r="P9" s="795">
        <f ca="1">O9/$O$14</f>
        <v>0</v>
      </c>
      <c r="Q9" s="578"/>
      <c r="R9" s="579">
        <f t="shared" si="0"/>
        <v>1</v>
      </c>
      <c r="S9" s="580">
        <v>1</v>
      </c>
      <c r="T9" s="585"/>
      <c r="U9" s="585"/>
      <c r="V9" s="581"/>
      <c r="W9" s="581"/>
      <c r="X9" s="581"/>
      <c r="Y9" s="581"/>
      <c r="Z9" s="581"/>
      <c r="AA9" s="581"/>
      <c r="AB9" s="581"/>
      <c r="AC9" s="581"/>
    </row>
    <row r="10" spans="1:100">
      <c r="A10" s="591"/>
      <c r="B10" s="591"/>
      <c r="C10" s="560" t="str">
        <f>'LBO - Assumptions'!C66</f>
        <v>Debt Retired / Assumed</v>
      </c>
      <c r="D10" s="560"/>
      <c r="E10" s="560">
        <f>'LBO - Assumptions'!F66</f>
        <v>16502</v>
      </c>
      <c r="F10" s="794">
        <f ca="1">E10/$E$14</f>
        <v>1</v>
      </c>
      <c r="G10" s="585"/>
      <c r="H10" s="605" t="s">
        <v>558</v>
      </c>
      <c r="I10" s="605"/>
      <c r="J10" s="605"/>
      <c r="K10" s="605"/>
      <c r="L10" s="605"/>
      <c r="M10" s="605"/>
      <c r="N10" s="605"/>
      <c r="O10" s="603">
        <f ca="1">'LBO - Assumptions'!F52</f>
        <v>0</v>
      </c>
      <c r="P10" s="797">
        <f ca="1">O10/$O$14</f>
        <v>0</v>
      </c>
      <c r="Q10" s="578"/>
      <c r="R10" s="579">
        <f t="shared" si="0"/>
        <v>1</v>
      </c>
      <c r="S10" s="580">
        <v>1</v>
      </c>
      <c r="T10" s="585"/>
      <c r="U10" s="585"/>
      <c r="V10" s="581"/>
      <c r="W10" s="581"/>
      <c r="X10" s="581"/>
      <c r="Y10" s="581"/>
      <c r="Z10" s="581"/>
      <c r="AA10" s="581"/>
      <c r="AB10" s="581"/>
      <c r="AC10" s="581"/>
    </row>
    <row r="11" spans="1:100">
      <c r="A11" s="591"/>
      <c r="B11" s="591"/>
      <c r="C11" s="585" t="s">
        <v>559</v>
      </c>
      <c r="D11" s="560"/>
      <c r="E11" s="560">
        <f ca="1">'LBO - Assumptions'!F67</f>
        <v>0</v>
      </c>
      <c r="F11" s="794">
        <f ca="1">E11/$E$14</f>
        <v>0</v>
      </c>
      <c r="G11" s="585"/>
      <c r="H11" s="796" t="s">
        <v>560</v>
      </c>
      <c r="I11" s="585"/>
      <c r="J11" s="585"/>
      <c r="K11" s="585"/>
      <c r="L11" s="585"/>
      <c r="M11" s="585"/>
      <c r="N11" s="585"/>
      <c r="O11" s="798">
        <f ca="1">SUM(O7:O10)</f>
        <v>0</v>
      </c>
      <c r="P11" s="799">
        <f ca="1">O11/$O$14</f>
        <v>0</v>
      </c>
      <c r="Q11" s="585"/>
      <c r="R11" s="579">
        <f t="shared" si="0"/>
        <v>1</v>
      </c>
      <c r="S11" s="580">
        <v>1</v>
      </c>
      <c r="T11" s="585"/>
      <c r="U11" s="585"/>
      <c r="V11" s="581"/>
      <c r="W11" s="581"/>
      <c r="X11" s="581"/>
      <c r="Y11" s="581"/>
      <c r="Z11" s="581"/>
      <c r="AA11" s="581"/>
      <c r="AB11" s="581"/>
      <c r="AC11" s="581"/>
    </row>
    <row r="12" spans="1:100">
      <c r="A12" s="591"/>
      <c r="B12" s="591"/>
      <c r="C12" s="585"/>
      <c r="D12" s="560"/>
      <c r="E12" s="560"/>
      <c r="F12" s="800"/>
      <c r="G12" s="585"/>
      <c r="H12" s="585" t="s">
        <v>561</v>
      </c>
      <c r="I12" s="585"/>
      <c r="J12" s="585"/>
      <c r="K12" s="585"/>
      <c r="L12" s="585"/>
      <c r="M12" s="585"/>
      <c r="N12" s="585"/>
      <c r="O12" s="560">
        <f ca="1">'LBO - Assumptions'!F55</f>
        <v>15063</v>
      </c>
      <c r="P12" s="801">
        <f ca="1">O12/$O$14</f>
        <v>0.91279844867288817</v>
      </c>
      <c r="Q12" s="578"/>
      <c r="R12" s="579">
        <f t="shared" si="0"/>
        <v>0</v>
      </c>
      <c r="S12" s="580">
        <v>0</v>
      </c>
      <c r="T12" s="585"/>
      <c r="U12" s="585"/>
      <c r="V12" s="581"/>
      <c r="W12" s="581"/>
      <c r="X12" s="581"/>
      <c r="Y12" s="581"/>
      <c r="Z12" s="581"/>
      <c r="AA12" s="581"/>
      <c r="AB12" s="581"/>
      <c r="AC12" s="581"/>
    </row>
    <row r="13" spans="1:100">
      <c r="A13" s="591"/>
      <c r="B13" s="591"/>
      <c r="C13" s="585"/>
      <c r="D13" s="560"/>
      <c r="E13" s="560"/>
      <c r="F13" s="800"/>
      <c r="G13" s="585"/>
      <c r="H13" s="585" t="s">
        <v>562</v>
      </c>
      <c r="I13" s="585"/>
      <c r="J13" s="585"/>
      <c r="K13" s="585"/>
      <c r="L13" s="585"/>
      <c r="M13" s="585"/>
      <c r="N13" s="585"/>
      <c r="O13" s="560">
        <f ca="1">'LBO - Assumptions'!F58</f>
        <v>1439</v>
      </c>
      <c r="P13" s="801">
        <f ca="1">O13/$O$14</f>
        <v>8.7201551327111868E-2</v>
      </c>
      <c r="Q13" s="578"/>
      <c r="R13" s="579">
        <f t="shared" si="0"/>
        <v>0</v>
      </c>
      <c r="S13" s="580">
        <v>0</v>
      </c>
      <c r="T13" s="585"/>
      <c r="U13" s="585"/>
      <c r="V13" s="581"/>
      <c r="W13" s="581"/>
      <c r="X13" s="581"/>
      <c r="Y13" s="581"/>
      <c r="Z13" s="581"/>
      <c r="AA13" s="581"/>
      <c r="AB13" s="581"/>
      <c r="AC13" s="581"/>
    </row>
    <row r="14" spans="1:100">
      <c r="A14" s="591"/>
      <c r="B14" s="591"/>
      <c r="C14" s="561" t="s">
        <v>563</v>
      </c>
      <c r="D14" s="553"/>
      <c r="E14" s="553">
        <f ca="1">SUM(E9:E13)</f>
        <v>16502</v>
      </c>
      <c r="F14" s="606">
        <f ca="1">SUM(F9:F13)</f>
        <v>1</v>
      </c>
      <c r="G14" s="585"/>
      <c r="H14" s="561" t="s">
        <v>564</v>
      </c>
      <c r="I14" s="561"/>
      <c r="J14" s="561"/>
      <c r="K14" s="561"/>
      <c r="L14" s="561"/>
      <c r="M14" s="561"/>
      <c r="N14" s="561"/>
      <c r="O14" s="553">
        <f ca="1">SUM(O11:O13)</f>
        <v>16502</v>
      </c>
      <c r="P14" s="606">
        <f ca="1">SUM(P11:P13)</f>
        <v>1</v>
      </c>
      <c r="Q14" s="578"/>
      <c r="R14" s="579">
        <f t="shared" si="0"/>
        <v>1</v>
      </c>
      <c r="S14" s="580">
        <v>1</v>
      </c>
      <c r="T14" s="585"/>
      <c r="U14" s="585"/>
      <c r="V14" s="581"/>
      <c r="W14" s="581"/>
      <c r="X14" s="581"/>
      <c r="Y14" s="581"/>
      <c r="Z14" s="581"/>
      <c r="AA14" s="581"/>
      <c r="AB14" s="581"/>
      <c r="AC14" s="581"/>
    </row>
    <row r="15" spans="1:100">
      <c r="A15" s="591"/>
      <c r="B15" s="591"/>
      <c r="C15" s="585"/>
      <c r="D15" s="585"/>
      <c r="E15" s="585"/>
      <c r="F15" s="585"/>
      <c r="G15" s="585"/>
      <c r="H15" s="585"/>
      <c r="I15" s="585"/>
      <c r="J15" s="585"/>
      <c r="K15" s="577" t="s">
        <v>565</v>
      </c>
      <c r="L15" s="577"/>
      <c r="M15" s="577"/>
      <c r="N15" s="577"/>
      <c r="O15" s="577"/>
      <c r="P15" s="577"/>
      <c r="Q15" s="607"/>
      <c r="R15" s="579">
        <f t="shared" si="0"/>
        <v>0</v>
      </c>
      <c r="S15" s="580">
        <v>0</v>
      </c>
      <c r="T15" s="585"/>
      <c r="U15" s="585"/>
      <c r="V15" s="581"/>
      <c r="W15" s="581"/>
      <c r="X15" s="581"/>
      <c r="Y15" s="581"/>
      <c r="Z15" s="581"/>
      <c r="AA15" s="581"/>
      <c r="AB15" s="581"/>
      <c r="AC15" s="581"/>
    </row>
    <row r="16" spans="1:100" ht="16" thickBot="1">
      <c r="A16" s="554"/>
      <c r="B16" s="554"/>
      <c r="C16" s="582" t="s">
        <v>566</v>
      </c>
      <c r="D16" s="582"/>
      <c r="E16" s="582"/>
      <c r="F16" s="582"/>
      <c r="G16" s="582"/>
      <c r="H16" s="582"/>
      <c r="I16" s="583"/>
      <c r="J16" s="582">
        <f t="shared" ref="J16:P16" si="1">J32</f>
        <v>2023</v>
      </c>
      <c r="K16" s="583">
        <f t="shared" si="1"/>
        <v>2024</v>
      </c>
      <c r="L16" s="583">
        <f t="shared" si="1"/>
        <v>2025</v>
      </c>
      <c r="M16" s="583">
        <f t="shared" si="1"/>
        <v>2026</v>
      </c>
      <c r="N16" s="583">
        <f t="shared" si="1"/>
        <v>2027</v>
      </c>
      <c r="O16" s="583">
        <f t="shared" si="1"/>
        <v>2028</v>
      </c>
      <c r="P16" s="583">
        <f t="shared" si="1"/>
        <v>2029</v>
      </c>
      <c r="Q16" s="578"/>
      <c r="R16" s="579">
        <f t="shared" si="0"/>
        <v>1</v>
      </c>
      <c r="S16" s="580">
        <v>1</v>
      </c>
      <c r="T16" s="581"/>
      <c r="U16" s="581"/>
      <c r="V16" s="581"/>
      <c r="W16" s="581"/>
      <c r="X16" s="581"/>
      <c r="Y16" s="581"/>
      <c r="Z16" s="581"/>
      <c r="AA16" s="581"/>
      <c r="AB16" s="581"/>
      <c r="AC16" s="581"/>
    </row>
    <row r="17" spans="1:29">
      <c r="A17" s="554"/>
      <c r="B17" s="554"/>
      <c r="C17" s="552" t="str">
        <f>C52</f>
        <v>Proforma Revenue Forecast</v>
      </c>
      <c r="D17" s="802" t="s">
        <v>567</v>
      </c>
      <c r="E17" s="803"/>
      <c r="F17" s="608">
        <f ca="1">IFERROR('LBO - Financials'!F72,0)</f>
        <v>0</v>
      </c>
      <c r="G17" s="568"/>
      <c r="H17" s="568"/>
      <c r="I17" s="804"/>
      <c r="J17" s="560"/>
      <c r="K17" s="560">
        <f t="shared" ref="K17:P17" ca="1" si="2">K52</f>
        <v>17775.445</v>
      </c>
      <c r="L17" s="560">
        <f t="shared" ca="1" si="2"/>
        <v>18733.801249</v>
      </c>
      <c r="M17" s="560">
        <f t="shared" ca="1" si="2"/>
        <v>19823.250025914</v>
      </c>
      <c r="N17" s="560">
        <f t="shared" ca="1" si="2"/>
        <v>21001.604953276186</v>
      </c>
      <c r="O17" s="560">
        <f t="shared" ca="1" si="2"/>
        <v>22353.858094888696</v>
      </c>
      <c r="P17" s="560">
        <f t="shared" ca="1" si="2"/>
        <v>23796.719745400867</v>
      </c>
      <c r="Q17" s="578"/>
      <c r="R17" s="579">
        <f t="shared" si="0"/>
        <v>1</v>
      </c>
      <c r="S17" s="580">
        <v>1</v>
      </c>
      <c r="T17" s="581"/>
      <c r="U17" s="581"/>
      <c r="V17" s="581"/>
      <c r="W17" s="581"/>
      <c r="X17" s="581"/>
      <c r="Y17" s="581"/>
      <c r="Z17" s="581"/>
      <c r="AA17" s="581"/>
      <c r="AB17" s="581"/>
      <c r="AC17" s="581"/>
    </row>
    <row r="18" spans="1:29">
      <c r="A18" s="554"/>
      <c r="B18" s="554"/>
      <c r="C18" s="552" t="str">
        <f>C55</f>
        <v>Revenue &amp; Margin Synergies EBITDA Contribution</v>
      </c>
      <c r="D18" s="552" t="s">
        <v>568</v>
      </c>
      <c r="E18" s="568"/>
      <c r="F18" s="608">
        <f ca="1">'LBO - Financials'!F82</f>
        <v>0</v>
      </c>
      <c r="G18" s="568"/>
      <c r="H18" s="568"/>
      <c r="I18" s="804"/>
      <c r="J18" s="560"/>
      <c r="K18" s="560">
        <f t="shared" ref="K18:P19" ca="1" si="3">K55</f>
        <v>9.0949470177292824E-13</v>
      </c>
      <c r="L18" s="560">
        <f t="shared" ca="1" si="3"/>
        <v>0</v>
      </c>
      <c r="M18" s="560">
        <f t="shared" ca="1" si="3"/>
        <v>0</v>
      </c>
      <c r="N18" s="560">
        <f t="shared" ca="1" si="3"/>
        <v>0</v>
      </c>
      <c r="O18" s="560">
        <f t="shared" ca="1" si="3"/>
        <v>0</v>
      </c>
      <c r="P18" s="560">
        <f t="shared" ca="1" si="3"/>
        <v>0</v>
      </c>
      <c r="Q18" s="578"/>
      <c r="R18" s="579">
        <f t="shared" si="0"/>
        <v>1</v>
      </c>
      <c r="S18" s="580">
        <v>1</v>
      </c>
      <c r="T18" s="581"/>
      <c r="U18" s="581"/>
      <c r="V18" s="581"/>
      <c r="W18" s="581"/>
      <c r="X18" s="581"/>
      <c r="Y18" s="581"/>
      <c r="Z18" s="581"/>
      <c r="AA18" s="581"/>
      <c r="AB18" s="581"/>
      <c r="AC18" s="581"/>
    </row>
    <row r="19" spans="1:29">
      <c r="A19" s="554"/>
      <c r="B19" s="554"/>
      <c r="C19" s="552" t="str">
        <f>C56</f>
        <v>Proforma EBITDA Forecast</v>
      </c>
      <c r="D19" s="802" t="s">
        <v>569</v>
      </c>
      <c r="E19" s="803"/>
      <c r="F19" s="608">
        <f ca="1">IFERROR(SUM(K19:P19)/SUM(K17:P17),0)</f>
        <v>0.35432907824837734</v>
      </c>
      <c r="G19" s="568"/>
      <c r="H19" s="568"/>
      <c r="I19" s="804"/>
      <c r="J19" s="560"/>
      <c r="K19" s="560">
        <f t="shared" ca="1" si="3"/>
        <v>6814.005328766013</v>
      </c>
      <c r="L19" s="560">
        <f t="shared" ca="1" si="3"/>
        <v>6438.7267440469686</v>
      </c>
      <c r="M19" s="560">
        <f t="shared" ca="1" si="3"/>
        <v>6923.7241095436766</v>
      </c>
      <c r="N19" s="560">
        <f t="shared" ca="1" si="3"/>
        <v>7347.949381730622</v>
      </c>
      <c r="O19" s="560">
        <f t="shared" ca="1" si="3"/>
        <v>7928.7885882720029</v>
      </c>
      <c r="P19" s="560">
        <f t="shared" ca="1" si="3"/>
        <v>8301.0183597718387</v>
      </c>
      <c r="Q19" s="578"/>
      <c r="R19" s="579">
        <f t="shared" si="0"/>
        <v>1</v>
      </c>
      <c r="S19" s="580">
        <v>1</v>
      </c>
      <c r="T19" s="581"/>
      <c r="U19" s="581"/>
      <c r="V19" s="581"/>
      <c r="W19" s="581"/>
      <c r="X19" s="581"/>
      <c r="Y19" s="581"/>
      <c r="Z19" s="581"/>
      <c r="AA19" s="581"/>
      <c r="AB19" s="581"/>
      <c r="AC19" s="581"/>
    </row>
    <row r="20" spans="1:29">
      <c r="A20" s="554"/>
      <c r="B20" s="554"/>
      <c r="C20" s="571" t="str">
        <f>C62</f>
        <v>Cashflow for Debt Service (post Taxes, Capex, &amp; WC)</v>
      </c>
      <c r="D20" s="609"/>
      <c r="E20" s="610"/>
      <c r="F20" s="611"/>
      <c r="G20" s="612"/>
      <c r="H20" s="612"/>
      <c r="I20" s="613"/>
      <c r="J20" s="614"/>
      <c r="K20" s="614">
        <f t="shared" ref="K20:P20" ca="1" si="4">K62</f>
        <v>4299.432757130895</v>
      </c>
      <c r="L20" s="614">
        <f t="shared" ca="1" si="4"/>
        <v>3717.2377892254958</v>
      </c>
      <c r="M20" s="614">
        <f t="shared" ca="1" si="4"/>
        <v>4051.8664355396654</v>
      </c>
      <c r="N20" s="614">
        <f t="shared" ca="1" si="4"/>
        <v>4272.6808221992633</v>
      </c>
      <c r="O20" s="614">
        <f t="shared" ca="1" si="4"/>
        <v>4612.2106026060756</v>
      </c>
      <c r="P20" s="614">
        <f t="shared" ca="1" si="4"/>
        <v>4768.1608745323356</v>
      </c>
      <c r="Q20" s="578"/>
      <c r="R20" s="579">
        <f t="shared" si="0"/>
        <v>1</v>
      </c>
      <c r="S20" s="580">
        <v>1</v>
      </c>
      <c r="T20" s="581"/>
      <c r="U20" s="581"/>
      <c r="V20" s="581"/>
      <c r="W20" s="581"/>
      <c r="X20" s="581"/>
      <c r="Y20" s="581"/>
      <c r="Z20" s="581"/>
      <c r="AA20" s="581"/>
      <c r="AB20" s="581"/>
      <c r="AC20" s="581"/>
    </row>
    <row r="21" spans="1:29">
      <c r="A21" s="554"/>
      <c r="B21" s="554"/>
      <c r="C21" s="552" t="str">
        <f>C66</f>
        <v>Mandatory Debt Service (Interest Expense)</v>
      </c>
      <c r="D21" s="568"/>
      <c r="E21" s="568"/>
      <c r="F21" s="568"/>
      <c r="G21" s="568"/>
      <c r="H21" s="568"/>
      <c r="I21" s="804"/>
      <c r="J21" s="560"/>
      <c r="K21" s="560">
        <f t="shared" ref="K21:P21" ca="1" si="5">K66</f>
        <v>0</v>
      </c>
      <c r="L21" s="560">
        <f t="shared" ca="1" si="5"/>
        <v>0</v>
      </c>
      <c r="M21" s="560">
        <f t="shared" ca="1" si="5"/>
        <v>0</v>
      </c>
      <c r="N21" s="560">
        <f t="shared" ca="1" si="5"/>
        <v>0</v>
      </c>
      <c r="O21" s="560">
        <f t="shared" ca="1" si="5"/>
        <v>0</v>
      </c>
      <c r="P21" s="560">
        <f t="shared" ca="1" si="5"/>
        <v>0</v>
      </c>
      <c r="Q21" s="578"/>
      <c r="R21" s="579">
        <f t="shared" si="0"/>
        <v>1</v>
      </c>
      <c r="S21" s="580">
        <v>1</v>
      </c>
      <c r="T21" s="581"/>
      <c r="U21" s="581"/>
      <c r="V21" s="581"/>
      <c r="W21" s="581"/>
      <c r="X21" s="581"/>
      <c r="Y21" s="581"/>
      <c r="Z21" s="581"/>
      <c r="AA21" s="581"/>
      <c r="AB21" s="581"/>
      <c r="AC21" s="581"/>
    </row>
    <row r="22" spans="1:29">
      <c r="A22" s="554"/>
      <c r="B22" s="554"/>
      <c r="C22" s="552" t="str">
        <f>C74</f>
        <v>Repayment of LBO Debt</v>
      </c>
      <c r="D22" s="568"/>
      <c r="E22" s="568"/>
      <c r="F22" s="568"/>
      <c r="G22" s="568"/>
      <c r="H22" s="568"/>
      <c r="I22" s="804"/>
      <c r="J22" s="560"/>
      <c r="K22" s="560">
        <f t="shared" ref="K22:P22" ca="1" si="6">K74</f>
        <v>0</v>
      </c>
      <c r="L22" s="560">
        <f t="shared" ca="1" si="6"/>
        <v>0</v>
      </c>
      <c r="M22" s="560">
        <f t="shared" ca="1" si="6"/>
        <v>0</v>
      </c>
      <c r="N22" s="560">
        <f t="shared" ca="1" si="6"/>
        <v>0</v>
      </c>
      <c r="O22" s="560">
        <f t="shared" ca="1" si="6"/>
        <v>0</v>
      </c>
      <c r="P22" s="560">
        <f t="shared" ca="1" si="6"/>
        <v>0</v>
      </c>
      <c r="Q22" s="578"/>
      <c r="R22" s="579">
        <f t="shared" si="0"/>
        <v>1</v>
      </c>
      <c r="S22" s="580">
        <v>1</v>
      </c>
      <c r="T22" s="581"/>
      <c r="U22" s="581"/>
      <c r="V22" s="581"/>
      <c r="W22" s="581"/>
      <c r="X22" s="581"/>
      <c r="Y22" s="581"/>
      <c r="Z22" s="581"/>
      <c r="AA22" s="581"/>
      <c r="AB22" s="581"/>
      <c r="AC22" s="581"/>
    </row>
    <row r="23" spans="1:29">
      <c r="A23" s="554"/>
      <c r="B23" s="554"/>
      <c r="C23" s="571" t="s">
        <v>570</v>
      </c>
      <c r="D23" s="612"/>
      <c r="E23" s="612"/>
      <c r="F23" s="612"/>
      <c r="G23" s="612"/>
      <c r="H23" s="612"/>
      <c r="I23" s="613"/>
      <c r="J23" s="614">
        <f t="shared" ref="J23:P23" si="7">SUM(J20:J22)</f>
        <v>0</v>
      </c>
      <c r="K23" s="614">
        <f t="shared" ca="1" si="7"/>
        <v>4299.432757130895</v>
      </c>
      <c r="L23" s="614">
        <f t="shared" ca="1" si="7"/>
        <v>3717.2377892254958</v>
      </c>
      <c r="M23" s="614">
        <f t="shared" ca="1" si="7"/>
        <v>4051.8664355396654</v>
      </c>
      <c r="N23" s="614">
        <f t="shared" ca="1" si="7"/>
        <v>4272.6808221992633</v>
      </c>
      <c r="O23" s="614">
        <f t="shared" ca="1" si="7"/>
        <v>4612.2106026060756</v>
      </c>
      <c r="P23" s="614">
        <f t="shared" ca="1" si="7"/>
        <v>4768.1608745323356</v>
      </c>
      <c r="Q23" s="578"/>
      <c r="R23" s="579">
        <f t="shared" si="0"/>
        <v>1</v>
      </c>
      <c r="S23" s="580">
        <v>1</v>
      </c>
      <c r="T23" s="581"/>
      <c r="U23" s="581"/>
      <c r="V23" s="581"/>
      <c r="W23" s="581"/>
      <c r="X23" s="581"/>
      <c r="Y23" s="581"/>
      <c r="Z23" s="581"/>
      <c r="AA23" s="581"/>
      <c r="AB23" s="581"/>
      <c r="AC23" s="581"/>
    </row>
    <row r="24" spans="1:29">
      <c r="A24" s="591"/>
      <c r="B24" s="591"/>
      <c r="C24" s="585" t="s">
        <v>571</v>
      </c>
      <c r="D24" s="599"/>
      <c r="E24" s="599"/>
      <c r="F24" s="599"/>
      <c r="G24" s="599"/>
      <c r="H24" s="585"/>
      <c r="I24" s="560"/>
      <c r="J24" s="560">
        <f ca="1">'LBO - Financials'!G32</f>
        <v>-15063</v>
      </c>
      <c r="K24" s="560">
        <f>'LBO - Financials'!H32</f>
        <v>0</v>
      </c>
      <c r="L24" s="560">
        <f>'LBO - Financials'!I32</f>
        <v>0</v>
      </c>
      <c r="M24" s="560">
        <f>'LBO - Financials'!J32</f>
        <v>0</v>
      </c>
      <c r="N24" s="560">
        <f>'LBO - Financials'!K32</f>
        <v>0</v>
      </c>
      <c r="O24" s="560">
        <f>'LBO - Financials'!L32</f>
        <v>0</v>
      </c>
      <c r="P24" s="560">
        <f>'LBO - Financials'!M32</f>
        <v>0</v>
      </c>
      <c r="Q24" s="578"/>
      <c r="R24" s="579">
        <f t="shared" si="0"/>
        <v>1</v>
      </c>
      <c r="S24" s="580">
        <v>1</v>
      </c>
      <c r="T24" s="581"/>
      <c r="U24" s="581"/>
      <c r="V24" s="581"/>
      <c r="W24" s="581"/>
      <c r="X24" s="581"/>
      <c r="Y24" s="581"/>
      <c r="Z24" s="581"/>
      <c r="AA24" s="581"/>
      <c r="AB24" s="581"/>
      <c r="AC24" s="581"/>
    </row>
    <row r="25" spans="1:29">
      <c r="A25" s="591"/>
      <c r="B25" s="591"/>
      <c r="C25" s="585" t="str">
        <f ca="1">"Sales Proceeds (based on "&amp;TEXT('LBO - Assumptions'!E34,"#0.0x")&amp;" LTM EBITDA multiple)"</f>
        <v>Sales Proceeds (based on 0.0x LTM EBITDA multiple)</v>
      </c>
      <c r="D25" s="599"/>
      <c r="E25" s="599"/>
      <c r="F25" s="599"/>
      <c r="G25" s="599"/>
      <c r="H25" s="585"/>
      <c r="I25" s="560"/>
      <c r="J25" s="560">
        <f>'LBO - Financials'!G34</f>
        <v>0</v>
      </c>
      <c r="K25" s="560">
        <f ca="1">'LBO - Financials'!H34</f>
        <v>0</v>
      </c>
      <c r="L25" s="560">
        <f ca="1">'LBO - Financials'!I34</f>
        <v>0</v>
      </c>
      <c r="M25" s="560">
        <f ca="1">'LBO - Financials'!J34</f>
        <v>0</v>
      </c>
      <c r="N25" s="560">
        <f ca="1">'LBO - Financials'!K34</f>
        <v>0</v>
      </c>
      <c r="O25" s="560">
        <f ca="1">'LBO - Financials'!L34</f>
        <v>0</v>
      </c>
      <c r="P25" s="560">
        <f ca="1">'LBO - Financials'!M34</f>
        <v>0</v>
      </c>
      <c r="Q25" s="578"/>
      <c r="R25" s="579">
        <f t="shared" ca="1" si="0"/>
        <v>1</v>
      </c>
      <c r="S25" s="580">
        <v>1</v>
      </c>
      <c r="T25" s="581"/>
      <c r="U25" s="581"/>
      <c r="V25" s="581"/>
      <c r="W25" s="581"/>
      <c r="X25" s="581"/>
      <c r="Y25" s="581"/>
      <c r="Z25" s="581"/>
      <c r="AA25" s="581"/>
      <c r="AB25" s="581"/>
      <c r="AC25" s="581"/>
    </row>
    <row r="26" spans="1:29">
      <c r="A26" s="591"/>
      <c r="B26" s="591"/>
      <c r="C26" s="585" t="str">
        <f>'LBO - Financials'!C36</f>
        <v>(-) Exit Transaction Costs</v>
      </c>
      <c r="D26" s="585"/>
      <c r="E26" s="585"/>
      <c r="F26" s="585"/>
      <c r="G26" s="585" t="s">
        <v>572</v>
      </c>
      <c r="H26" s="1165">
        <f>'LBO - Assumptions'!G91</f>
        <v>0</v>
      </c>
      <c r="I26" s="560"/>
      <c r="J26" s="560">
        <f>'LBO - Financials'!G36</f>
        <v>0</v>
      </c>
      <c r="K26" s="560">
        <f ca="1">'LBO - Financials'!H36</f>
        <v>0</v>
      </c>
      <c r="L26" s="560">
        <f ca="1">'LBO - Financials'!I36</f>
        <v>0</v>
      </c>
      <c r="M26" s="560">
        <f ca="1">'LBO - Financials'!J36</f>
        <v>0</v>
      </c>
      <c r="N26" s="560">
        <f ca="1">'LBO - Financials'!K36</f>
        <v>0</v>
      </c>
      <c r="O26" s="560">
        <f ca="1">'LBO - Financials'!L36</f>
        <v>0</v>
      </c>
      <c r="P26" s="560">
        <f ca="1">'LBO - Financials'!M36</f>
        <v>0</v>
      </c>
      <c r="Q26" s="578"/>
      <c r="R26" s="579">
        <f t="shared" si="0"/>
        <v>1</v>
      </c>
      <c r="S26" s="580">
        <v>1</v>
      </c>
      <c r="T26" s="581"/>
      <c r="U26" s="581"/>
      <c r="V26" s="581"/>
      <c r="W26" s="581"/>
      <c r="X26" s="581"/>
      <c r="Y26" s="581"/>
      <c r="Z26" s="581"/>
      <c r="AA26" s="581"/>
      <c r="AB26" s="581"/>
      <c r="AC26" s="581"/>
    </row>
    <row r="27" spans="1:29">
      <c r="A27" s="585"/>
      <c r="B27" s="585"/>
      <c r="C27" s="560" t="str">
        <f>'LBO - Financials'!C35</f>
        <v>(-) Remaining Debt at Exit</v>
      </c>
      <c r="D27" s="585"/>
      <c r="E27" s="585"/>
      <c r="F27" s="585"/>
      <c r="G27" s="585" t="s">
        <v>573</v>
      </c>
      <c r="H27" s="1166">
        <f ca="1">'LBO - Assumptions'!G94</f>
        <v>0</v>
      </c>
      <c r="I27" s="560"/>
      <c r="J27" s="560">
        <f>'LBO - Financials'!G35</f>
        <v>0</v>
      </c>
      <c r="K27" s="560">
        <f ca="1">'LBO - Financials'!H35</f>
        <v>0</v>
      </c>
      <c r="L27" s="560">
        <f ca="1">'LBO - Financials'!I35</f>
        <v>0</v>
      </c>
      <c r="M27" s="560">
        <f ca="1">'LBO - Financials'!J35</f>
        <v>0</v>
      </c>
      <c r="N27" s="560">
        <f ca="1">'LBO - Financials'!K35</f>
        <v>0</v>
      </c>
      <c r="O27" s="560">
        <f ca="1">'LBO - Financials'!L35</f>
        <v>0</v>
      </c>
      <c r="P27" s="560">
        <f ca="1">'LBO - Financials'!M35</f>
        <v>0</v>
      </c>
      <c r="Q27" s="578"/>
      <c r="R27" s="579">
        <f t="shared" si="0"/>
        <v>1</v>
      </c>
      <c r="S27" s="580">
        <v>1</v>
      </c>
      <c r="T27" s="581"/>
      <c r="U27" s="581"/>
      <c r="V27" s="581"/>
      <c r="W27" s="581"/>
      <c r="X27" s="581"/>
      <c r="Y27" s="581"/>
      <c r="Z27" s="581"/>
      <c r="AA27" s="581"/>
      <c r="AB27" s="581"/>
      <c r="AC27" s="581"/>
    </row>
    <row r="28" spans="1:29">
      <c r="A28" s="591"/>
      <c r="B28" s="591"/>
      <c r="C28" s="560" t="str">
        <f>'LBO - Financials'!C33</f>
        <v>(+) Excess Cash</v>
      </c>
      <c r="D28" s="599"/>
      <c r="E28" s="599"/>
      <c r="F28" s="585"/>
      <c r="G28" s="585" t="s">
        <v>574</v>
      </c>
      <c r="H28" s="615">
        <f ca="1">'LBO - Assumptions'!G93</f>
        <v>0</v>
      </c>
      <c r="I28" s="560"/>
      <c r="J28" s="560">
        <f>'LBO - Financials'!G33</f>
        <v>0</v>
      </c>
      <c r="K28" s="560">
        <f ca="1">'LBO - Financials'!H33</f>
        <v>0</v>
      </c>
      <c r="L28" s="560">
        <f ca="1">'LBO - Financials'!I33</f>
        <v>0</v>
      </c>
      <c r="M28" s="560">
        <f ca="1">'LBO - Financials'!J33</f>
        <v>0</v>
      </c>
      <c r="N28" s="560">
        <f ca="1">'LBO - Financials'!K33</f>
        <v>0</v>
      </c>
      <c r="O28" s="560">
        <f ca="1">'LBO - Financials'!L33</f>
        <v>0</v>
      </c>
      <c r="P28" s="560">
        <f ca="1">'LBO - Financials'!M33</f>
        <v>0</v>
      </c>
      <c r="Q28" s="578"/>
      <c r="R28" s="579">
        <f t="shared" si="0"/>
        <v>1</v>
      </c>
      <c r="S28" s="580">
        <v>1</v>
      </c>
      <c r="T28" s="581"/>
      <c r="U28" s="581"/>
      <c r="V28" s="581"/>
      <c r="W28" s="581"/>
      <c r="X28" s="581"/>
      <c r="Y28" s="581"/>
      <c r="Z28" s="581"/>
      <c r="AA28" s="581"/>
      <c r="AB28" s="581"/>
      <c r="AC28" s="581"/>
    </row>
    <row r="29" spans="1:29">
      <c r="A29" s="585"/>
      <c r="B29" s="585"/>
      <c r="C29" s="560" t="str">
        <f>'LBO - Financials'!C37</f>
        <v>(+) Residual Cash Flows</v>
      </c>
      <c r="D29" s="585"/>
      <c r="E29" s="585"/>
      <c r="F29" s="585"/>
      <c r="G29" s="585"/>
      <c r="H29" s="805"/>
      <c r="I29" s="560"/>
      <c r="J29" s="560">
        <f>'LBO - Financials'!G37</f>
        <v>0</v>
      </c>
      <c r="K29" s="560">
        <f ca="1">'LBO - Financials'!H37</f>
        <v>3063.2100893422048</v>
      </c>
      <c r="L29" s="560">
        <f ca="1">'LBO - Financials'!I37</f>
        <v>4005.2163707928285</v>
      </c>
      <c r="M29" s="560">
        <f ca="1">'LBO - Financials'!J37</f>
        <v>4083.6514930707694</v>
      </c>
      <c r="N29" s="560">
        <f ca="1">'LBO - Financials'!K37</f>
        <v>4292.3014517378488</v>
      </c>
      <c r="O29" s="560">
        <f ca="1">'LBO - Financials'!L37</f>
        <v>4654.0505874030105</v>
      </c>
      <c r="P29" s="560">
        <f ca="1">'LBO - Financials'!M37</f>
        <v>4786.8269869968572</v>
      </c>
      <c r="Q29" s="578"/>
      <c r="R29" s="579">
        <f t="shared" si="0"/>
        <v>1</v>
      </c>
      <c r="S29" s="580">
        <v>1</v>
      </c>
      <c r="T29" s="581"/>
      <c r="U29" s="581"/>
      <c r="V29" s="581"/>
      <c r="W29" s="581"/>
      <c r="X29" s="581"/>
      <c r="Y29" s="581"/>
      <c r="Z29" s="581"/>
      <c r="AA29" s="581"/>
      <c r="AB29" s="581"/>
      <c r="AC29" s="581"/>
    </row>
    <row r="30" spans="1:29">
      <c r="A30" s="591"/>
      <c r="B30" s="591"/>
      <c r="C30" s="561" t="s">
        <v>575</v>
      </c>
      <c r="D30" s="616"/>
      <c r="E30" s="617"/>
      <c r="F30" s="561"/>
      <c r="G30" s="561" t="s">
        <v>576</v>
      </c>
      <c r="H30" s="618">
        <f ca="1">IFERROR('LBO - Financials'!G39,0)</f>
        <v>0.15347721715742568</v>
      </c>
      <c r="I30" s="553"/>
      <c r="J30" s="553">
        <f t="shared" ref="J30:P30" ca="1" si="8">SUM(J24:J29)</f>
        <v>-15063</v>
      </c>
      <c r="K30" s="553">
        <f t="shared" ca="1" si="8"/>
        <v>3063.2100893422048</v>
      </c>
      <c r="L30" s="553">
        <f t="shared" ca="1" si="8"/>
        <v>4005.2163707928285</v>
      </c>
      <c r="M30" s="553">
        <f t="shared" ca="1" si="8"/>
        <v>4083.6514930707694</v>
      </c>
      <c r="N30" s="553">
        <f t="shared" ca="1" si="8"/>
        <v>4292.3014517378488</v>
      </c>
      <c r="O30" s="553">
        <f t="shared" ca="1" si="8"/>
        <v>4654.0505874030105</v>
      </c>
      <c r="P30" s="553">
        <f t="shared" ca="1" si="8"/>
        <v>4786.8269869968572</v>
      </c>
      <c r="Q30" s="578"/>
      <c r="R30" s="579">
        <f t="shared" si="0"/>
        <v>1</v>
      </c>
      <c r="S30" s="580">
        <v>1</v>
      </c>
      <c r="T30" s="581"/>
      <c r="U30" s="581"/>
      <c r="V30" s="581"/>
      <c r="W30" s="581"/>
      <c r="X30" s="581"/>
      <c r="Y30" s="581"/>
      <c r="Z30" s="581"/>
      <c r="AA30" s="581"/>
      <c r="AB30" s="581"/>
      <c r="AC30" s="581"/>
    </row>
    <row r="31" spans="1:29">
      <c r="A31" s="584"/>
      <c r="B31" s="584"/>
      <c r="C31" s="568"/>
      <c r="D31" s="803"/>
      <c r="E31" s="803"/>
      <c r="F31" s="568"/>
      <c r="G31" s="568"/>
      <c r="H31" s="806"/>
      <c r="I31" s="569"/>
      <c r="J31" s="569"/>
      <c r="K31" s="577" t="s">
        <v>565</v>
      </c>
      <c r="L31" s="577"/>
      <c r="M31" s="577"/>
      <c r="N31" s="577"/>
      <c r="O31" s="577"/>
      <c r="P31" s="577"/>
      <c r="Q31" s="578"/>
      <c r="R31" s="579">
        <f t="shared" si="0"/>
        <v>0</v>
      </c>
      <c r="S31" s="580">
        <v>0</v>
      </c>
      <c r="T31" s="581"/>
      <c r="U31" s="581"/>
      <c r="V31" s="581"/>
      <c r="W31" s="581"/>
      <c r="X31" s="581"/>
      <c r="Y31" s="581"/>
      <c r="Z31" s="581"/>
      <c r="AA31" s="581"/>
      <c r="AB31" s="581"/>
      <c r="AC31" s="581"/>
    </row>
    <row r="32" spans="1:29" ht="16" thickBot="1">
      <c r="A32" s="554"/>
      <c r="B32" s="554"/>
      <c r="C32" s="582" t="s">
        <v>577</v>
      </c>
      <c r="D32" s="582"/>
      <c r="E32" s="582"/>
      <c r="F32" s="582"/>
      <c r="G32" s="582"/>
      <c r="H32" s="582"/>
      <c r="I32" s="582"/>
      <c r="J32" s="582">
        <f>'DCF - Capital Structure'!K7</f>
        <v>2023</v>
      </c>
      <c r="K32" s="583">
        <f>'DCF - Capital Structure'!L7</f>
        <v>2024</v>
      </c>
      <c r="L32" s="583">
        <f>'DCF - Capital Structure'!M7</f>
        <v>2025</v>
      </c>
      <c r="M32" s="583">
        <f>'DCF - Capital Structure'!N7</f>
        <v>2026</v>
      </c>
      <c r="N32" s="583">
        <f>'DCF - Capital Structure'!O7</f>
        <v>2027</v>
      </c>
      <c r="O32" s="583">
        <f>'DCF - Capital Structure'!P7</f>
        <v>2028</v>
      </c>
      <c r="P32" s="583">
        <f>'DCF - Capital Structure'!Q7</f>
        <v>2029</v>
      </c>
      <c r="Q32" s="581"/>
      <c r="R32" s="579">
        <f t="shared" si="0"/>
        <v>1</v>
      </c>
      <c r="S32" s="580">
        <v>1</v>
      </c>
      <c r="T32" s="581"/>
      <c r="U32" s="581"/>
      <c r="V32" s="581"/>
      <c r="W32" s="581"/>
      <c r="X32" s="581"/>
      <c r="Y32" s="581"/>
      <c r="Z32" s="581"/>
      <c r="AA32" s="581"/>
      <c r="AB32" s="581"/>
      <c r="AC32" s="581"/>
    </row>
    <row r="33" spans="1:29">
      <c r="A33" s="554"/>
      <c r="B33" s="554"/>
      <c r="C33" s="552" t="s">
        <v>578</v>
      </c>
      <c r="D33" s="568"/>
      <c r="E33" s="568"/>
      <c r="F33" s="568"/>
      <c r="G33" s="568"/>
      <c r="H33" s="568"/>
      <c r="I33" s="568"/>
      <c r="J33" s="804"/>
      <c r="K33" s="560">
        <f ca="1">'LBO - Financials'!H48</f>
        <v>0</v>
      </c>
      <c r="L33" s="560">
        <f ca="1">'LBO - Financials'!I48</f>
        <v>0</v>
      </c>
      <c r="M33" s="560">
        <f ca="1">'LBO - Financials'!J48</f>
        <v>0</v>
      </c>
      <c r="N33" s="560">
        <f ca="1">'LBO - Financials'!K48</f>
        <v>0</v>
      </c>
      <c r="O33" s="560">
        <f ca="1">'LBO - Financials'!L48</f>
        <v>0</v>
      </c>
      <c r="P33" s="560">
        <f ca="1">'LBO - Financials'!M48</f>
        <v>0</v>
      </c>
      <c r="Q33" s="581"/>
      <c r="R33" s="579">
        <f t="shared" si="0"/>
        <v>1</v>
      </c>
      <c r="S33" s="580">
        <v>1</v>
      </c>
      <c r="T33" s="581"/>
      <c r="U33" s="581"/>
      <c r="V33" s="581"/>
      <c r="W33" s="581"/>
      <c r="X33" s="581"/>
      <c r="Y33" s="581"/>
      <c r="Z33" s="581"/>
      <c r="AA33" s="581"/>
      <c r="AB33" s="581"/>
      <c r="AC33" s="581"/>
    </row>
    <row r="34" spans="1:29">
      <c r="A34" s="591"/>
      <c r="B34" s="591"/>
      <c r="C34" s="585" t="str">
        <f ca="1">"Junior Debt Ending Balance at "&amp;TEXT('LBO - Assumptions'!G76,"0.0%")</f>
        <v>Junior Debt Ending Balance at 0.0%</v>
      </c>
      <c r="D34" s="585"/>
      <c r="E34" s="585"/>
      <c r="F34" s="585"/>
      <c r="G34" s="585"/>
      <c r="H34" s="585"/>
      <c r="I34" s="560"/>
      <c r="J34" s="560">
        <f ca="1">'LBO - Financials'!G98</f>
        <v>0</v>
      </c>
      <c r="K34" s="560">
        <f ca="1">'LBO - Financials'!H98</f>
        <v>0</v>
      </c>
      <c r="L34" s="560">
        <f ca="1">'LBO - Financials'!I98</f>
        <v>0</v>
      </c>
      <c r="M34" s="560">
        <f ca="1">'LBO - Financials'!J98</f>
        <v>0</v>
      </c>
      <c r="N34" s="560">
        <f ca="1">'LBO - Financials'!K98</f>
        <v>0</v>
      </c>
      <c r="O34" s="560">
        <f ca="1">'LBO - Financials'!L98</f>
        <v>0</v>
      </c>
      <c r="P34" s="560">
        <f ca="1">'LBO - Financials'!M98</f>
        <v>0</v>
      </c>
      <c r="Q34" s="578"/>
      <c r="R34" s="579">
        <f t="shared" ca="1" si="0"/>
        <v>1</v>
      </c>
      <c r="S34" s="580">
        <v>1</v>
      </c>
      <c r="T34" s="585"/>
      <c r="U34" s="585"/>
      <c r="V34" s="581"/>
      <c r="W34" s="581"/>
      <c r="X34" s="581"/>
      <c r="Y34" s="581"/>
      <c r="Z34" s="581"/>
      <c r="AA34" s="581"/>
      <c r="AB34" s="581"/>
      <c r="AC34" s="581"/>
    </row>
    <row r="35" spans="1:29">
      <c r="A35" s="554"/>
      <c r="B35" s="554"/>
      <c r="C35" s="552" t="s">
        <v>579</v>
      </c>
      <c r="D35" s="568"/>
      <c r="E35" s="568"/>
      <c r="F35" s="568"/>
      <c r="G35" s="568"/>
      <c r="H35" s="568"/>
      <c r="I35" s="568"/>
      <c r="J35" s="804"/>
      <c r="K35" s="560">
        <f ca="1">'LBO - Financials'!H52</f>
        <v>0</v>
      </c>
      <c r="L35" s="560">
        <f ca="1">'LBO - Financials'!I52</f>
        <v>0</v>
      </c>
      <c r="M35" s="560">
        <f ca="1">'LBO - Financials'!J52</f>
        <v>0</v>
      </c>
      <c r="N35" s="560">
        <f ca="1">'LBO - Financials'!K52</f>
        <v>0</v>
      </c>
      <c r="O35" s="560">
        <f ca="1">'LBO - Financials'!L52</f>
        <v>0</v>
      </c>
      <c r="P35" s="560">
        <f ca="1">'LBO - Financials'!M52</f>
        <v>0</v>
      </c>
      <c r="Q35" s="581"/>
      <c r="R35" s="579">
        <f t="shared" si="0"/>
        <v>1</v>
      </c>
      <c r="S35" s="580">
        <v>1</v>
      </c>
      <c r="T35" s="581"/>
      <c r="U35" s="581"/>
      <c r="V35" s="581"/>
      <c r="W35" s="581"/>
      <c r="X35" s="581"/>
      <c r="Y35" s="581"/>
      <c r="Z35" s="581"/>
      <c r="AA35" s="581"/>
      <c r="AB35" s="581"/>
      <c r="AC35" s="581"/>
    </row>
    <row r="36" spans="1:29">
      <c r="A36" s="591"/>
      <c r="B36" s="591"/>
      <c r="C36" s="585" t="str">
        <f ca="1">"Senior Debt Ending Balance at "&amp;TEXT('LBO - Assumptions'!G75,"0.0%")</f>
        <v>Senior Debt Ending Balance at 0.0%</v>
      </c>
      <c r="D36" s="585"/>
      <c r="E36" s="585"/>
      <c r="F36" s="585"/>
      <c r="G36" s="585"/>
      <c r="H36" s="585"/>
      <c r="I36" s="560"/>
      <c r="J36" s="560">
        <f ca="1">'LBO - Financials'!G103</f>
        <v>0</v>
      </c>
      <c r="K36" s="560">
        <f ca="1">'LBO - Financials'!H103</f>
        <v>0</v>
      </c>
      <c r="L36" s="560">
        <f ca="1">'LBO - Financials'!I103</f>
        <v>0</v>
      </c>
      <c r="M36" s="560">
        <f ca="1">'LBO - Financials'!J103</f>
        <v>0</v>
      </c>
      <c r="N36" s="560">
        <f ca="1">'LBO - Financials'!K103</f>
        <v>0</v>
      </c>
      <c r="O36" s="560">
        <f ca="1">'LBO - Financials'!L103</f>
        <v>0</v>
      </c>
      <c r="P36" s="560">
        <f ca="1">'LBO - Financials'!M103</f>
        <v>0</v>
      </c>
      <c r="Q36" s="578"/>
      <c r="R36" s="579">
        <f t="shared" ca="1" si="0"/>
        <v>1</v>
      </c>
      <c r="S36" s="580">
        <v>1</v>
      </c>
      <c r="T36" s="585"/>
      <c r="U36" s="585"/>
      <c r="V36" s="581"/>
      <c r="W36" s="581"/>
      <c r="X36" s="581"/>
      <c r="Y36" s="581"/>
      <c r="Z36" s="581"/>
      <c r="AA36" s="581"/>
      <c r="AB36" s="581"/>
      <c r="AC36" s="581"/>
    </row>
    <row r="37" spans="1:29">
      <c r="A37" s="591"/>
      <c r="B37" s="591"/>
      <c r="C37" s="585" t="s">
        <v>580</v>
      </c>
      <c r="D37" s="585"/>
      <c r="E37" s="585"/>
      <c r="F37" s="585"/>
      <c r="G37" s="585"/>
      <c r="H37" s="585"/>
      <c r="I37" s="560"/>
      <c r="J37" s="560"/>
      <c r="K37" s="560">
        <f ca="1">'LBO - Financials'!H56</f>
        <v>0</v>
      </c>
      <c r="L37" s="560">
        <f ca="1">'LBO - Financials'!I56</f>
        <v>0</v>
      </c>
      <c r="M37" s="560">
        <f ca="1">'LBO - Financials'!J56</f>
        <v>0</v>
      </c>
      <c r="N37" s="560">
        <f ca="1">'LBO - Financials'!K56</f>
        <v>0</v>
      </c>
      <c r="O37" s="560">
        <f ca="1">'LBO - Financials'!L56</f>
        <v>0</v>
      </c>
      <c r="P37" s="560">
        <f ca="1">'LBO - Financials'!M56</f>
        <v>0</v>
      </c>
      <c r="Q37" s="578"/>
      <c r="R37" s="579">
        <f t="shared" si="0"/>
        <v>1</v>
      </c>
      <c r="S37" s="580">
        <v>1</v>
      </c>
      <c r="T37" s="585"/>
      <c r="U37" s="585"/>
      <c r="V37" s="581"/>
      <c r="W37" s="581"/>
      <c r="X37" s="581"/>
      <c r="Y37" s="581"/>
      <c r="Z37" s="581"/>
      <c r="AA37" s="581"/>
      <c r="AB37" s="581"/>
      <c r="AC37" s="581"/>
    </row>
    <row r="38" spans="1:29">
      <c r="A38" s="591"/>
      <c r="B38" s="591"/>
      <c r="C38" s="585" t="str">
        <f ca="1">"Revolver Debt Ending Balance at "&amp;TEXT('LBO - Assumptions'!G77,"0.0%")</f>
        <v>Revolver Debt Ending Balance at 0.0%</v>
      </c>
      <c r="D38" s="585"/>
      <c r="E38" s="585"/>
      <c r="F38" s="585"/>
      <c r="G38" s="585"/>
      <c r="H38" s="585"/>
      <c r="I38" s="560"/>
      <c r="J38" s="560">
        <f ca="1">'LBO - Financials'!G108</f>
        <v>0</v>
      </c>
      <c r="K38" s="560">
        <f ca="1">'LBO - Financials'!H108</f>
        <v>0</v>
      </c>
      <c r="L38" s="560">
        <f ca="1">'LBO - Financials'!I108</f>
        <v>0</v>
      </c>
      <c r="M38" s="560">
        <f ca="1">'LBO - Financials'!J108</f>
        <v>0</v>
      </c>
      <c r="N38" s="560">
        <f ca="1">'LBO - Financials'!K108</f>
        <v>0</v>
      </c>
      <c r="O38" s="560">
        <f ca="1">'LBO - Financials'!L108</f>
        <v>0</v>
      </c>
      <c r="P38" s="560">
        <f ca="1">'LBO - Financials'!M108</f>
        <v>0</v>
      </c>
      <c r="Q38" s="578"/>
      <c r="R38" s="579">
        <f t="shared" ca="1" si="0"/>
        <v>1</v>
      </c>
      <c r="S38" s="580">
        <v>1</v>
      </c>
      <c r="T38" s="585"/>
      <c r="U38" s="585"/>
      <c r="V38" s="581"/>
      <c r="W38" s="581"/>
      <c r="X38" s="581"/>
      <c r="Y38" s="581"/>
      <c r="Z38" s="581"/>
      <c r="AA38" s="581"/>
      <c r="AB38" s="581"/>
      <c r="AC38" s="581"/>
    </row>
    <row r="39" spans="1:29">
      <c r="A39" s="591"/>
      <c r="B39" s="591"/>
      <c r="C39" s="585" t="s">
        <v>581</v>
      </c>
      <c r="D39" s="585"/>
      <c r="E39" s="585"/>
      <c r="F39" s="585"/>
      <c r="G39" s="585"/>
      <c r="H39" s="585"/>
      <c r="I39" s="560"/>
      <c r="J39" s="560"/>
      <c r="K39" s="560">
        <f ca="1">'LBO - Financials'!H60</f>
        <v>0</v>
      </c>
      <c r="L39" s="560">
        <f ca="1">'LBO - Financials'!I60</f>
        <v>0</v>
      </c>
      <c r="M39" s="560">
        <f ca="1">'LBO - Financials'!J60</f>
        <v>0</v>
      </c>
      <c r="N39" s="560">
        <f ca="1">'LBO - Financials'!K60</f>
        <v>0</v>
      </c>
      <c r="O39" s="560">
        <f ca="1">'LBO - Financials'!L60</f>
        <v>0</v>
      </c>
      <c r="P39" s="560">
        <f ca="1">'LBO - Financials'!M60</f>
        <v>0</v>
      </c>
      <c r="Q39" s="578"/>
      <c r="R39" s="579">
        <f t="shared" si="0"/>
        <v>1</v>
      </c>
      <c r="S39" s="580">
        <v>1</v>
      </c>
      <c r="T39" s="585"/>
      <c r="U39" s="585"/>
      <c r="V39" s="581"/>
      <c r="W39" s="581"/>
      <c r="X39" s="581"/>
      <c r="Y39" s="581"/>
      <c r="Z39" s="581"/>
      <c r="AA39" s="581"/>
      <c r="AB39" s="581"/>
      <c r="AC39" s="581"/>
    </row>
    <row r="40" spans="1:29">
      <c r="A40" s="591"/>
      <c r="B40" s="591"/>
      <c r="C40" s="585" t="str">
        <f ca="1">"Assumed Debt Ending Balance at "&amp;TEXT('LBO - Assumptions'!G78,"0.0%")</f>
        <v>Assumed Debt Ending Balance at 0.0%</v>
      </c>
      <c r="D40" s="585"/>
      <c r="E40" s="585"/>
      <c r="F40" s="585"/>
      <c r="G40" s="585"/>
      <c r="H40" s="585"/>
      <c r="I40" s="560"/>
      <c r="J40" s="560">
        <f ca="1">'LBO - Financials'!G113</f>
        <v>0</v>
      </c>
      <c r="K40" s="560">
        <f ca="1">'LBO - Financials'!H113</f>
        <v>0</v>
      </c>
      <c r="L40" s="560">
        <f ca="1">'LBO - Financials'!I113</f>
        <v>0</v>
      </c>
      <c r="M40" s="560">
        <f ca="1">'LBO - Financials'!J113</f>
        <v>0</v>
      </c>
      <c r="N40" s="560">
        <f ca="1">'LBO - Financials'!K113</f>
        <v>0</v>
      </c>
      <c r="O40" s="560">
        <f ca="1">'LBO - Financials'!L113</f>
        <v>0</v>
      </c>
      <c r="P40" s="560">
        <f ca="1">'LBO - Financials'!M113</f>
        <v>0</v>
      </c>
      <c r="Q40" s="578"/>
      <c r="R40" s="579">
        <f t="shared" ca="1" si="0"/>
        <v>1</v>
      </c>
      <c r="S40" s="580">
        <v>1</v>
      </c>
      <c r="T40" s="585"/>
      <c r="U40" s="585"/>
      <c r="V40" s="581"/>
      <c r="W40" s="581"/>
      <c r="X40" s="581"/>
      <c r="Y40" s="581"/>
      <c r="Z40" s="581"/>
      <c r="AA40" s="581"/>
      <c r="AB40" s="581"/>
      <c r="AC40" s="581"/>
    </row>
    <row r="41" spans="1:29">
      <c r="A41" s="591"/>
      <c r="B41" s="591"/>
      <c r="C41" s="561" t="s">
        <v>582</v>
      </c>
      <c r="D41" s="561"/>
      <c r="E41" s="561"/>
      <c r="F41" s="561"/>
      <c r="G41" s="561"/>
      <c r="H41" s="561"/>
      <c r="I41" s="553"/>
      <c r="J41" s="553">
        <f t="shared" ref="J41:P41" ca="1" si="9">SUM(J34,J36,J38,J40)</f>
        <v>0</v>
      </c>
      <c r="K41" s="553">
        <f t="shared" ca="1" si="9"/>
        <v>0</v>
      </c>
      <c r="L41" s="553">
        <f t="shared" ca="1" si="9"/>
        <v>0</v>
      </c>
      <c r="M41" s="553">
        <f t="shared" ca="1" si="9"/>
        <v>0</v>
      </c>
      <c r="N41" s="553">
        <f t="shared" ca="1" si="9"/>
        <v>0</v>
      </c>
      <c r="O41" s="553">
        <f t="shared" ca="1" si="9"/>
        <v>0</v>
      </c>
      <c r="P41" s="553">
        <f t="shared" ca="1" si="9"/>
        <v>0</v>
      </c>
      <c r="Q41" s="578"/>
      <c r="R41" s="579">
        <f t="shared" si="0"/>
        <v>1</v>
      </c>
      <c r="S41" s="580">
        <v>1</v>
      </c>
      <c r="T41" s="585"/>
      <c r="U41" s="585"/>
      <c r="V41" s="581"/>
      <c r="W41" s="581"/>
      <c r="X41" s="581"/>
      <c r="Y41" s="581"/>
      <c r="Z41" s="581"/>
      <c r="AA41" s="581"/>
      <c r="AB41" s="581"/>
      <c r="AC41" s="581"/>
    </row>
    <row r="42" spans="1:29" ht="3" customHeight="1">
      <c r="A42" s="591"/>
      <c r="B42" s="591"/>
      <c r="C42" s="599"/>
      <c r="D42" s="599"/>
      <c r="E42" s="599"/>
      <c r="F42" s="599"/>
      <c r="G42" s="599"/>
      <c r="H42" s="599"/>
      <c r="I42" s="564"/>
      <c r="J42" s="564"/>
      <c r="K42" s="564"/>
      <c r="L42" s="564"/>
      <c r="M42" s="564"/>
      <c r="N42" s="564"/>
      <c r="O42" s="564"/>
      <c r="P42" s="564"/>
      <c r="Q42" s="578"/>
      <c r="R42" s="579">
        <f t="shared" si="0"/>
        <v>0</v>
      </c>
      <c r="S42" s="580">
        <v>0</v>
      </c>
      <c r="T42" s="585"/>
      <c r="U42" s="585"/>
      <c r="V42" s="581"/>
      <c r="W42" s="581"/>
      <c r="X42" s="581"/>
      <c r="Y42" s="581"/>
      <c r="Z42" s="581"/>
      <c r="AA42" s="581"/>
      <c r="AB42" s="581"/>
      <c r="AC42" s="581"/>
    </row>
    <row r="43" spans="1:29">
      <c r="A43" s="584"/>
      <c r="B43" s="584"/>
      <c r="C43" s="552" t="s">
        <v>583</v>
      </c>
      <c r="D43" s="568"/>
      <c r="E43" s="555"/>
      <c r="F43" s="568"/>
      <c r="G43" s="568"/>
      <c r="H43" s="568"/>
      <c r="I43" s="807"/>
      <c r="J43" s="808">
        <f t="shared" ref="J43:P43" ca="1" si="10">J68</f>
        <v>0</v>
      </c>
      <c r="K43" s="808">
        <f t="shared" ca="1" si="10"/>
        <v>0</v>
      </c>
      <c r="L43" s="808">
        <f t="shared" ca="1" si="10"/>
        <v>0</v>
      </c>
      <c r="M43" s="808">
        <f t="shared" ca="1" si="10"/>
        <v>0</v>
      </c>
      <c r="N43" s="808">
        <f t="shared" ca="1" si="10"/>
        <v>0</v>
      </c>
      <c r="O43" s="808">
        <f t="shared" ca="1" si="10"/>
        <v>0</v>
      </c>
      <c r="P43" s="808">
        <f t="shared" ca="1" si="10"/>
        <v>0</v>
      </c>
      <c r="Q43" s="578"/>
      <c r="R43" s="579">
        <f t="shared" si="0"/>
        <v>1</v>
      </c>
      <c r="S43" s="580">
        <v>1</v>
      </c>
      <c r="T43" s="552"/>
      <c r="U43" s="552"/>
      <c r="V43" s="581"/>
      <c r="W43" s="581"/>
      <c r="X43" s="581"/>
      <c r="Y43" s="581"/>
      <c r="Z43" s="581"/>
      <c r="AA43" s="581"/>
      <c r="AB43" s="581"/>
      <c r="AC43" s="581"/>
    </row>
    <row r="44" spans="1:29">
      <c r="A44" s="591"/>
      <c r="B44" s="591"/>
      <c r="C44" s="552" t="str">
        <f>C70</f>
        <v xml:space="preserve">Cashflows for Debt Service / Total Interest Expense </v>
      </c>
      <c r="D44" s="568"/>
      <c r="E44" s="555"/>
      <c r="F44" s="568"/>
      <c r="G44" s="555"/>
      <c r="H44" s="568"/>
      <c r="I44" s="569"/>
      <c r="J44" s="808">
        <f t="shared" ref="J44:P45" si="11">J70</f>
        <v>0</v>
      </c>
      <c r="K44" s="808" t="str">
        <f t="shared" ca="1" si="11"/>
        <v>NM</v>
      </c>
      <c r="L44" s="808" t="str">
        <f t="shared" ca="1" si="11"/>
        <v>NM</v>
      </c>
      <c r="M44" s="808" t="str">
        <f t="shared" ca="1" si="11"/>
        <v>NM</v>
      </c>
      <c r="N44" s="808" t="str">
        <f t="shared" ca="1" si="11"/>
        <v>NM</v>
      </c>
      <c r="O44" s="808" t="str">
        <f t="shared" ca="1" si="11"/>
        <v>NM</v>
      </c>
      <c r="P44" s="808" t="str">
        <f t="shared" ca="1" si="11"/>
        <v>NM</v>
      </c>
      <c r="Q44" s="578"/>
      <c r="R44" s="579">
        <f t="shared" si="0"/>
        <v>1</v>
      </c>
      <c r="S44" s="580">
        <v>1</v>
      </c>
      <c r="T44" s="585"/>
      <c r="U44" s="585"/>
      <c r="V44" s="581"/>
      <c r="W44" s="581"/>
      <c r="X44" s="581"/>
      <c r="Y44" s="581"/>
      <c r="Z44" s="581"/>
      <c r="AA44" s="581"/>
      <c r="AB44" s="581"/>
      <c r="AC44" s="581"/>
    </row>
    <row r="45" spans="1:29">
      <c r="A45" s="584"/>
      <c r="B45" s="584"/>
      <c r="C45" s="552" t="str">
        <f>C71</f>
        <v>Cashflows for Debt Service / Senior Interest Expense</v>
      </c>
      <c r="D45" s="568"/>
      <c r="E45" s="555"/>
      <c r="F45" s="568"/>
      <c r="G45" s="555"/>
      <c r="H45" s="568"/>
      <c r="I45" s="569"/>
      <c r="J45" s="808">
        <f t="shared" si="11"/>
        <v>0</v>
      </c>
      <c r="K45" s="808" t="str">
        <f t="shared" ca="1" si="11"/>
        <v>NM</v>
      </c>
      <c r="L45" s="808" t="str">
        <f t="shared" ca="1" si="11"/>
        <v>NM</v>
      </c>
      <c r="M45" s="808" t="str">
        <f t="shared" ca="1" si="11"/>
        <v>NM</v>
      </c>
      <c r="N45" s="808" t="str">
        <f t="shared" ca="1" si="11"/>
        <v>NM</v>
      </c>
      <c r="O45" s="808" t="str">
        <f t="shared" ca="1" si="11"/>
        <v>NM</v>
      </c>
      <c r="P45" s="808" t="str">
        <f t="shared" ca="1" si="11"/>
        <v>NM</v>
      </c>
      <c r="Q45" s="578"/>
      <c r="R45" s="579">
        <f t="shared" si="0"/>
        <v>1</v>
      </c>
      <c r="S45" s="580">
        <v>1</v>
      </c>
      <c r="T45" s="552"/>
      <c r="U45" s="552"/>
      <c r="V45" s="581"/>
      <c r="W45" s="581"/>
      <c r="X45" s="581"/>
      <c r="Y45" s="581"/>
      <c r="Z45" s="581"/>
      <c r="AA45" s="581"/>
      <c r="AB45" s="581"/>
      <c r="AC45" s="581"/>
    </row>
    <row r="46" spans="1:29">
      <c r="A46" s="584"/>
      <c r="B46" s="584"/>
      <c r="C46" s="552"/>
      <c r="D46" s="552"/>
      <c r="E46" s="552"/>
      <c r="F46" s="552"/>
      <c r="G46" s="552"/>
      <c r="H46" s="552"/>
      <c r="I46" s="552"/>
      <c r="J46" s="552"/>
      <c r="K46" s="552"/>
      <c r="L46" s="552"/>
      <c r="M46" s="552"/>
      <c r="N46" s="552"/>
      <c r="O46" s="552"/>
      <c r="P46" s="552"/>
      <c r="Q46" s="578"/>
      <c r="R46" s="579">
        <f t="shared" si="0"/>
        <v>0</v>
      </c>
      <c r="S46" s="580">
        <v>0</v>
      </c>
      <c r="T46" s="552"/>
      <c r="U46" s="552"/>
      <c r="V46" s="581"/>
      <c r="W46" s="581"/>
      <c r="X46" s="581"/>
      <c r="Y46" s="581"/>
      <c r="Z46" s="581"/>
      <c r="AA46" s="581"/>
      <c r="AB46" s="581"/>
      <c r="AC46" s="581"/>
    </row>
    <row r="47" spans="1:29">
      <c r="A47" s="591"/>
      <c r="B47" s="591"/>
      <c r="C47" s="926" t="s">
        <v>584</v>
      </c>
      <c r="D47" s="927"/>
      <c r="E47" s="927"/>
      <c r="F47" s="927"/>
      <c r="G47" s="927"/>
      <c r="H47" s="927"/>
      <c r="I47" s="927"/>
      <c r="J47" s="927"/>
      <c r="K47" s="927"/>
      <c r="L47" s="927"/>
      <c r="M47" s="927"/>
      <c r="N47" s="927"/>
      <c r="O47" s="927"/>
      <c r="P47" s="927"/>
      <c r="Q47" s="578"/>
      <c r="R47" s="579">
        <f t="shared" si="0"/>
        <v>1</v>
      </c>
      <c r="S47" s="580">
        <v>1</v>
      </c>
      <c r="T47" s="581"/>
      <c r="U47" s="581"/>
      <c r="V47" s="581"/>
      <c r="W47" s="581"/>
      <c r="X47" s="581"/>
      <c r="Y47" s="581"/>
      <c r="Z47" s="581"/>
      <c r="AA47" s="581"/>
      <c r="AB47" s="581"/>
      <c r="AC47" s="581"/>
    </row>
    <row r="48" spans="1:29">
      <c r="A48" s="554"/>
      <c r="B48" s="554"/>
      <c r="C48" s="559"/>
      <c r="D48" s="559"/>
      <c r="E48" s="559"/>
      <c r="F48" s="559"/>
      <c r="G48" s="559"/>
      <c r="H48" s="559"/>
      <c r="I48" s="559"/>
      <c r="J48" s="559"/>
      <c r="K48" s="577" t="s">
        <v>565</v>
      </c>
      <c r="L48" s="577"/>
      <c r="M48" s="577"/>
      <c r="N48" s="577"/>
      <c r="O48" s="577"/>
      <c r="P48" s="577"/>
      <c r="Q48" s="578"/>
      <c r="R48" s="579">
        <f t="shared" si="0"/>
        <v>0</v>
      </c>
      <c r="S48" s="580">
        <v>0</v>
      </c>
      <c r="T48" s="581"/>
      <c r="U48" s="581"/>
      <c r="V48" s="581"/>
      <c r="W48" s="581"/>
      <c r="X48" s="581"/>
      <c r="Y48" s="581"/>
      <c r="Z48" s="581"/>
      <c r="AA48" s="581"/>
      <c r="AB48" s="581"/>
      <c r="AC48" s="581"/>
    </row>
    <row r="49" spans="1:29" ht="16" thickBot="1">
      <c r="A49" s="554"/>
      <c r="B49" s="554"/>
      <c r="C49" s="582" t="str">
        <f>'DCF - Outputs'!C7</f>
        <v>* All amounts in millions of pounds sterling except per share and multiples</v>
      </c>
      <c r="D49" s="582"/>
      <c r="E49" s="582"/>
      <c r="F49" s="582">
        <f>'DCF - Capital Structure'!G7</f>
        <v>2019</v>
      </c>
      <c r="G49" s="582">
        <f>'DCF - Capital Structure'!H7</f>
        <v>2020</v>
      </c>
      <c r="H49" s="582">
        <f>'DCF - Capital Structure'!I7</f>
        <v>2021</v>
      </c>
      <c r="I49" s="582">
        <f>'DCF - Capital Structure'!J7</f>
        <v>2022</v>
      </c>
      <c r="J49" s="582">
        <f>'DCF - Capital Structure'!K7</f>
        <v>2023</v>
      </c>
      <c r="K49" s="583">
        <f>'DCF - Capital Structure'!L7</f>
        <v>2024</v>
      </c>
      <c r="L49" s="583">
        <f>'DCF - Capital Structure'!M7</f>
        <v>2025</v>
      </c>
      <c r="M49" s="583">
        <f>'DCF - Capital Structure'!N7</f>
        <v>2026</v>
      </c>
      <c r="N49" s="583">
        <f>'DCF - Capital Structure'!O7</f>
        <v>2027</v>
      </c>
      <c r="O49" s="583">
        <f>'DCF - Capital Structure'!P7</f>
        <v>2028</v>
      </c>
      <c r="P49" s="583">
        <f>'DCF - Capital Structure'!Q7</f>
        <v>2029</v>
      </c>
      <c r="Q49" s="578"/>
      <c r="R49" s="579">
        <f t="shared" si="0"/>
        <v>1</v>
      </c>
      <c r="S49" s="580">
        <v>1</v>
      </c>
      <c r="T49" s="581"/>
      <c r="U49" s="581"/>
      <c r="V49" s="581"/>
      <c r="W49" s="581"/>
      <c r="X49" s="581"/>
      <c r="Y49" s="581"/>
      <c r="Z49" s="581"/>
      <c r="AA49" s="581"/>
      <c r="AB49" s="581"/>
      <c r="AC49" s="581"/>
    </row>
    <row r="50" spans="1:29">
      <c r="A50" s="554"/>
      <c r="B50" s="554"/>
      <c r="C50" s="552" t="s">
        <v>585</v>
      </c>
      <c r="D50" s="568"/>
      <c r="E50" s="557"/>
      <c r="F50" s="557"/>
      <c r="G50" s="557">
        <f>'DCF - Financials'!H11</f>
        <v>11752</v>
      </c>
      <c r="H50" s="557">
        <f>'DCF - Financials'!I11</f>
        <v>12733</v>
      </c>
      <c r="I50" s="557">
        <f>'DCF - Financials'!J11</f>
        <v>15452</v>
      </c>
      <c r="J50" s="557">
        <f>'DCF - Financials'!K11</f>
        <v>17113</v>
      </c>
      <c r="K50" s="557">
        <f>'DCF - Financials'!L11</f>
        <v>17775.445</v>
      </c>
      <c r="L50" s="557">
        <f>'DCF - Financials'!M11</f>
        <v>18733.801249</v>
      </c>
      <c r="M50" s="557">
        <f>'DCF - Financials'!N11</f>
        <v>19823.250025914</v>
      </c>
      <c r="N50" s="557">
        <f>'DCF - Financials'!O11</f>
        <v>21001.604953276186</v>
      </c>
      <c r="O50" s="557">
        <f>'DCF - Financials'!P11</f>
        <v>22353.858094888696</v>
      </c>
      <c r="P50" s="557">
        <f>'DCF - Financials'!Q11</f>
        <v>23796.719745400867</v>
      </c>
      <c r="Q50" s="578"/>
      <c r="R50" s="579">
        <f t="shared" si="0"/>
        <v>1</v>
      </c>
      <c r="S50" s="580">
        <v>1</v>
      </c>
      <c r="T50" s="581"/>
      <c r="U50" s="581"/>
      <c r="V50" s="581"/>
      <c r="W50" s="581"/>
      <c r="X50" s="581"/>
      <c r="Y50" s="581"/>
      <c r="Z50" s="581"/>
      <c r="AA50" s="581"/>
      <c r="AB50" s="581"/>
      <c r="AC50" s="581"/>
    </row>
    <row r="51" spans="1:29">
      <c r="A51" s="554"/>
      <c r="B51" s="554"/>
      <c r="C51" s="552" t="s">
        <v>586</v>
      </c>
      <c r="D51" s="592"/>
      <c r="E51" s="557"/>
      <c r="F51" s="557"/>
      <c r="G51" s="557">
        <v>0</v>
      </c>
      <c r="H51" s="557">
        <v>0</v>
      </c>
      <c r="I51" s="557">
        <v>0</v>
      </c>
      <c r="J51" s="557">
        <v>0</v>
      </c>
      <c r="K51" s="557">
        <f ca="1">'LBO - Financials'!H72</f>
        <v>0</v>
      </c>
      <c r="L51" s="557">
        <f ca="1">'LBO - Financials'!I72</f>
        <v>0</v>
      </c>
      <c r="M51" s="557">
        <f ca="1">'LBO - Financials'!J72</f>
        <v>0</v>
      </c>
      <c r="N51" s="557">
        <f ca="1">'LBO - Financials'!K72</f>
        <v>0</v>
      </c>
      <c r="O51" s="557">
        <f ca="1">'LBO - Financials'!L72</f>
        <v>0</v>
      </c>
      <c r="P51" s="557">
        <f ca="1">'LBO - Financials'!M72</f>
        <v>0</v>
      </c>
      <c r="Q51" s="578"/>
      <c r="R51" s="579">
        <f t="shared" si="0"/>
        <v>1</v>
      </c>
      <c r="S51" s="580">
        <v>1</v>
      </c>
      <c r="T51" s="581"/>
      <c r="U51" s="581"/>
      <c r="V51" s="581"/>
      <c r="W51" s="581"/>
      <c r="X51" s="581"/>
      <c r="Y51" s="581"/>
      <c r="Z51" s="581"/>
      <c r="AA51" s="581"/>
      <c r="AB51" s="581"/>
      <c r="AC51" s="581"/>
    </row>
    <row r="52" spans="1:29">
      <c r="A52" s="554"/>
      <c r="B52" s="554"/>
      <c r="C52" s="792" t="s">
        <v>587</v>
      </c>
      <c r="D52" s="792"/>
      <c r="E52" s="598"/>
      <c r="F52" s="598"/>
      <c r="G52" s="598">
        <f t="shared" ref="G52:P52" si="12">SUM(G50:G51)</f>
        <v>11752</v>
      </c>
      <c r="H52" s="598">
        <f t="shared" si="12"/>
        <v>12733</v>
      </c>
      <c r="I52" s="598">
        <f t="shared" si="12"/>
        <v>15452</v>
      </c>
      <c r="J52" s="598">
        <f t="shared" si="12"/>
        <v>17113</v>
      </c>
      <c r="K52" s="598">
        <f t="shared" ca="1" si="12"/>
        <v>17775.445</v>
      </c>
      <c r="L52" s="598">
        <f t="shared" ca="1" si="12"/>
        <v>18733.801249</v>
      </c>
      <c r="M52" s="598">
        <f t="shared" ca="1" si="12"/>
        <v>19823.250025914</v>
      </c>
      <c r="N52" s="598">
        <f t="shared" ca="1" si="12"/>
        <v>21001.604953276186</v>
      </c>
      <c r="O52" s="598">
        <f t="shared" ca="1" si="12"/>
        <v>22353.858094888696</v>
      </c>
      <c r="P52" s="598">
        <f t="shared" ca="1" si="12"/>
        <v>23796.719745400867</v>
      </c>
      <c r="Q52" s="593"/>
      <c r="R52" s="579">
        <f t="shared" si="0"/>
        <v>1</v>
      </c>
      <c r="S52" s="580">
        <v>1</v>
      </c>
      <c r="T52" s="554"/>
      <c r="U52" s="554"/>
      <c r="V52" s="581"/>
      <c r="W52" s="581"/>
      <c r="X52" s="581"/>
      <c r="Y52" s="581"/>
      <c r="Z52" s="581"/>
      <c r="AA52" s="581"/>
      <c r="AB52" s="581"/>
      <c r="AC52" s="581"/>
    </row>
    <row r="53" spans="1:29">
      <c r="A53" s="554"/>
      <c r="B53" s="554"/>
      <c r="C53" s="555" t="s">
        <v>588</v>
      </c>
      <c r="D53" s="552"/>
      <c r="E53" s="594"/>
      <c r="F53" s="594"/>
      <c r="G53" s="594"/>
      <c r="H53" s="594">
        <f t="shared" ref="H53:P53" si="13">IFERROR(H52/G52-1,0)</f>
        <v>8.3475153165418758E-2</v>
      </c>
      <c r="I53" s="594">
        <f t="shared" si="13"/>
        <v>0.21353962145605898</v>
      </c>
      <c r="J53" s="595">
        <f t="shared" si="13"/>
        <v>0.10749417551126061</v>
      </c>
      <c r="K53" s="595">
        <f t="shared" ca="1" si="13"/>
        <v>3.8710044995033055E-2</v>
      </c>
      <c r="L53" s="595">
        <f t="shared" ca="1" si="13"/>
        <v>5.3914613614455265E-2</v>
      </c>
      <c r="M53" s="595">
        <f t="shared" ca="1" si="13"/>
        <v>5.8154176103056177E-2</v>
      </c>
      <c r="N53" s="595">
        <f t="shared" ca="1" si="13"/>
        <v>5.9443074461643652E-2</v>
      </c>
      <c r="O53" s="595">
        <f t="shared" ca="1" si="13"/>
        <v>6.4388085797298267E-2</v>
      </c>
      <c r="P53" s="595">
        <f t="shared" ca="1" si="13"/>
        <v>6.4546426142075619E-2</v>
      </c>
      <c r="Q53" s="578"/>
      <c r="R53" s="579">
        <f t="shared" si="0"/>
        <v>1</v>
      </c>
      <c r="S53" s="580">
        <v>1</v>
      </c>
      <c r="T53" s="554"/>
      <c r="U53" s="554"/>
      <c r="V53" s="581"/>
      <c r="W53" s="581"/>
      <c r="X53" s="581"/>
      <c r="Y53" s="581"/>
      <c r="Z53" s="581"/>
      <c r="AA53" s="581"/>
      <c r="AB53" s="581"/>
      <c r="AC53" s="581"/>
    </row>
    <row r="54" spans="1:29">
      <c r="A54" s="554"/>
      <c r="B54" s="554"/>
      <c r="C54" s="552" t="s">
        <v>589</v>
      </c>
      <c r="D54" s="552"/>
      <c r="E54" s="557"/>
      <c r="F54" s="557"/>
      <c r="G54" s="557">
        <f>'DCF - Financials'!H53</f>
        <v>4243</v>
      </c>
      <c r="H54" s="557">
        <f>'DCF - Financials'!I53</f>
        <v>4496</v>
      </c>
      <c r="I54" s="557">
        <f>'DCF - Financials'!J53</f>
        <v>5642</v>
      </c>
      <c r="J54" s="557">
        <f>'DCF - Financials'!K53</f>
        <v>6053</v>
      </c>
      <c r="K54" s="557">
        <f>'DCF - Financials'!L53</f>
        <v>6814.0053287660121</v>
      </c>
      <c r="L54" s="557">
        <f>'DCF - Financials'!M53</f>
        <v>6438.7267440469686</v>
      </c>
      <c r="M54" s="557">
        <f>'DCF - Financials'!N53</f>
        <v>6923.7241095436766</v>
      </c>
      <c r="N54" s="557">
        <f>'DCF - Financials'!O53</f>
        <v>7347.949381730622</v>
      </c>
      <c r="O54" s="557">
        <f>'DCF - Financials'!P53</f>
        <v>7928.7885882720029</v>
      </c>
      <c r="P54" s="557">
        <f>'DCF - Financials'!Q53</f>
        <v>8301.0183597718387</v>
      </c>
      <c r="Q54" s="578"/>
      <c r="R54" s="579">
        <f t="shared" si="0"/>
        <v>1</v>
      </c>
      <c r="S54" s="580">
        <v>1</v>
      </c>
      <c r="T54" s="554"/>
      <c r="U54" s="554"/>
      <c r="V54" s="581"/>
      <c r="W54" s="581"/>
      <c r="X54" s="581"/>
      <c r="Y54" s="581"/>
      <c r="Z54" s="581"/>
      <c r="AA54" s="581"/>
      <c r="AB54" s="581"/>
      <c r="AC54" s="581"/>
    </row>
    <row r="55" spans="1:29">
      <c r="A55" s="554"/>
      <c r="B55" s="554"/>
      <c r="C55" s="552" t="s">
        <v>590</v>
      </c>
      <c r="D55" s="552"/>
      <c r="E55" s="557"/>
      <c r="F55" s="557"/>
      <c r="G55" s="557">
        <v>0</v>
      </c>
      <c r="H55" s="557">
        <v>0</v>
      </c>
      <c r="I55" s="557">
        <v>0</v>
      </c>
      <c r="J55" s="557">
        <v>0</v>
      </c>
      <c r="K55" s="557">
        <f ca="1">'LBO - Financials'!H89</f>
        <v>9.0949470177292824E-13</v>
      </c>
      <c r="L55" s="557">
        <f ca="1">'LBO - Financials'!I89</f>
        <v>0</v>
      </c>
      <c r="M55" s="557">
        <f ca="1">'LBO - Financials'!J89</f>
        <v>0</v>
      </c>
      <c r="N55" s="557">
        <f ca="1">'LBO - Financials'!K89</f>
        <v>0</v>
      </c>
      <c r="O55" s="557">
        <f ca="1">'LBO - Financials'!L89</f>
        <v>0</v>
      </c>
      <c r="P55" s="557">
        <f ca="1">'LBO - Financials'!M89</f>
        <v>0</v>
      </c>
      <c r="Q55" s="578"/>
      <c r="R55" s="579">
        <f t="shared" si="0"/>
        <v>1</v>
      </c>
      <c r="S55" s="580">
        <v>1</v>
      </c>
      <c r="T55" s="554"/>
      <c r="U55" s="554"/>
      <c r="V55" s="581"/>
      <c r="W55" s="581"/>
      <c r="X55" s="581"/>
      <c r="Y55" s="581"/>
      <c r="Z55" s="581"/>
      <c r="AA55" s="581"/>
      <c r="AB55" s="581"/>
      <c r="AC55" s="581"/>
    </row>
    <row r="56" spans="1:29">
      <c r="A56" s="554"/>
      <c r="B56" s="554"/>
      <c r="C56" s="792" t="s">
        <v>591</v>
      </c>
      <c r="D56" s="792"/>
      <c r="E56" s="598"/>
      <c r="F56" s="598"/>
      <c r="G56" s="598">
        <f t="shared" ref="G56:P56" si="14">SUM(G54:G55)</f>
        <v>4243</v>
      </c>
      <c r="H56" s="598">
        <f t="shared" si="14"/>
        <v>4496</v>
      </c>
      <c r="I56" s="598">
        <f t="shared" si="14"/>
        <v>5642</v>
      </c>
      <c r="J56" s="598">
        <f t="shared" si="14"/>
        <v>6053</v>
      </c>
      <c r="K56" s="598">
        <f t="shared" ca="1" si="14"/>
        <v>6814.005328766013</v>
      </c>
      <c r="L56" s="598">
        <f t="shared" ca="1" si="14"/>
        <v>6438.7267440469686</v>
      </c>
      <c r="M56" s="598">
        <f t="shared" ca="1" si="14"/>
        <v>6923.7241095436766</v>
      </c>
      <c r="N56" s="598">
        <f t="shared" ca="1" si="14"/>
        <v>7347.949381730622</v>
      </c>
      <c r="O56" s="598">
        <f t="shared" ca="1" si="14"/>
        <v>7928.7885882720029</v>
      </c>
      <c r="P56" s="598">
        <f t="shared" ca="1" si="14"/>
        <v>8301.0183597718387</v>
      </c>
      <c r="Q56" s="578"/>
      <c r="R56" s="579">
        <f t="shared" si="0"/>
        <v>1</v>
      </c>
      <c r="S56" s="580">
        <v>1</v>
      </c>
      <c r="T56" s="554"/>
      <c r="U56" s="554"/>
      <c r="V56" s="581"/>
      <c r="W56" s="581"/>
      <c r="X56" s="581"/>
      <c r="Y56" s="581"/>
      <c r="Z56" s="581"/>
      <c r="AA56" s="581"/>
      <c r="AB56" s="581"/>
      <c r="AC56" s="581"/>
    </row>
    <row r="57" spans="1:29">
      <c r="A57" s="554"/>
      <c r="B57" s="554"/>
      <c r="C57" s="555" t="s">
        <v>592</v>
      </c>
      <c r="D57" s="552"/>
      <c r="E57" s="594"/>
      <c r="F57" s="594"/>
      <c r="G57" s="594">
        <f t="shared" ref="G57:P57" si="15">IFERROR(G56/G52,0)</f>
        <v>0.36104492852280462</v>
      </c>
      <c r="H57" s="594">
        <f t="shared" si="15"/>
        <v>0.35309824864525247</v>
      </c>
      <c r="I57" s="594">
        <f t="shared" si="15"/>
        <v>0.36513072741392699</v>
      </c>
      <c r="J57" s="595">
        <f t="shared" si="15"/>
        <v>0.35370770759072051</v>
      </c>
      <c r="K57" s="595">
        <f t="shared" ca="1" si="15"/>
        <v>0.38333810088951431</v>
      </c>
      <c r="L57" s="595">
        <f t="shared" ca="1" si="15"/>
        <v>0.34369568986383181</v>
      </c>
      <c r="M57" s="595">
        <f t="shared" ca="1" si="15"/>
        <v>0.34927290431652824</v>
      </c>
      <c r="N57" s="595">
        <f t="shared" ca="1" si="15"/>
        <v>0.34987561179624821</v>
      </c>
      <c r="O57" s="595">
        <f t="shared" ca="1" si="15"/>
        <v>0.3546944135824569</v>
      </c>
      <c r="P57" s="595">
        <f t="shared" ca="1" si="15"/>
        <v>0.34883036185590899</v>
      </c>
      <c r="Q57" s="578"/>
      <c r="R57" s="579">
        <f t="shared" si="0"/>
        <v>1</v>
      </c>
      <c r="S57" s="580">
        <v>1</v>
      </c>
      <c r="T57" s="554"/>
      <c r="U57" s="554"/>
      <c r="V57" s="581"/>
      <c r="W57" s="581"/>
      <c r="X57" s="581"/>
      <c r="Y57" s="581"/>
      <c r="Z57" s="581"/>
      <c r="AA57" s="581"/>
      <c r="AB57" s="581"/>
      <c r="AC57" s="581"/>
    </row>
    <row r="58" spans="1:29" ht="2.5" customHeight="1">
      <c r="A58" s="554"/>
      <c r="B58" s="554"/>
      <c r="C58" s="555"/>
      <c r="D58" s="552"/>
      <c r="E58" s="596"/>
      <c r="F58" s="596"/>
      <c r="G58" s="596"/>
      <c r="H58" s="596"/>
      <c r="I58" s="596"/>
      <c r="J58" s="597"/>
      <c r="K58" s="597"/>
      <c r="L58" s="597"/>
      <c r="M58" s="597"/>
      <c r="N58" s="597"/>
      <c r="O58" s="597"/>
      <c r="P58" s="597"/>
      <c r="Q58" s="578"/>
      <c r="R58" s="579">
        <f t="shared" si="0"/>
        <v>0</v>
      </c>
      <c r="S58" s="580">
        <v>0</v>
      </c>
      <c r="T58" s="554"/>
      <c r="U58" s="554"/>
      <c r="V58" s="581"/>
      <c r="W58" s="581"/>
      <c r="X58" s="581"/>
      <c r="Y58" s="581"/>
      <c r="Z58" s="581"/>
      <c r="AA58" s="581"/>
      <c r="AB58" s="581"/>
      <c r="AC58" s="581"/>
    </row>
    <row r="59" spans="1:29">
      <c r="A59" s="554"/>
      <c r="B59" s="554"/>
      <c r="C59" s="552" t="s">
        <v>593</v>
      </c>
      <c r="D59" s="552"/>
      <c r="E59" s="557"/>
      <c r="F59" s="557"/>
      <c r="G59" s="557">
        <f>'DCF - Financials'!H34</f>
        <v>-589</v>
      </c>
      <c r="H59" s="557">
        <f>'DCF - Financials'!I34</f>
        <v>-907</v>
      </c>
      <c r="I59" s="557">
        <f>'DCF - Financials'!J34</f>
        <v>-1049</v>
      </c>
      <c r="J59" s="557">
        <f>'DCF - Financials'!K34</f>
        <v>-970</v>
      </c>
      <c r="K59" s="557">
        <f ca="1">'LBO - Financials'!H17</f>
        <v>-969.79518581081106</v>
      </c>
      <c r="L59" s="557">
        <f ca="1">'LBO - Financials'!I17</f>
        <v>-855.10216774954938</v>
      </c>
      <c r="M59" s="557">
        <f ca="1">'LBO - Financials'!J17</f>
        <v>-920.95799996590654</v>
      </c>
      <c r="N59" s="557">
        <f ca="1">'LBO - Financials'!K17</f>
        <v>-999.35669947618794</v>
      </c>
      <c r="O59" s="557">
        <f ca="1">'LBO - Financials'!L17</f>
        <v>-1047.0686109600706</v>
      </c>
      <c r="P59" s="557">
        <f ca="1">'LBO - Financials'!M17</f>
        <v>-1137.5174412757085</v>
      </c>
      <c r="Q59" s="578"/>
      <c r="R59" s="579">
        <f t="shared" si="0"/>
        <v>1</v>
      </c>
      <c r="S59" s="580">
        <v>1</v>
      </c>
      <c r="T59" s="554"/>
      <c r="U59" s="554"/>
      <c r="V59" s="581"/>
      <c r="W59" s="581"/>
      <c r="X59" s="581"/>
      <c r="Y59" s="581"/>
      <c r="Z59" s="581"/>
      <c r="AA59" s="581"/>
      <c r="AB59" s="581"/>
      <c r="AC59" s="581"/>
    </row>
    <row r="60" spans="1:29">
      <c r="A60" s="554"/>
      <c r="B60" s="554"/>
      <c r="C60" s="552" t="s">
        <v>594</v>
      </c>
      <c r="D60" s="552"/>
      <c r="E60" s="557"/>
      <c r="F60" s="557"/>
      <c r="G60" s="557">
        <f>'DCF - Outputs'!I38</f>
        <v>-805</v>
      </c>
      <c r="H60" s="557">
        <f>'DCF - Outputs'!J38</f>
        <v>-1091</v>
      </c>
      <c r="I60" s="557">
        <f>'DCF - Outputs'!K38</f>
        <v>-1341</v>
      </c>
      <c r="J60" s="557">
        <f>'DCF - Outputs'!L38</f>
        <v>-1197</v>
      </c>
      <c r="K60" s="557">
        <f>'DCF - Outputs'!M38</f>
        <v>-1606.0000536129971</v>
      </c>
      <c r="L60" s="557">
        <f>'DCF - Outputs'!N38</f>
        <v>-1639.630873293281</v>
      </c>
      <c r="M60" s="557">
        <f>'DCF - Outputs'!O38</f>
        <v>-1692.3587027283584</v>
      </c>
      <c r="N60" s="557">
        <f>'DCF - Outputs'!P38</f>
        <v>-1797.750259206839</v>
      </c>
      <c r="O60" s="557">
        <f>'DCF - Outputs'!Q38</f>
        <v>-1949.5077890605892</v>
      </c>
      <c r="P60" s="557">
        <f>'DCF - Outputs'!R38</f>
        <v>-2056.6723458540055</v>
      </c>
      <c r="Q60" s="557"/>
      <c r="R60" s="579">
        <f t="shared" si="0"/>
        <v>1</v>
      </c>
      <c r="S60" s="580">
        <v>1</v>
      </c>
      <c r="T60" s="554"/>
      <c r="U60" s="554"/>
      <c r="V60" s="581"/>
      <c r="W60" s="581"/>
      <c r="X60" s="581"/>
      <c r="Y60" s="581"/>
      <c r="Z60" s="581"/>
      <c r="AA60" s="581"/>
      <c r="AB60" s="581"/>
      <c r="AC60" s="581"/>
    </row>
    <row r="61" spans="1:29">
      <c r="A61" s="554"/>
      <c r="B61" s="554"/>
      <c r="C61" s="552" t="s">
        <v>313</v>
      </c>
      <c r="D61" s="552"/>
      <c r="E61" s="557"/>
      <c r="F61" s="557"/>
      <c r="G61" s="557">
        <f>'DCF - Outputs'!I37</f>
        <v>-328</v>
      </c>
      <c r="H61" s="557">
        <f>'DCF - Outputs'!J37</f>
        <v>331</v>
      </c>
      <c r="I61" s="557">
        <f>'DCF - Outputs'!K37</f>
        <v>-179</v>
      </c>
      <c r="J61" s="557">
        <f>'DCF - Outputs'!L37</f>
        <v>-1175</v>
      </c>
      <c r="K61" s="557">
        <f>'DCF - Outputs'!M37</f>
        <v>61.222667788690273</v>
      </c>
      <c r="L61" s="557">
        <f>'DCF - Outputs'!N37</f>
        <v>-226.75591377864254</v>
      </c>
      <c r="M61" s="557">
        <f>'DCF - Outputs'!O37</f>
        <v>-258.54097130974651</v>
      </c>
      <c r="N61" s="557">
        <f>'DCF - Outputs'!P37</f>
        <v>-278.16160084833206</v>
      </c>
      <c r="O61" s="557">
        <f>'DCF - Outputs'!Q37</f>
        <v>-320.00158564526726</v>
      </c>
      <c r="P61" s="557">
        <f>'DCF - Outputs'!R37</f>
        <v>-338.66769810978872</v>
      </c>
      <c r="Q61" s="557"/>
      <c r="R61" s="579">
        <f t="shared" si="0"/>
        <v>1</v>
      </c>
      <c r="S61" s="580">
        <v>1</v>
      </c>
      <c r="T61" s="554"/>
      <c r="U61" s="554"/>
      <c r="V61" s="581"/>
      <c r="W61" s="581"/>
      <c r="X61" s="581"/>
      <c r="Y61" s="581"/>
      <c r="Z61" s="581"/>
      <c r="AA61" s="581"/>
      <c r="AB61" s="581"/>
      <c r="AC61" s="581"/>
    </row>
    <row r="62" spans="1:29">
      <c r="A62" s="591"/>
      <c r="B62" s="591"/>
      <c r="C62" s="792" t="s">
        <v>595</v>
      </c>
      <c r="D62" s="598"/>
      <c r="E62" s="598"/>
      <c r="F62" s="598"/>
      <c r="G62" s="598">
        <f t="shared" ref="G62:P62" si="16">G56+SUM(G59:G61)</f>
        <v>2521</v>
      </c>
      <c r="H62" s="598">
        <f t="shared" si="16"/>
        <v>2829</v>
      </c>
      <c r="I62" s="598">
        <f t="shared" si="16"/>
        <v>3073</v>
      </c>
      <c r="J62" s="598">
        <f t="shared" si="16"/>
        <v>2711</v>
      </c>
      <c r="K62" s="598">
        <f t="shared" ca="1" si="16"/>
        <v>4299.432757130895</v>
      </c>
      <c r="L62" s="598">
        <f t="shared" ca="1" si="16"/>
        <v>3717.2377892254958</v>
      </c>
      <c r="M62" s="598">
        <f t="shared" ca="1" si="16"/>
        <v>4051.8664355396654</v>
      </c>
      <c r="N62" s="598">
        <f t="shared" ca="1" si="16"/>
        <v>4272.6808221992633</v>
      </c>
      <c r="O62" s="598">
        <f t="shared" ca="1" si="16"/>
        <v>4612.2106026060756</v>
      </c>
      <c r="P62" s="598">
        <f t="shared" ca="1" si="16"/>
        <v>4768.1608745323356</v>
      </c>
      <c r="Q62" s="578"/>
      <c r="R62" s="579">
        <f t="shared" si="0"/>
        <v>1</v>
      </c>
      <c r="S62" s="580">
        <v>1</v>
      </c>
      <c r="T62" s="585"/>
      <c r="U62" s="585"/>
      <c r="V62" s="581"/>
      <c r="W62" s="581"/>
      <c r="X62" s="581"/>
      <c r="Y62" s="581"/>
      <c r="Z62" s="581"/>
      <c r="AA62" s="581"/>
      <c r="AB62" s="581"/>
      <c r="AC62" s="581"/>
    </row>
    <row r="63" spans="1:29">
      <c r="A63" s="584"/>
      <c r="B63" s="591"/>
      <c r="C63" s="585" t="s">
        <v>596</v>
      </c>
      <c r="D63" s="560"/>
      <c r="E63" s="560"/>
      <c r="F63" s="560"/>
      <c r="G63" s="560">
        <f>'DCF - Capital Structure'!H65</f>
        <v>-525</v>
      </c>
      <c r="H63" s="560">
        <f>'DCF - Capital Structure'!I65</f>
        <v>-465</v>
      </c>
      <c r="I63" s="560">
        <f>'DCF - Capital Structure'!J65</f>
        <v>-475</v>
      </c>
      <c r="J63" s="560">
        <f>'DCF - Capital Structure'!K65</f>
        <v>-756</v>
      </c>
      <c r="K63" s="557">
        <f ca="1">'LBO - Financials'!H135</f>
        <v>0</v>
      </c>
      <c r="L63" s="557">
        <f ca="1">'LBO - Financials'!I135</f>
        <v>0</v>
      </c>
      <c r="M63" s="557">
        <f ca="1">'LBO - Financials'!J135</f>
        <v>0</v>
      </c>
      <c r="N63" s="557">
        <f ca="1">'LBO - Financials'!K135</f>
        <v>0</v>
      </c>
      <c r="O63" s="557">
        <f ca="1">'LBO - Financials'!L135</f>
        <v>0</v>
      </c>
      <c r="P63" s="557">
        <f ca="1">'LBO - Financials'!M135</f>
        <v>0</v>
      </c>
      <c r="Q63" s="578"/>
      <c r="R63" s="579">
        <f t="shared" si="0"/>
        <v>1</v>
      </c>
      <c r="S63" s="580">
        <v>1</v>
      </c>
      <c r="T63" s="585"/>
      <c r="U63" s="585"/>
      <c r="V63" s="581"/>
      <c r="W63" s="581"/>
      <c r="X63" s="581"/>
      <c r="Y63" s="581"/>
      <c r="Z63" s="581"/>
      <c r="AA63" s="581"/>
      <c r="AB63" s="581"/>
      <c r="AC63" s="581"/>
    </row>
    <row r="64" spans="1:29">
      <c r="A64" s="591"/>
      <c r="B64" s="591"/>
      <c r="C64" s="585" t="s">
        <v>597</v>
      </c>
      <c r="D64" s="560"/>
      <c r="E64" s="560"/>
      <c r="F64" s="560">
        <v>0</v>
      </c>
      <c r="G64" s="560">
        <v>0</v>
      </c>
      <c r="H64" s="560">
        <v>0</v>
      </c>
      <c r="I64" s="560">
        <v>0</v>
      </c>
      <c r="J64" s="560">
        <v>0</v>
      </c>
      <c r="K64" s="557">
        <f ca="1">-'LBO - Financials'!H136</f>
        <v>0</v>
      </c>
      <c r="L64" s="557">
        <f ca="1">-'LBO - Financials'!I136</f>
        <v>0</v>
      </c>
      <c r="M64" s="557">
        <f ca="1">-'LBO - Financials'!J136</f>
        <v>0</v>
      </c>
      <c r="N64" s="557">
        <f ca="1">-'LBO - Financials'!K136</f>
        <v>0</v>
      </c>
      <c r="O64" s="557">
        <f ca="1">-'LBO - Financials'!L136</f>
        <v>0</v>
      </c>
      <c r="P64" s="557">
        <f ca="1">-'LBO - Financials'!M136</f>
        <v>0</v>
      </c>
      <c r="Q64" s="578"/>
      <c r="R64" s="579">
        <f t="shared" si="0"/>
        <v>1</v>
      </c>
      <c r="S64" s="580">
        <v>1</v>
      </c>
      <c r="T64" s="585"/>
      <c r="U64" s="585"/>
      <c r="V64" s="581"/>
      <c r="W64" s="581"/>
      <c r="X64" s="581"/>
      <c r="Y64" s="581"/>
      <c r="Z64" s="581"/>
      <c r="AA64" s="581"/>
      <c r="AB64" s="581"/>
      <c r="AC64" s="581"/>
    </row>
    <row r="65" spans="1:29">
      <c r="A65" s="591"/>
      <c r="B65" s="591"/>
      <c r="C65" s="585" t="s">
        <v>598</v>
      </c>
      <c r="D65" s="560"/>
      <c r="E65" s="560"/>
      <c r="F65" s="560">
        <v>0</v>
      </c>
      <c r="G65" s="560">
        <v>0</v>
      </c>
      <c r="H65" s="560">
        <v>0</v>
      </c>
      <c r="I65" s="560">
        <v>0</v>
      </c>
      <c r="J65" s="560">
        <v>0</v>
      </c>
      <c r="K65" s="557">
        <f ca="1">-'LBO - Financials'!H137</f>
        <v>0</v>
      </c>
      <c r="L65" s="557">
        <f ca="1">-'LBO - Financials'!I137</f>
        <v>0</v>
      </c>
      <c r="M65" s="557">
        <f ca="1">-'LBO - Financials'!J137</f>
        <v>0</v>
      </c>
      <c r="N65" s="557">
        <f ca="1">-'LBO - Financials'!K137</f>
        <v>0</v>
      </c>
      <c r="O65" s="557">
        <f ca="1">-'LBO - Financials'!L137</f>
        <v>0</v>
      </c>
      <c r="P65" s="557">
        <f ca="1">-'LBO - Financials'!M137</f>
        <v>0</v>
      </c>
      <c r="Q65" s="578"/>
      <c r="R65" s="579">
        <f t="shared" si="0"/>
        <v>1</v>
      </c>
      <c r="S65" s="580">
        <v>1</v>
      </c>
      <c r="T65" s="585"/>
      <c r="U65" s="585"/>
      <c r="V65" s="581"/>
      <c r="W65" s="581"/>
      <c r="X65" s="581"/>
      <c r="Y65" s="581"/>
      <c r="Z65" s="581"/>
      <c r="AA65" s="581"/>
      <c r="AB65" s="581"/>
      <c r="AC65" s="581"/>
    </row>
    <row r="66" spans="1:29">
      <c r="A66" s="591"/>
      <c r="B66" s="591"/>
      <c r="C66" s="792" t="s">
        <v>599</v>
      </c>
      <c r="D66" s="598"/>
      <c r="E66" s="598">
        <f t="shared" ref="E66:P66" si="17">SUM(E63:E65)</f>
        <v>0</v>
      </c>
      <c r="F66" s="598">
        <f t="shared" si="17"/>
        <v>0</v>
      </c>
      <c r="G66" s="598">
        <f t="shared" si="17"/>
        <v>-525</v>
      </c>
      <c r="H66" s="598">
        <f t="shared" si="17"/>
        <v>-465</v>
      </c>
      <c r="I66" s="598">
        <f t="shared" si="17"/>
        <v>-475</v>
      </c>
      <c r="J66" s="598">
        <f t="shared" si="17"/>
        <v>-756</v>
      </c>
      <c r="K66" s="598">
        <f t="shared" ca="1" si="17"/>
        <v>0</v>
      </c>
      <c r="L66" s="598">
        <f t="shared" ca="1" si="17"/>
        <v>0</v>
      </c>
      <c r="M66" s="598">
        <f t="shared" ca="1" si="17"/>
        <v>0</v>
      </c>
      <c r="N66" s="598">
        <f t="shared" ca="1" si="17"/>
        <v>0</v>
      </c>
      <c r="O66" s="598">
        <f t="shared" ca="1" si="17"/>
        <v>0</v>
      </c>
      <c r="P66" s="598">
        <f t="shared" ca="1" si="17"/>
        <v>0</v>
      </c>
      <c r="Q66" s="578"/>
      <c r="R66" s="579">
        <f t="shared" si="0"/>
        <v>1</v>
      </c>
      <c r="S66" s="580">
        <v>1</v>
      </c>
      <c r="T66" s="585"/>
      <c r="U66" s="585"/>
      <c r="V66" s="581"/>
      <c r="W66" s="581"/>
      <c r="X66" s="581"/>
      <c r="Y66" s="581"/>
      <c r="Z66" s="581"/>
      <c r="AA66" s="581"/>
      <c r="AB66" s="581"/>
      <c r="AC66" s="581"/>
    </row>
    <row r="67" spans="1:29" ht="4.5" customHeight="1">
      <c r="A67" s="591"/>
      <c r="B67" s="591"/>
      <c r="C67" s="809"/>
      <c r="D67" s="585"/>
      <c r="E67" s="585"/>
      <c r="F67" s="585"/>
      <c r="G67" s="585"/>
      <c r="H67" s="585"/>
      <c r="I67" s="585"/>
      <c r="J67" s="552"/>
      <c r="K67" s="552"/>
      <c r="L67" s="552"/>
      <c r="M67" s="552"/>
      <c r="N67" s="552"/>
      <c r="O67" s="552"/>
      <c r="P67" s="552"/>
      <c r="Q67" s="578"/>
      <c r="R67" s="579">
        <f t="shared" si="0"/>
        <v>0</v>
      </c>
      <c r="S67" s="580">
        <v>0</v>
      </c>
      <c r="T67" s="585"/>
      <c r="U67" s="585"/>
      <c r="V67" s="581"/>
      <c r="W67" s="581"/>
      <c r="X67" s="581"/>
      <c r="Y67" s="581"/>
      <c r="Z67" s="581"/>
      <c r="AA67" s="581"/>
      <c r="AB67" s="581"/>
      <c r="AC67" s="581"/>
    </row>
    <row r="68" spans="1:29">
      <c r="A68" s="591"/>
      <c r="B68" s="591"/>
      <c r="C68" s="758" t="s">
        <v>583</v>
      </c>
      <c r="D68" s="810"/>
      <c r="E68" s="811"/>
      <c r="F68" s="811"/>
      <c r="G68" s="811"/>
      <c r="H68" s="811"/>
      <c r="I68" s="811"/>
      <c r="J68" s="812">
        <f t="shared" ref="J68:P68" ca="1" si="18">IFERROR(J41/J56,"NM")</f>
        <v>0</v>
      </c>
      <c r="K68" s="812">
        <f t="shared" ca="1" si="18"/>
        <v>0</v>
      </c>
      <c r="L68" s="812">
        <f t="shared" ca="1" si="18"/>
        <v>0</v>
      </c>
      <c r="M68" s="812">
        <f t="shared" ca="1" si="18"/>
        <v>0</v>
      </c>
      <c r="N68" s="812">
        <f t="shared" ca="1" si="18"/>
        <v>0</v>
      </c>
      <c r="O68" s="812">
        <f t="shared" ca="1" si="18"/>
        <v>0</v>
      </c>
      <c r="P68" s="812">
        <f t="shared" ca="1" si="18"/>
        <v>0</v>
      </c>
      <c r="Q68" s="578"/>
      <c r="R68" s="579">
        <f t="shared" si="0"/>
        <v>1</v>
      </c>
      <c r="S68" s="580">
        <v>1</v>
      </c>
      <c r="T68" s="585"/>
      <c r="U68" s="585"/>
      <c r="V68" s="581"/>
      <c r="W68" s="581"/>
      <c r="X68" s="581"/>
      <c r="Y68" s="581"/>
      <c r="Z68" s="581"/>
      <c r="AA68" s="581"/>
      <c r="AB68" s="581"/>
      <c r="AC68" s="581"/>
    </row>
    <row r="69" spans="1:29">
      <c r="A69" s="591"/>
      <c r="B69" s="591"/>
      <c r="C69" s="758" t="s">
        <v>600</v>
      </c>
      <c r="D69" s="810"/>
      <c r="E69" s="811"/>
      <c r="F69" s="811"/>
      <c r="G69" s="811"/>
      <c r="H69" s="811"/>
      <c r="I69" s="811"/>
      <c r="J69" s="812"/>
      <c r="K69" s="812" t="e">
        <f t="shared" ref="K69:P69" ca="1" si="19">-K56/K66</f>
        <v>#DIV/0!</v>
      </c>
      <c r="L69" s="812" t="e">
        <f t="shared" ca="1" si="19"/>
        <v>#DIV/0!</v>
      </c>
      <c r="M69" s="812" t="e">
        <f t="shared" ca="1" si="19"/>
        <v>#DIV/0!</v>
      </c>
      <c r="N69" s="812" t="e">
        <f t="shared" ca="1" si="19"/>
        <v>#DIV/0!</v>
      </c>
      <c r="O69" s="812" t="e">
        <f t="shared" ca="1" si="19"/>
        <v>#DIV/0!</v>
      </c>
      <c r="P69" s="812" t="e">
        <f t="shared" ca="1" si="19"/>
        <v>#DIV/0!</v>
      </c>
      <c r="Q69" s="578"/>
      <c r="R69" s="579">
        <f t="shared" si="0"/>
        <v>1</v>
      </c>
      <c r="S69" s="580">
        <v>1</v>
      </c>
      <c r="T69" s="585"/>
      <c r="U69" s="585"/>
      <c r="V69" s="581"/>
      <c r="W69" s="581"/>
      <c r="X69" s="581"/>
      <c r="Y69" s="581"/>
      <c r="Z69" s="581"/>
      <c r="AA69" s="581"/>
      <c r="AB69" s="581"/>
      <c r="AC69" s="581"/>
    </row>
    <row r="70" spans="1:29">
      <c r="A70" s="591"/>
      <c r="B70" s="591"/>
      <c r="C70" s="758" t="s">
        <v>601</v>
      </c>
      <c r="D70" s="810"/>
      <c r="E70" s="812"/>
      <c r="F70" s="812"/>
      <c r="G70" s="812"/>
      <c r="H70" s="812"/>
      <c r="I70" s="812"/>
      <c r="J70" s="812"/>
      <c r="K70" s="812" t="str">
        <f t="shared" ref="K70:P70" ca="1" si="20">IFERROR(IF(K62&lt;0,"NM",MAX(-K62/K66,0)),"NM")</f>
        <v>NM</v>
      </c>
      <c r="L70" s="812" t="str">
        <f t="shared" ca="1" si="20"/>
        <v>NM</v>
      </c>
      <c r="M70" s="812" t="str">
        <f t="shared" ca="1" si="20"/>
        <v>NM</v>
      </c>
      <c r="N70" s="812" t="str">
        <f t="shared" ca="1" si="20"/>
        <v>NM</v>
      </c>
      <c r="O70" s="812" t="str">
        <f t="shared" ca="1" si="20"/>
        <v>NM</v>
      </c>
      <c r="P70" s="812" t="str">
        <f t="shared" ca="1" si="20"/>
        <v>NM</v>
      </c>
      <c r="Q70" s="578"/>
      <c r="R70" s="579">
        <f t="shared" si="0"/>
        <v>1</v>
      </c>
      <c r="S70" s="580">
        <v>1</v>
      </c>
      <c r="T70" s="585"/>
      <c r="U70" s="585"/>
      <c r="V70" s="581"/>
      <c r="W70" s="581"/>
      <c r="X70" s="581"/>
      <c r="Y70" s="581"/>
      <c r="Z70" s="581"/>
      <c r="AA70" s="581"/>
      <c r="AB70" s="581"/>
      <c r="AC70" s="581"/>
    </row>
    <row r="71" spans="1:29">
      <c r="A71" s="591"/>
      <c r="B71" s="591"/>
      <c r="C71" s="758" t="s">
        <v>602</v>
      </c>
      <c r="D71" s="810"/>
      <c r="E71" s="812"/>
      <c r="F71" s="812"/>
      <c r="G71" s="812"/>
      <c r="H71" s="812"/>
      <c r="I71" s="812"/>
      <c r="J71" s="812"/>
      <c r="K71" s="812" t="str">
        <f t="shared" ref="K71:P71" ca="1" si="21">IFERROR(IF(K62&lt;0,"NM",MAX(-K62/SUM(K63,K64),0)),"NM")</f>
        <v>NM</v>
      </c>
      <c r="L71" s="812" t="str">
        <f t="shared" ca="1" si="21"/>
        <v>NM</v>
      </c>
      <c r="M71" s="812" t="str">
        <f t="shared" ca="1" si="21"/>
        <v>NM</v>
      </c>
      <c r="N71" s="812" t="str">
        <f t="shared" ca="1" si="21"/>
        <v>NM</v>
      </c>
      <c r="O71" s="812" t="str">
        <f t="shared" ca="1" si="21"/>
        <v>NM</v>
      </c>
      <c r="P71" s="812" t="str">
        <f t="shared" ca="1" si="21"/>
        <v>NM</v>
      </c>
      <c r="Q71" s="578"/>
      <c r="R71" s="579">
        <f t="shared" si="0"/>
        <v>1</v>
      </c>
      <c r="S71" s="580">
        <v>1</v>
      </c>
      <c r="T71" s="585"/>
      <c r="U71" s="585"/>
      <c r="V71" s="581"/>
      <c r="W71" s="581"/>
      <c r="X71" s="581"/>
      <c r="Y71" s="581"/>
      <c r="Z71" s="581"/>
      <c r="AA71" s="581"/>
      <c r="AB71" s="581"/>
      <c r="AC71" s="581"/>
    </row>
    <row r="72" spans="1:29" ht="5.5" customHeight="1">
      <c r="A72" s="591"/>
      <c r="B72" s="591"/>
      <c r="C72" s="809"/>
      <c r="D72" s="585"/>
      <c r="E72" s="585"/>
      <c r="F72" s="585"/>
      <c r="G72" s="585"/>
      <c r="H72" s="585"/>
      <c r="I72" s="585"/>
      <c r="J72" s="552"/>
      <c r="K72" s="552"/>
      <c r="L72" s="552"/>
      <c r="M72" s="552"/>
      <c r="N72" s="552"/>
      <c r="O72" s="552"/>
      <c r="P72" s="552"/>
      <c r="Q72" s="578"/>
      <c r="R72" s="579">
        <f t="shared" ref="R72:R120" si="22">IF(NOT(ISBLANK(C72)), 1, 0)</f>
        <v>0</v>
      </c>
      <c r="S72" s="580">
        <v>0</v>
      </c>
      <c r="T72" s="585"/>
      <c r="U72" s="585"/>
      <c r="V72" s="581"/>
      <c r="W72" s="581"/>
      <c r="X72" s="581"/>
      <c r="Y72" s="581"/>
      <c r="Z72" s="581"/>
      <c r="AA72" s="581"/>
      <c r="AB72" s="581"/>
      <c r="AC72" s="581"/>
    </row>
    <row r="73" spans="1:29">
      <c r="A73" s="591"/>
      <c r="B73" s="591"/>
      <c r="C73" s="813" t="s">
        <v>603</v>
      </c>
      <c r="D73" s="814"/>
      <c r="E73" s="814">
        <f t="shared" ref="E73:P73" si="23">E62+E66</f>
        <v>0</v>
      </c>
      <c r="F73" s="814">
        <f t="shared" si="23"/>
        <v>0</v>
      </c>
      <c r="G73" s="814">
        <f t="shared" si="23"/>
        <v>1996</v>
      </c>
      <c r="H73" s="814">
        <f t="shared" si="23"/>
        <v>2364</v>
      </c>
      <c r="I73" s="814">
        <f t="shared" si="23"/>
        <v>2598</v>
      </c>
      <c r="J73" s="814">
        <f t="shared" si="23"/>
        <v>1955</v>
      </c>
      <c r="K73" s="814">
        <f t="shared" ca="1" si="23"/>
        <v>4299.432757130895</v>
      </c>
      <c r="L73" s="814">
        <f t="shared" ca="1" si="23"/>
        <v>3717.2377892254958</v>
      </c>
      <c r="M73" s="814">
        <f t="shared" ca="1" si="23"/>
        <v>4051.8664355396654</v>
      </c>
      <c r="N73" s="814">
        <f t="shared" ca="1" si="23"/>
        <v>4272.6808221992633</v>
      </c>
      <c r="O73" s="814">
        <f t="shared" ca="1" si="23"/>
        <v>4612.2106026060756</v>
      </c>
      <c r="P73" s="814">
        <f t="shared" ca="1" si="23"/>
        <v>4768.1608745323356</v>
      </c>
      <c r="Q73" s="578"/>
      <c r="R73" s="579">
        <f t="shared" si="22"/>
        <v>1</v>
      </c>
      <c r="S73" s="580">
        <v>1</v>
      </c>
      <c r="T73" s="585"/>
      <c r="U73" s="585"/>
      <c r="V73" s="581"/>
      <c r="W73" s="581"/>
      <c r="X73" s="581"/>
      <c r="Y73" s="581"/>
      <c r="Z73" s="581"/>
      <c r="AA73" s="581"/>
      <c r="AB73" s="581"/>
      <c r="AC73" s="581"/>
    </row>
    <row r="74" spans="1:29">
      <c r="A74" s="591"/>
      <c r="B74" s="591"/>
      <c r="C74" s="585" t="s">
        <v>604</v>
      </c>
      <c r="D74" s="560"/>
      <c r="E74" s="560"/>
      <c r="F74" s="560"/>
      <c r="G74" s="560"/>
      <c r="H74" s="557"/>
      <c r="I74" s="557"/>
      <c r="J74" s="557">
        <f>'LBO - Financials'!G24</f>
        <v>0</v>
      </c>
      <c r="K74" s="557">
        <f ca="1">'LBO - Financials'!H24</f>
        <v>0</v>
      </c>
      <c r="L74" s="557">
        <f ca="1">'LBO - Financials'!I24</f>
        <v>0</v>
      </c>
      <c r="M74" s="557">
        <f ca="1">'LBO - Financials'!J24</f>
        <v>0</v>
      </c>
      <c r="N74" s="557">
        <f ca="1">'LBO - Financials'!K24</f>
        <v>0</v>
      </c>
      <c r="O74" s="557">
        <f ca="1">'LBO - Financials'!L24</f>
        <v>0</v>
      </c>
      <c r="P74" s="557">
        <f ca="1">'LBO - Financials'!M24</f>
        <v>0</v>
      </c>
      <c r="Q74" s="578"/>
      <c r="R74" s="579">
        <f t="shared" si="22"/>
        <v>1</v>
      </c>
      <c r="S74" s="580">
        <v>1</v>
      </c>
      <c r="T74" s="585"/>
      <c r="U74" s="585"/>
      <c r="V74" s="581"/>
      <c r="W74" s="581"/>
      <c r="X74" s="581"/>
      <c r="Y74" s="581"/>
      <c r="Z74" s="581"/>
      <c r="AA74" s="581"/>
      <c r="AB74" s="581"/>
      <c r="AC74" s="581"/>
    </row>
    <row r="75" spans="1:29">
      <c r="A75" s="591"/>
      <c r="B75" s="591"/>
      <c r="C75" s="568" t="s">
        <v>605</v>
      </c>
      <c r="D75" s="569"/>
      <c r="E75" s="569"/>
      <c r="F75" s="569"/>
      <c r="G75" s="569"/>
      <c r="H75" s="569"/>
      <c r="I75" s="569"/>
      <c r="J75" s="569"/>
      <c r="K75" s="569">
        <f t="shared" ref="K75:P75" ca="1" si="24">SUM(K73:K74)</f>
        <v>4299.432757130895</v>
      </c>
      <c r="L75" s="569">
        <f t="shared" ca="1" si="24"/>
        <v>3717.2377892254958</v>
      </c>
      <c r="M75" s="569">
        <f t="shared" ca="1" si="24"/>
        <v>4051.8664355396654</v>
      </c>
      <c r="N75" s="569">
        <f t="shared" ca="1" si="24"/>
        <v>4272.6808221992633</v>
      </c>
      <c r="O75" s="569">
        <f t="shared" ca="1" si="24"/>
        <v>4612.2106026060756</v>
      </c>
      <c r="P75" s="569">
        <f t="shared" ca="1" si="24"/>
        <v>4768.1608745323356</v>
      </c>
      <c r="Q75" s="578"/>
      <c r="R75" s="579">
        <f t="shared" si="22"/>
        <v>1</v>
      </c>
      <c r="S75" s="580">
        <v>1</v>
      </c>
      <c r="T75" s="585"/>
      <c r="U75" s="585"/>
      <c r="V75" s="581"/>
      <c r="W75" s="581"/>
      <c r="X75" s="581"/>
      <c r="Y75" s="581"/>
      <c r="Z75" s="581"/>
      <c r="AA75" s="581"/>
      <c r="AB75" s="581"/>
      <c r="AC75" s="581"/>
    </row>
    <row r="76" spans="1:29" ht="3" customHeight="1">
      <c r="A76" s="591"/>
      <c r="B76" s="591"/>
      <c r="C76" s="809"/>
      <c r="D76" s="585"/>
      <c r="E76" s="585"/>
      <c r="F76" s="585"/>
      <c r="G76" s="585"/>
      <c r="H76" s="585"/>
      <c r="I76" s="585"/>
      <c r="J76" s="552"/>
      <c r="K76" s="552"/>
      <c r="L76" s="552"/>
      <c r="M76" s="552"/>
      <c r="N76" s="552"/>
      <c r="O76" s="552"/>
      <c r="P76" s="552"/>
      <c r="Q76" s="578"/>
      <c r="R76" s="579">
        <f t="shared" si="22"/>
        <v>0</v>
      </c>
      <c r="S76" s="580">
        <v>0</v>
      </c>
      <c r="T76" s="585"/>
      <c r="U76" s="585"/>
      <c r="V76" s="581"/>
      <c r="W76" s="581"/>
      <c r="X76" s="581"/>
      <c r="Y76" s="581"/>
      <c r="Z76" s="581"/>
      <c r="AA76" s="581"/>
      <c r="AB76" s="581"/>
      <c r="AC76" s="581"/>
    </row>
    <row r="77" spans="1:29">
      <c r="A77" s="591"/>
      <c r="B77" s="591"/>
      <c r="C77" s="815" t="s">
        <v>606</v>
      </c>
      <c r="D77" s="585"/>
      <c r="E77" s="585"/>
      <c r="F77" s="585"/>
      <c r="G77" s="585"/>
      <c r="H77" s="585"/>
      <c r="I77" s="585"/>
      <c r="J77" s="552"/>
      <c r="K77" s="552"/>
      <c r="L77" s="552"/>
      <c r="M77" s="552"/>
      <c r="N77" s="552"/>
      <c r="O77" s="552"/>
      <c r="P77" s="552"/>
      <c r="Q77" s="578"/>
      <c r="R77" s="579">
        <f t="shared" si="22"/>
        <v>1</v>
      </c>
      <c r="S77" s="580">
        <v>1</v>
      </c>
      <c r="T77" s="585"/>
      <c r="U77" s="585"/>
      <c r="V77" s="581"/>
      <c r="W77" s="581"/>
      <c r="X77" s="581"/>
      <c r="Y77" s="581"/>
      <c r="Z77" s="581"/>
      <c r="AA77" s="581"/>
      <c r="AB77" s="581"/>
      <c r="AC77" s="581"/>
    </row>
    <row r="78" spans="1:29">
      <c r="A78" s="591"/>
      <c r="B78" s="591"/>
      <c r="C78" s="904" t="s">
        <v>607</v>
      </c>
      <c r="D78" s="614"/>
      <c r="E78" s="614"/>
      <c r="F78" s="614"/>
      <c r="G78" s="904"/>
      <c r="H78" s="904"/>
      <c r="I78" s="904"/>
      <c r="J78" s="614">
        <f ca="1">O13</f>
        <v>1439</v>
      </c>
      <c r="K78" s="611">
        <v>0</v>
      </c>
      <c r="L78" s="611">
        <v>0</v>
      </c>
      <c r="M78" s="611">
        <v>0</v>
      </c>
      <c r="N78" s="611">
        <v>0</v>
      </c>
      <c r="O78" s="611">
        <v>0</v>
      </c>
      <c r="P78" s="611">
        <v>0</v>
      </c>
      <c r="Q78" s="578"/>
      <c r="R78" s="579">
        <f t="shared" si="22"/>
        <v>1</v>
      </c>
      <c r="S78" s="580">
        <v>1</v>
      </c>
      <c r="T78" s="585"/>
      <c r="U78" s="585"/>
      <c r="V78" s="581"/>
      <c r="W78" s="581"/>
      <c r="X78" s="581"/>
      <c r="Y78" s="581"/>
      <c r="Z78" s="581"/>
      <c r="AA78" s="581"/>
      <c r="AB78" s="581"/>
      <c r="AC78" s="581"/>
    </row>
    <row r="79" spans="1:29">
      <c r="A79" s="591"/>
      <c r="B79" s="591"/>
      <c r="C79" s="585" t="s">
        <v>608</v>
      </c>
      <c r="D79" s="560"/>
      <c r="E79" s="560"/>
      <c r="F79" s="560"/>
      <c r="G79" s="585"/>
      <c r="H79" s="585"/>
      <c r="I79" s="585"/>
      <c r="J79" s="560">
        <f ca="1">O12</f>
        <v>15063</v>
      </c>
      <c r="K79" s="557">
        <v>0</v>
      </c>
      <c r="L79" s="557">
        <v>0</v>
      </c>
      <c r="M79" s="557">
        <v>0</v>
      </c>
      <c r="N79" s="557">
        <v>0</v>
      </c>
      <c r="O79" s="557">
        <v>0</v>
      </c>
      <c r="P79" s="557">
        <v>0</v>
      </c>
      <c r="Q79" s="578"/>
      <c r="R79" s="579">
        <f t="shared" si="22"/>
        <v>1</v>
      </c>
      <c r="S79" s="580">
        <v>1</v>
      </c>
      <c r="T79" s="585"/>
      <c r="U79" s="585"/>
      <c r="V79" s="581"/>
      <c r="W79" s="581"/>
      <c r="X79" s="581"/>
      <c r="Y79" s="581"/>
      <c r="Z79" s="581"/>
      <c r="AA79" s="581"/>
      <c r="AB79" s="581"/>
      <c r="AC79" s="581"/>
    </row>
    <row r="80" spans="1:29">
      <c r="A80" s="591"/>
      <c r="B80" s="591"/>
      <c r="C80" s="585" t="s">
        <v>609</v>
      </c>
      <c r="D80" s="560"/>
      <c r="E80" s="560"/>
      <c r="F80" s="560"/>
      <c r="G80" s="585"/>
      <c r="H80" s="585"/>
      <c r="I80" s="585"/>
      <c r="J80" s="560">
        <f ca="1">O7</f>
        <v>0</v>
      </c>
      <c r="K80" s="557">
        <v>0</v>
      </c>
      <c r="L80" s="557">
        <v>0</v>
      </c>
      <c r="M80" s="557">
        <v>0</v>
      </c>
      <c r="N80" s="557">
        <v>0</v>
      </c>
      <c r="O80" s="557">
        <v>0</v>
      </c>
      <c r="P80" s="557">
        <v>0</v>
      </c>
      <c r="Q80" s="578"/>
      <c r="R80" s="579">
        <f t="shared" si="22"/>
        <v>1</v>
      </c>
      <c r="S80" s="580">
        <v>1</v>
      </c>
      <c r="T80" s="585"/>
      <c r="U80" s="585"/>
      <c r="V80" s="581"/>
      <c r="W80" s="581"/>
      <c r="X80" s="581"/>
      <c r="Y80" s="581"/>
      <c r="Z80" s="581"/>
      <c r="AA80" s="581"/>
      <c r="AB80" s="581"/>
      <c r="AC80" s="581"/>
    </row>
    <row r="81" spans="1:29">
      <c r="A81" s="591"/>
      <c r="B81" s="591"/>
      <c r="C81" s="585" t="s">
        <v>610</v>
      </c>
      <c r="D81" s="560"/>
      <c r="E81" s="560"/>
      <c r="F81" s="560"/>
      <c r="G81" s="585"/>
      <c r="H81" s="585"/>
      <c r="I81" s="585"/>
      <c r="J81" s="560">
        <f ca="1">O8</f>
        <v>0</v>
      </c>
      <c r="K81" s="557">
        <v>0</v>
      </c>
      <c r="L81" s="557">
        <v>0</v>
      </c>
      <c r="M81" s="557">
        <v>0</v>
      </c>
      <c r="N81" s="557">
        <v>0</v>
      </c>
      <c r="O81" s="557">
        <v>0</v>
      </c>
      <c r="P81" s="557">
        <v>0</v>
      </c>
      <c r="Q81" s="578"/>
      <c r="R81" s="579">
        <f t="shared" si="22"/>
        <v>1</v>
      </c>
      <c r="S81" s="580">
        <v>1</v>
      </c>
      <c r="T81" s="585"/>
      <c r="U81" s="585"/>
      <c r="V81" s="581"/>
      <c r="W81" s="581"/>
      <c r="X81" s="581"/>
      <c r="Y81" s="581"/>
      <c r="Z81" s="581"/>
      <c r="AA81" s="581"/>
      <c r="AB81" s="581"/>
      <c r="AC81" s="581"/>
    </row>
    <row r="82" spans="1:29">
      <c r="A82" s="591"/>
      <c r="B82" s="591"/>
      <c r="C82" s="585" t="s">
        <v>611</v>
      </c>
      <c r="D82" s="560"/>
      <c r="E82" s="560"/>
      <c r="F82" s="560"/>
      <c r="G82" s="585"/>
      <c r="H82" s="585"/>
      <c r="I82" s="585"/>
      <c r="J82" s="560">
        <f ca="1">-E14</f>
        <v>-16502</v>
      </c>
      <c r="K82" s="557">
        <v>0</v>
      </c>
      <c r="L82" s="557">
        <v>0</v>
      </c>
      <c r="M82" s="557">
        <v>0</v>
      </c>
      <c r="N82" s="557">
        <v>0</v>
      </c>
      <c r="O82" s="557">
        <v>0</v>
      </c>
      <c r="P82" s="557">
        <v>0</v>
      </c>
      <c r="Q82" s="578"/>
      <c r="R82" s="579">
        <f t="shared" si="22"/>
        <v>1</v>
      </c>
      <c r="S82" s="580">
        <v>1</v>
      </c>
      <c r="T82" s="585"/>
      <c r="U82" s="585"/>
      <c r="V82" s="581"/>
      <c r="W82" s="581"/>
      <c r="X82" s="581"/>
      <c r="Y82" s="581"/>
      <c r="Z82" s="581"/>
      <c r="AA82" s="581"/>
      <c r="AB82" s="581"/>
      <c r="AC82" s="581"/>
    </row>
    <row r="83" spans="1:29" ht="2.5" customHeight="1">
      <c r="A83" s="591"/>
      <c r="B83" s="591"/>
      <c r="C83" s="809"/>
      <c r="D83" s="585"/>
      <c r="E83" s="585"/>
      <c r="F83" s="585"/>
      <c r="G83" s="585"/>
      <c r="H83" s="585"/>
      <c r="I83" s="585"/>
      <c r="J83" s="552"/>
      <c r="K83" s="552"/>
      <c r="L83" s="557">
        <v>0</v>
      </c>
      <c r="M83" s="557">
        <v>0</v>
      </c>
      <c r="N83" s="557">
        <v>0</v>
      </c>
      <c r="O83" s="557">
        <v>0</v>
      </c>
      <c r="P83" s="557">
        <v>0</v>
      </c>
      <c r="Q83" s="578"/>
      <c r="R83" s="579">
        <f t="shared" si="22"/>
        <v>0</v>
      </c>
      <c r="S83" s="580">
        <v>0</v>
      </c>
      <c r="T83" s="585"/>
      <c r="U83" s="585"/>
      <c r="V83" s="581"/>
      <c r="W83" s="581"/>
      <c r="X83" s="581"/>
      <c r="Y83" s="581"/>
      <c r="Z83" s="581"/>
      <c r="AA83" s="581"/>
      <c r="AB83" s="581"/>
      <c r="AC83" s="581"/>
    </row>
    <row r="84" spans="1:29">
      <c r="A84" s="591"/>
      <c r="B84" s="591"/>
      <c r="C84" s="815" t="s">
        <v>612</v>
      </c>
      <c r="D84" s="585"/>
      <c r="E84" s="585"/>
      <c r="F84" s="585"/>
      <c r="G84" s="585"/>
      <c r="H84" s="585"/>
      <c r="I84" s="585"/>
      <c r="J84" s="552"/>
      <c r="K84" s="552"/>
      <c r="L84" s="552"/>
      <c r="M84" s="552"/>
      <c r="N84" s="552"/>
      <c r="O84" s="552"/>
      <c r="P84" s="552"/>
      <c r="Q84" s="578"/>
      <c r="R84" s="579">
        <f t="shared" si="22"/>
        <v>1</v>
      </c>
      <c r="S84" s="580">
        <v>1</v>
      </c>
      <c r="T84" s="585"/>
      <c r="U84" s="585"/>
      <c r="V84" s="581"/>
      <c r="W84" s="581"/>
      <c r="X84" s="581"/>
      <c r="Y84" s="581"/>
      <c r="Z84" s="581"/>
      <c r="AA84" s="581"/>
      <c r="AB84" s="581"/>
      <c r="AC84" s="581"/>
    </row>
    <row r="85" spans="1:29">
      <c r="A85" s="591"/>
      <c r="B85" s="591"/>
      <c r="C85" s="904" t="s">
        <v>613</v>
      </c>
      <c r="D85" s="905"/>
      <c r="E85" s="905"/>
      <c r="F85" s="905"/>
      <c r="G85" s="614"/>
      <c r="H85" s="614"/>
      <c r="I85" s="904"/>
      <c r="J85" s="614">
        <f ca="1">-O12</f>
        <v>-15063</v>
      </c>
      <c r="K85" s="906">
        <v>0</v>
      </c>
      <c r="L85" s="906">
        <v>0</v>
      </c>
      <c r="M85" s="906">
        <v>0</v>
      </c>
      <c r="N85" s="906">
        <v>0</v>
      </c>
      <c r="O85" s="906">
        <v>0</v>
      </c>
      <c r="P85" s="906">
        <v>0</v>
      </c>
      <c r="Q85" s="578"/>
      <c r="R85" s="579">
        <f t="shared" si="22"/>
        <v>1</v>
      </c>
      <c r="S85" s="580">
        <v>1</v>
      </c>
      <c r="T85" s="585"/>
      <c r="U85" s="585"/>
      <c r="V85" s="581"/>
      <c r="W85" s="581"/>
      <c r="X85" s="581"/>
      <c r="Y85" s="581"/>
      <c r="Z85" s="581"/>
      <c r="AA85" s="581"/>
      <c r="AB85" s="581"/>
      <c r="AC85" s="581"/>
    </row>
    <row r="86" spans="1:29">
      <c r="A86" s="591"/>
      <c r="B86" s="591"/>
      <c r="C86" s="585" t="s">
        <v>614</v>
      </c>
      <c r="D86" s="564"/>
      <c r="E86" s="564"/>
      <c r="F86" s="564"/>
      <c r="G86" s="564"/>
      <c r="H86" s="560"/>
      <c r="I86" s="560"/>
      <c r="J86" s="557">
        <f>'LBO - Financials'!G34</f>
        <v>0</v>
      </c>
      <c r="K86" s="557">
        <f ca="1">'LBO - Financials'!H34</f>
        <v>0</v>
      </c>
      <c r="L86" s="557">
        <f ca="1">'LBO - Financials'!I34</f>
        <v>0</v>
      </c>
      <c r="M86" s="557">
        <f ca="1">'LBO - Financials'!J34</f>
        <v>0</v>
      </c>
      <c r="N86" s="557">
        <f ca="1">'LBO - Financials'!K34</f>
        <v>0</v>
      </c>
      <c r="O86" s="557">
        <f ca="1">'LBO - Financials'!L34</f>
        <v>0</v>
      </c>
      <c r="P86" s="557">
        <f ca="1">'LBO - Financials'!M34</f>
        <v>0</v>
      </c>
      <c r="Q86" s="578"/>
      <c r="R86" s="579">
        <f t="shared" si="22"/>
        <v>1</v>
      </c>
      <c r="S86" s="580">
        <v>1</v>
      </c>
      <c r="T86" s="585"/>
      <c r="U86" s="585"/>
      <c r="V86" s="581"/>
      <c r="W86" s="581"/>
      <c r="X86" s="581"/>
      <c r="Y86" s="581"/>
      <c r="Z86" s="581"/>
      <c r="AA86" s="581"/>
      <c r="AB86" s="581"/>
      <c r="AC86" s="581"/>
    </row>
    <row r="87" spans="1:29">
      <c r="A87" s="591"/>
      <c r="B87" s="591"/>
      <c r="C87" s="585" t="s">
        <v>615</v>
      </c>
      <c r="D87" s="564"/>
      <c r="E87" s="564"/>
      <c r="F87" s="564"/>
      <c r="G87" s="564"/>
      <c r="H87" s="560"/>
      <c r="I87" s="560"/>
      <c r="J87" s="557">
        <f>'LBO - Financials'!G36</f>
        <v>0</v>
      </c>
      <c r="K87" s="557">
        <f ca="1">'LBO - Financials'!H36</f>
        <v>0</v>
      </c>
      <c r="L87" s="557">
        <f ca="1">'LBO - Financials'!I36</f>
        <v>0</v>
      </c>
      <c r="M87" s="557">
        <f ca="1">'LBO - Financials'!J36</f>
        <v>0</v>
      </c>
      <c r="N87" s="557">
        <f ca="1">'LBO - Financials'!K36</f>
        <v>0</v>
      </c>
      <c r="O87" s="557">
        <f ca="1">'LBO - Financials'!L36</f>
        <v>0</v>
      </c>
      <c r="P87" s="557">
        <f ca="1">'LBO - Financials'!M36</f>
        <v>0</v>
      </c>
      <c r="Q87" s="578"/>
      <c r="R87" s="579">
        <f t="shared" si="22"/>
        <v>1</v>
      </c>
      <c r="S87" s="580">
        <v>1</v>
      </c>
      <c r="T87" s="585"/>
      <c r="U87" s="585"/>
      <c r="V87" s="581"/>
      <c r="W87" s="581"/>
      <c r="X87" s="581"/>
      <c r="Y87" s="581"/>
      <c r="Z87" s="581"/>
      <c r="AA87" s="581"/>
      <c r="AB87" s="581"/>
      <c r="AC87" s="581"/>
    </row>
    <row r="88" spans="1:29">
      <c r="A88" s="591"/>
      <c r="B88" s="591"/>
      <c r="C88" s="585" t="s">
        <v>616</v>
      </c>
      <c r="D88" s="564"/>
      <c r="E88" s="564"/>
      <c r="F88" s="564"/>
      <c r="G88" s="564"/>
      <c r="H88" s="560"/>
      <c r="I88" s="560"/>
      <c r="J88" s="557">
        <f>'LBO - Financials'!G35</f>
        <v>0</v>
      </c>
      <c r="K88" s="557">
        <f ca="1">'LBO - Financials'!H35</f>
        <v>0</v>
      </c>
      <c r="L88" s="557">
        <f ca="1">'LBO - Financials'!I35</f>
        <v>0</v>
      </c>
      <c r="M88" s="557">
        <f ca="1">'LBO - Financials'!J35</f>
        <v>0</v>
      </c>
      <c r="N88" s="557">
        <f ca="1">'LBO - Financials'!K35</f>
        <v>0</v>
      </c>
      <c r="O88" s="557">
        <f ca="1">'LBO - Financials'!L35</f>
        <v>0</v>
      </c>
      <c r="P88" s="557">
        <f ca="1">'LBO - Financials'!M35</f>
        <v>0</v>
      </c>
      <c r="Q88" s="578"/>
      <c r="R88" s="579">
        <f t="shared" si="22"/>
        <v>1</v>
      </c>
      <c r="S88" s="580">
        <v>1</v>
      </c>
      <c r="T88" s="585"/>
      <c r="U88" s="585"/>
      <c r="V88" s="581"/>
      <c r="W88" s="581"/>
      <c r="X88" s="581"/>
      <c r="Y88" s="581"/>
      <c r="Z88" s="581"/>
      <c r="AA88" s="581"/>
      <c r="AB88" s="581"/>
      <c r="AC88" s="581"/>
    </row>
    <row r="89" spans="1:29">
      <c r="A89" s="591"/>
      <c r="B89" s="591"/>
      <c r="C89" s="557" t="s">
        <v>617</v>
      </c>
      <c r="D89" s="564"/>
      <c r="E89" s="564"/>
      <c r="F89" s="564"/>
      <c r="G89" s="564"/>
      <c r="H89" s="560"/>
      <c r="I89" s="560"/>
      <c r="J89" s="557">
        <f>'LBO - Financials'!G33</f>
        <v>0</v>
      </c>
      <c r="K89" s="557">
        <f ca="1">'LBO - Financials'!H33</f>
        <v>0</v>
      </c>
      <c r="L89" s="557">
        <f ca="1">'LBO - Financials'!I33</f>
        <v>0</v>
      </c>
      <c r="M89" s="557">
        <f ca="1">'LBO - Financials'!J33</f>
        <v>0</v>
      </c>
      <c r="N89" s="557">
        <f ca="1">'LBO - Financials'!K33</f>
        <v>0</v>
      </c>
      <c r="O89" s="557">
        <f ca="1">'LBO - Financials'!L33</f>
        <v>0</v>
      </c>
      <c r="P89" s="557">
        <f ca="1">'LBO - Financials'!M33</f>
        <v>0</v>
      </c>
      <c r="Q89" s="578"/>
      <c r="R89" s="579">
        <f t="shared" si="22"/>
        <v>1</v>
      </c>
      <c r="S89" s="580">
        <v>1</v>
      </c>
      <c r="T89" s="585"/>
      <c r="U89" s="585"/>
      <c r="V89" s="581"/>
      <c r="W89" s="581"/>
      <c r="X89" s="581"/>
      <c r="Y89" s="581"/>
      <c r="Z89" s="581"/>
      <c r="AA89" s="581"/>
      <c r="AB89" s="581"/>
      <c r="AC89" s="581"/>
    </row>
    <row r="90" spans="1:29">
      <c r="A90" s="591"/>
      <c r="B90" s="591"/>
      <c r="C90" s="585" t="s">
        <v>618</v>
      </c>
      <c r="D90" s="564"/>
      <c r="E90" s="564"/>
      <c r="F90" s="564"/>
      <c r="G90" s="560"/>
      <c r="H90" s="560"/>
      <c r="I90" s="560"/>
      <c r="J90" s="557">
        <f t="shared" ref="J90:P90" si="25">J75</f>
        <v>0</v>
      </c>
      <c r="K90" s="557">
        <f t="shared" ca="1" si="25"/>
        <v>4299.432757130895</v>
      </c>
      <c r="L90" s="557">
        <f t="shared" ca="1" si="25"/>
        <v>3717.2377892254958</v>
      </c>
      <c r="M90" s="557">
        <f t="shared" ca="1" si="25"/>
        <v>4051.8664355396654</v>
      </c>
      <c r="N90" s="557">
        <f t="shared" ca="1" si="25"/>
        <v>4272.6808221992633</v>
      </c>
      <c r="O90" s="557">
        <f t="shared" ca="1" si="25"/>
        <v>4612.2106026060756</v>
      </c>
      <c r="P90" s="557">
        <f t="shared" ca="1" si="25"/>
        <v>4768.1608745323356</v>
      </c>
      <c r="Q90" s="578"/>
      <c r="R90" s="579">
        <f t="shared" si="22"/>
        <v>1</v>
      </c>
      <c r="S90" s="580">
        <v>1</v>
      </c>
      <c r="T90" s="585"/>
      <c r="U90" s="585"/>
      <c r="V90" s="581"/>
      <c r="W90" s="581"/>
      <c r="X90" s="581"/>
      <c r="Y90" s="581"/>
      <c r="Z90" s="581"/>
      <c r="AA90" s="581"/>
      <c r="AB90" s="581"/>
      <c r="AC90" s="581"/>
    </row>
    <row r="91" spans="1:29">
      <c r="A91" s="591"/>
      <c r="B91" s="591"/>
      <c r="C91" s="561" t="s">
        <v>619</v>
      </c>
      <c r="D91" s="816">
        <f ca="1">IFERROR('LBO - Financials'!G39,0)</f>
        <v>0.15347721715742568</v>
      </c>
      <c r="E91" s="553"/>
      <c r="F91" s="553"/>
      <c r="G91" s="553"/>
      <c r="H91" s="553"/>
      <c r="I91" s="553">
        <f>SUM(I85:I90)</f>
        <v>0</v>
      </c>
      <c r="J91" s="553">
        <f t="shared" ref="J91:P91" ca="1" si="26">SUM(J75:J90)</f>
        <v>-15063</v>
      </c>
      <c r="K91" s="553">
        <f t="shared" ca="1" si="26"/>
        <v>8598.8655142617899</v>
      </c>
      <c r="L91" s="553">
        <f t="shared" ca="1" si="26"/>
        <v>7434.4755784509916</v>
      </c>
      <c r="M91" s="553">
        <f t="shared" ca="1" si="26"/>
        <v>8103.7328710793308</v>
      </c>
      <c r="N91" s="553">
        <f t="shared" ca="1" si="26"/>
        <v>8545.3616443985266</v>
      </c>
      <c r="O91" s="553">
        <f t="shared" ca="1" si="26"/>
        <v>9224.4212052121511</v>
      </c>
      <c r="P91" s="553">
        <f t="shared" ca="1" si="26"/>
        <v>9536.3217490646712</v>
      </c>
      <c r="Q91" s="578"/>
      <c r="R91" s="579">
        <f t="shared" si="22"/>
        <v>1</v>
      </c>
      <c r="S91" s="580">
        <v>1</v>
      </c>
      <c r="T91" s="585"/>
      <c r="U91" s="585"/>
      <c r="V91" s="581"/>
      <c r="W91" s="581"/>
      <c r="X91" s="581"/>
      <c r="Y91" s="581"/>
      <c r="Z91" s="581"/>
      <c r="AA91" s="581"/>
      <c r="AB91" s="581"/>
      <c r="AC91" s="581"/>
    </row>
    <row r="92" spans="1:29">
      <c r="A92" s="591"/>
      <c r="B92" s="591"/>
      <c r="C92" s="599"/>
      <c r="D92" s="599"/>
      <c r="E92" s="599"/>
      <c r="F92" s="599"/>
      <c r="G92" s="599"/>
      <c r="H92" s="564"/>
      <c r="I92" s="564"/>
      <c r="J92" s="564"/>
      <c r="K92" s="564"/>
      <c r="L92" s="564"/>
      <c r="M92" s="564"/>
      <c r="N92" s="564"/>
      <c r="O92" s="564"/>
      <c r="P92" s="564"/>
      <c r="Q92" s="578"/>
      <c r="R92" s="579">
        <f t="shared" si="22"/>
        <v>0</v>
      </c>
      <c r="S92" s="580">
        <v>0</v>
      </c>
      <c r="T92" s="585"/>
      <c r="U92" s="585"/>
      <c r="V92" s="581"/>
      <c r="W92" s="581"/>
      <c r="X92" s="581"/>
      <c r="Y92" s="581"/>
      <c r="Z92" s="581"/>
      <c r="AA92" s="581"/>
      <c r="AB92" s="581"/>
      <c r="AC92" s="581"/>
    </row>
    <row r="93" spans="1:29">
      <c r="A93" s="600"/>
      <c r="B93" s="600"/>
      <c r="C93" s="601"/>
      <c r="D93" s="602"/>
      <c r="E93" s="601"/>
      <c r="F93" s="601"/>
      <c r="G93" s="601"/>
      <c r="H93" s="601"/>
      <c r="I93" s="601"/>
      <c r="J93" s="601"/>
      <c r="K93" s="601"/>
      <c r="L93" s="601"/>
      <c r="M93" s="601"/>
      <c r="N93" s="601"/>
      <c r="O93" s="601"/>
      <c r="P93" s="601"/>
      <c r="Q93" s="578"/>
      <c r="R93" s="579">
        <f t="shared" si="22"/>
        <v>0</v>
      </c>
      <c r="S93" s="580">
        <v>0</v>
      </c>
      <c r="T93" s="601"/>
      <c r="U93" s="601"/>
      <c r="V93" s="581"/>
      <c r="W93" s="581"/>
      <c r="X93" s="581"/>
      <c r="Y93" s="581"/>
      <c r="Z93" s="581"/>
      <c r="AA93" s="581"/>
      <c r="AB93" s="581"/>
      <c r="AC93" s="581"/>
    </row>
    <row r="94" spans="1:29">
      <c r="A94" s="591"/>
      <c r="B94" s="591"/>
      <c r="C94" s="422" t="s">
        <v>620</v>
      </c>
      <c r="D94" s="422"/>
      <c r="E94" s="470"/>
      <c r="F94" s="470"/>
      <c r="G94" s="470"/>
      <c r="H94" s="470"/>
      <c r="I94" s="470"/>
      <c r="J94" s="470"/>
      <c r="K94" s="470"/>
      <c r="L94" s="470"/>
      <c r="M94" s="470"/>
      <c r="N94" s="470"/>
      <c r="O94" s="470"/>
      <c r="P94" s="470"/>
      <c r="Q94" s="578"/>
      <c r="R94" s="579">
        <f t="shared" si="22"/>
        <v>1</v>
      </c>
      <c r="S94" s="580">
        <v>1</v>
      </c>
      <c r="T94" s="581"/>
      <c r="U94" s="581"/>
      <c r="V94" s="581"/>
      <c r="W94" s="581"/>
      <c r="X94" s="581"/>
      <c r="Y94" s="581"/>
      <c r="Z94" s="581"/>
      <c r="AA94" s="581"/>
      <c r="AB94" s="581"/>
      <c r="AC94" s="581"/>
    </row>
    <row r="95" spans="1:29">
      <c r="A95" s="554"/>
      <c r="B95" s="554"/>
      <c r="C95" s="559"/>
      <c r="D95" s="559"/>
      <c r="E95" s="559"/>
      <c r="F95" s="559"/>
      <c r="G95" s="559"/>
      <c r="H95" s="559"/>
      <c r="I95" s="559"/>
      <c r="J95" s="559"/>
      <c r="K95" s="577" t="s">
        <v>565</v>
      </c>
      <c r="L95" s="577"/>
      <c r="M95" s="577"/>
      <c r="N95" s="577"/>
      <c r="O95" s="577"/>
      <c r="P95" s="577"/>
      <c r="Q95" s="578"/>
      <c r="R95" s="579">
        <f t="shared" si="22"/>
        <v>0</v>
      </c>
      <c r="S95" s="580">
        <v>0</v>
      </c>
      <c r="T95" s="581"/>
      <c r="U95" s="581"/>
      <c r="V95" s="581"/>
      <c r="W95" s="581"/>
      <c r="X95" s="581"/>
      <c r="Y95" s="581"/>
      <c r="Z95" s="581"/>
      <c r="AA95" s="581"/>
      <c r="AB95" s="581"/>
      <c r="AC95" s="581"/>
    </row>
    <row r="96" spans="1:29" ht="16" thickBot="1">
      <c r="A96" s="554"/>
      <c r="B96" s="554"/>
      <c r="C96" s="582" t="str">
        <f>C49</f>
        <v>* All amounts in millions of pounds sterling except per share and multiples</v>
      </c>
      <c r="D96" s="582"/>
      <c r="E96" s="582"/>
      <c r="F96" s="582">
        <f t="shared" ref="F96:P96" si="27">F49</f>
        <v>2019</v>
      </c>
      <c r="G96" s="582">
        <f t="shared" si="27"/>
        <v>2020</v>
      </c>
      <c r="H96" s="582">
        <f t="shared" si="27"/>
        <v>2021</v>
      </c>
      <c r="I96" s="582">
        <f t="shared" si="27"/>
        <v>2022</v>
      </c>
      <c r="J96" s="582">
        <f t="shared" si="27"/>
        <v>2023</v>
      </c>
      <c r="K96" s="583">
        <f t="shared" si="27"/>
        <v>2024</v>
      </c>
      <c r="L96" s="583">
        <f t="shared" si="27"/>
        <v>2025</v>
      </c>
      <c r="M96" s="583">
        <f t="shared" si="27"/>
        <v>2026</v>
      </c>
      <c r="N96" s="583">
        <f t="shared" si="27"/>
        <v>2027</v>
      </c>
      <c r="O96" s="583">
        <f t="shared" si="27"/>
        <v>2028</v>
      </c>
      <c r="P96" s="583">
        <f t="shared" si="27"/>
        <v>2029</v>
      </c>
      <c r="Q96" s="578"/>
      <c r="R96" s="579">
        <f t="shared" si="22"/>
        <v>1</v>
      </c>
      <c r="S96" s="580">
        <v>1</v>
      </c>
      <c r="T96" s="581"/>
      <c r="U96" s="581"/>
      <c r="V96" s="581"/>
      <c r="W96" s="581"/>
      <c r="X96" s="581"/>
      <c r="Y96" s="581"/>
      <c r="Z96" s="581"/>
      <c r="AA96" s="581"/>
      <c r="AB96" s="581"/>
      <c r="AC96" s="581"/>
    </row>
    <row r="97" spans="1:29" ht="5.5" customHeight="1">
      <c r="A97" s="584"/>
      <c r="B97" s="584"/>
      <c r="C97" s="624"/>
      <c r="D97" s="570"/>
      <c r="E97" s="570"/>
      <c r="F97" s="570"/>
      <c r="G97" s="570"/>
      <c r="H97" s="570"/>
      <c r="I97" s="570"/>
      <c r="J97" s="570"/>
      <c r="K97" s="570"/>
      <c r="L97" s="570"/>
      <c r="M97" s="570"/>
      <c r="N97" s="570"/>
      <c r="O97" s="570"/>
      <c r="P97" s="570"/>
      <c r="Q97" s="578"/>
      <c r="R97" s="579">
        <f t="shared" si="22"/>
        <v>0</v>
      </c>
      <c r="S97" s="580">
        <v>0</v>
      </c>
      <c r="T97" s="552"/>
      <c r="U97" s="552"/>
      <c r="V97" s="581"/>
      <c r="W97" s="581"/>
      <c r="X97" s="581"/>
      <c r="Y97" s="581"/>
      <c r="Z97" s="581"/>
      <c r="AA97" s="581"/>
      <c r="AB97" s="581"/>
      <c r="AC97" s="581"/>
    </row>
    <row r="98" spans="1:29">
      <c r="A98" s="585"/>
      <c r="B98" s="585"/>
      <c r="C98" s="599" t="s">
        <v>621</v>
      </c>
      <c r="D98" s="585"/>
      <c r="E98" s="585"/>
      <c r="F98" s="585"/>
      <c r="G98" s="585"/>
      <c r="H98" s="585"/>
      <c r="I98" s="585"/>
      <c r="J98" s="552"/>
      <c r="K98" s="552"/>
      <c r="L98" s="552"/>
      <c r="M98" s="552"/>
      <c r="N98" s="552"/>
      <c r="O98" s="552"/>
      <c r="P98" s="552"/>
      <c r="Q98" s="578"/>
      <c r="R98" s="579">
        <f t="shared" si="22"/>
        <v>1</v>
      </c>
      <c r="S98" s="580">
        <v>1</v>
      </c>
      <c r="T98" s="585"/>
      <c r="U98" s="585"/>
      <c r="V98" s="581"/>
      <c r="W98" s="581"/>
      <c r="X98" s="581"/>
      <c r="Y98" s="581"/>
      <c r="Z98" s="581"/>
      <c r="AA98" s="581"/>
      <c r="AB98" s="581"/>
      <c r="AC98" s="581"/>
    </row>
    <row r="99" spans="1:29">
      <c r="A99" s="585"/>
      <c r="B99" s="585"/>
      <c r="C99" s="585" t="s">
        <v>622</v>
      </c>
      <c r="D99" s="585"/>
      <c r="E99" s="585"/>
      <c r="F99" s="585"/>
      <c r="G99" s="585"/>
      <c r="H99" s="585"/>
      <c r="I99" s="585"/>
      <c r="J99" s="557">
        <f>'LBO - Financials'!G101</f>
        <v>0</v>
      </c>
      <c r="K99" s="557">
        <f ca="1">'LBO - Financials'!H101</f>
        <v>0</v>
      </c>
      <c r="L99" s="557">
        <f ca="1">'LBO - Financials'!I101</f>
        <v>0</v>
      </c>
      <c r="M99" s="557">
        <f ca="1">'LBO - Financials'!J101</f>
        <v>0</v>
      </c>
      <c r="N99" s="557">
        <f ca="1">'LBO - Financials'!K101</f>
        <v>0</v>
      </c>
      <c r="O99" s="557">
        <f ca="1">'LBO - Financials'!L101</f>
        <v>0</v>
      </c>
      <c r="P99" s="557">
        <f ca="1">'LBO - Financials'!M101</f>
        <v>0</v>
      </c>
      <c r="Q99" s="578"/>
      <c r="R99" s="579">
        <f t="shared" si="22"/>
        <v>1</v>
      </c>
      <c r="S99" s="580">
        <v>1</v>
      </c>
      <c r="T99" s="585"/>
      <c r="U99" s="585"/>
      <c r="V99" s="581"/>
      <c r="W99" s="581"/>
      <c r="X99" s="581"/>
      <c r="Y99" s="581"/>
      <c r="Z99" s="581"/>
      <c r="AA99" s="581"/>
      <c r="AB99" s="581"/>
      <c r="AC99" s="581"/>
    </row>
    <row r="100" spans="1:29">
      <c r="A100" s="585"/>
      <c r="B100" s="585"/>
      <c r="C100" s="585" t="s">
        <v>359</v>
      </c>
      <c r="D100" s="585"/>
      <c r="E100" s="585"/>
      <c r="F100" s="585"/>
      <c r="G100" s="585"/>
      <c r="H100" s="585"/>
      <c r="I100" s="585"/>
      <c r="J100" s="557">
        <f>'LBO - Financials'!G102</f>
        <v>0</v>
      </c>
      <c r="K100" s="557">
        <f ca="1">'LBO - Financials'!H102</f>
        <v>0</v>
      </c>
      <c r="L100" s="557">
        <f ca="1">'LBO - Financials'!I102</f>
        <v>0</v>
      </c>
      <c r="M100" s="557">
        <f ca="1">'LBO - Financials'!J102</f>
        <v>0</v>
      </c>
      <c r="N100" s="557">
        <f ca="1">'LBO - Financials'!K102</f>
        <v>0</v>
      </c>
      <c r="O100" s="557">
        <f ca="1">'LBO - Financials'!L102</f>
        <v>0</v>
      </c>
      <c r="P100" s="557">
        <f ca="1">'LBO - Financials'!M102</f>
        <v>0</v>
      </c>
      <c r="Q100" s="578"/>
      <c r="R100" s="579">
        <f t="shared" si="22"/>
        <v>1</v>
      </c>
      <c r="S100" s="580">
        <v>1</v>
      </c>
      <c r="T100" s="585"/>
      <c r="U100" s="585"/>
      <c r="V100" s="581"/>
      <c r="W100" s="581"/>
      <c r="X100" s="581"/>
      <c r="Y100" s="581"/>
      <c r="Z100" s="581"/>
      <c r="AA100" s="581"/>
      <c r="AB100" s="581"/>
      <c r="AC100" s="581"/>
    </row>
    <row r="101" spans="1:29">
      <c r="A101" s="585"/>
      <c r="B101" s="585"/>
      <c r="C101" s="586" t="s">
        <v>623</v>
      </c>
      <c r="D101" s="586"/>
      <c r="E101" s="586"/>
      <c r="F101" s="586"/>
      <c r="G101" s="586"/>
      <c r="H101" s="586"/>
      <c r="I101" s="586"/>
      <c r="J101" s="587">
        <f ca="1">'LBO - Financials'!G103</f>
        <v>0</v>
      </c>
      <c r="K101" s="587">
        <f ca="1">'LBO - Financials'!H103</f>
        <v>0</v>
      </c>
      <c r="L101" s="587">
        <f ca="1">'LBO - Financials'!I103</f>
        <v>0</v>
      </c>
      <c r="M101" s="587">
        <f ca="1">'LBO - Financials'!J103</f>
        <v>0</v>
      </c>
      <c r="N101" s="587">
        <f ca="1">'LBO - Financials'!K103</f>
        <v>0</v>
      </c>
      <c r="O101" s="587">
        <f ca="1">'LBO - Financials'!L103</f>
        <v>0</v>
      </c>
      <c r="P101" s="587">
        <f ca="1">'LBO - Financials'!M103</f>
        <v>0</v>
      </c>
      <c r="Q101" s="578"/>
      <c r="R101" s="579">
        <f t="shared" si="22"/>
        <v>1</v>
      </c>
      <c r="S101" s="580">
        <v>1</v>
      </c>
      <c r="T101" s="585"/>
      <c r="U101" s="585"/>
      <c r="V101" s="581"/>
      <c r="W101" s="581"/>
      <c r="X101" s="581"/>
      <c r="Y101" s="581"/>
      <c r="Z101" s="581"/>
      <c r="AA101" s="581"/>
      <c r="AB101" s="581"/>
      <c r="AC101" s="581"/>
    </row>
    <row r="102" spans="1:29">
      <c r="A102" s="585"/>
      <c r="B102" s="585"/>
      <c r="C102" s="585" t="s">
        <v>624</v>
      </c>
      <c r="D102" s="585"/>
      <c r="E102" s="585"/>
      <c r="F102" s="585"/>
      <c r="G102" s="585"/>
      <c r="H102" s="585"/>
      <c r="I102" s="585"/>
      <c r="J102" s="557">
        <f>'LBO - Financials'!G$132</f>
        <v>0</v>
      </c>
      <c r="K102" s="557">
        <f ca="1">'LBO - Financials'!H$132</f>
        <v>0</v>
      </c>
      <c r="L102" s="557">
        <f ca="1">'LBO - Financials'!I$132</f>
        <v>0</v>
      </c>
      <c r="M102" s="557">
        <f ca="1">'LBO - Financials'!J$132</f>
        <v>0</v>
      </c>
      <c r="N102" s="557">
        <f ca="1">'LBO - Financials'!K$132</f>
        <v>0</v>
      </c>
      <c r="O102" s="557">
        <f ca="1">'LBO - Financials'!L$132</f>
        <v>0</v>
      </c>
      <c r="P102" s="557">
        <f ca="1">'LBO - Financials'!M$132</f>
        <v>0</v>
      </c>
      <c r="Q102" s="578"/>
      <c r="R102" s="579">
        <f t="shared" si="22"/>
        <v>1</v>
      </c>
      <c r="S102" s="580">
        <v>1</v>
      </c>
      <c r="T102" s="585"/>
      <c r="U102" s="585"/>
      <c r="V102" s="581"/>
      <c r="W102" s="581"/>
      <c r="X102" s="581"/>
      <c r="Y102" s="581"/>
      <c r="Z102" s="581"/>
      <c r="AA102" s="581"/>
      <c r="AB102" s="581"/>
      <c r="AC102" s="581"/>
    </row>
    <row r="103" spans="1:29" ht="5.5" customHeight="1">
      <c r="A103" s="585"/>
      <c r="B103" s="585"/>
      <c r="C103" s="585"/>
      <c r="D103" s="585"/>
      <c r="E103" s="585"/>
      <c r="F103" s="585"/>
      <c r="G103" s="585"/>
      <c r="H103" s="585"/>
      <c r="I103" s="585"/>
      <c r="J103" s="552"/>
      <c r="K103" s="552"/>
      <c r="L103" s="552"/>
      <c r="M103" s="552"/>
      <c r="N103" s="552"/>
      <c r="O103" s="552"/>
      <c r="P103" s="552"/>
      <c r="Q103" s="578"/>
      <c r="R103" s="579">
        <f t="shared" si="22"/>
        <v>0</v>
      </c>
      <c r="S103" s="580">
        <v>0</v>
      </c>
      <c r="T103" s="585"/>
      <c r="U103" s="585"/>
      <c r="V103" s="581"/>
      <c r="W103" s="581"/>
      <c r="X103" s="581"/>
      <c r="Y103" s="581"/>
      <c r="Z103" s="581"/>
      <c r="AA103" s="581"/>
      <c r="AB103" s="581"/>
      <c r="AC103" s="581"/>
    </row>
    <row r="104" spans="1:29">
      <c r="A104" s="585"/>
      <c r="B104" s="585"/>
      <c r="C104" s="599" t="s">
        <v>625</v>
      </c>
      <c r="D104" s="585"/>
      <c r="E104" s="585"/>
      <c r="F104" s="585"/>
      <c r="G104" s="585"/>
      <c r="H104" s="585"/>
      <c r="I104" s="585"/>
      <c r="J104" s="552"/>
      <c r="K104" s="552"/>
      <c r="L104" s="552"/>
      <c r="M104" s="552"/>
      <c r="N104" s="552"/>
      <c r="O104" s="552"/>
      <c r="P104" s="552"/>
      <c r="Q104" s="578"/>
      <c r="R104" s="579">
        <f t="shared" si="22"/>
        <v>1</v>
      </c>
      <c r="S104" s="580">
        <v>1</v>
      </c>
      <c r="T104" s="585"/>
      <c r="U104" s="585"/>
      <c r="V104" s="581"/>
      <c r="W104" s="581"/>
      <c r="X104" s="581"/>
      <c r="Y104" s="581"/>
      <c r="Z104" s="581"/>
      <c r="AA104" s="581"/>
      <c r="AB104" s="581"/>
      <c r="AC104" s="581"/>
    </row>
    <row r="105" spans="1:29">
      <c r="A105" s="585"/>
      <c r="B105" s="585"/>
      <c r="C105" s="585" t="s">
        <v>622</v>
      </c>
      <c r="D105" s="585"/>
      <c r="E105" s="585"/>
      <c r="F105" s="585"/>
      <c r="G105" s="585"/>
      <c r="H105" s="585"/>
      <c r="I105" s="585"/>
      <c r="J105" s="557">
        <f>'LBO - Financials'!G96</f>
        <v>0</v>
      </c>
      <c r="K105" s="557">
        <f ca="1">'LBO - Financials'!H96</f>
        <v>0</v>
      </c>
      <c r="L105" s="557">
        <f ca="1">'LBO - Financials'!I96</f>
        <v>0</v>
      </c>
      <c r="M105" s="557">
        <f ca="1">'LBO - Financials'!J96</f>
        <v>0</v>
      </c>
      <c r="N105" s="557">
        <f ca="1">'LBO - Financials'!K96</f>
        <v>0</v>
      </c>
      <c r="O105" s="557">
        <f ca="1">'LBO - Financials'!L96</f>
        <v>0</v>
      </c>
      <c r="P105" s="557">
        <f ca="1">'LBO - Financials'!M96</f>
        <v>0</v>
      </c>
      <c r="Q105" s="578"/>
      <c r="R105" s="579">
        <f t="shared" si="22"/>
        <v>1</v>
      </c>
      <c r="S105" s="580">
        <v>1</v>
      </c>
      <c r="T105" s="585"/>
      <c r="U105" s="585"/>
      <c r="V105" s="581"/>
      <c r="W105" s="581"/>
      <c r="X105" s="581"/>
      <c r="Y105" s="581"/>
      <c r="Z105" s="581"/>
      <c r="AA105" s="581"/>
      <c r="AB105" s="581"/>
      <c r="AC105" s="581"/>
    </row>
    <row r="106" spans="1:29">
      <c r="A106" s="585"/>
      <c r="B106" s="585"/>
      <c r="C106" s="585" t="s">
        <v>359</v>
      </c>
      <c r="D106" s="585"/>
      <c r="E106" s="585"/>
      <c r="F106" s="585"/>
      <c r="G106" s="585"/>
      <c r="H106" s="585"/>
      <c r="I106" s="585"/>
      <c r="J106" s="557">
        <f>'LBO - Financials'!G97</f>
        <v>0</v>
      </c>
      <c r="K106" s="557">
        <f ca="1">'LBO - Financials'!H97</f>
        <v>0</v>
      </c>
      <c r="L106" s="557">
        <f ca="1">'LBO - Financials'!I97</f>
        <v>0</v>
      </c>
      <c r="M106" s="557">
        <f ca="1">'LBO - Financials'!J97</f>
        <v>0</v>
      </c>
      <c r="N106" s="557">
        <f ca="1">'LBO - Financials'!K97</f>
        <v>0</v>
      </c>
      <c r="O106" s="557">
        <f ca="1">'LBO - Financials'!L97</f>
        <v>0</v>
      </c>
      <c r="P106" s="557">
        <f ca="1">'LBO - Financials'!M97</f>
        <v>0</v>
      </c>
      <c r="Q106" s="578"/>
      <c r="R106" s="579">
        <f t="shared" si="22"/>
        <v>1</v>
      </c>
      <c r="S106" s="580">
        <v>1</v>
      </c>
      <c r="T106" s="585"/>
      <c r="U106" s="585"/>
      <c r="V106" s="581"/>
      <c r="W106" s="581"/>
      <c r="X106" s="581"/>
      <c r="Y106" s="581"/>
      <c r="Z106" s="581"/>
      <c r="AA106" s="581"/>
      <c r="AB106" s="581"/>
      <c r="AC106" s="581"/>
    </row>
    <row r="107" spans="1:29">
      <c r="A107" s="585"/>
      <c r="B107" s="585"/>
      <c r="C107" s="588" t="s">
        <v>626</v>
      </c>
      <c r="D107" s="588"/>
      <c r="E107" s="588"/>
      <c r="F107" s="588"/>
      <c r="G107" s="588"/>
      <c r="H107" s="588"/>
      <c r="I107" s="588"/>
      <c r="J107" s="587">
        <f ca="1">'LBO - Financials'!G98</f>
        <v>0</v>
      </c>
      <c r="K107" s="587">
        <f ca="1">'LBO - Financials'!H98</f>
        <v>0</v>
      </c>
      <c r="L107" s="587">
        <f ca="1">'LBO - Financials'!I98</f>
        <v>0</v>
      </c>
      <c r="M107" s="587">
        <f ca="1">'LBO - Financials'!J98</f>
        <v>0</v>
      </c>
      <c r="N107" s="587">
        <f ca="1">'LBO - Financials'!K98</f>
        <v>0</v>
      </c>
      <c r="O107" s="587">
        <f ca="1">'LBO - Financials'!L98</f>
        <v>0</v>
      </c>
      <c r="P107" s="587">
        <f ca="1">'LBO - Financials'!M98</f>
        <v>0</v>
      </c>
      <c r="Q107" s="578"/>
      <c r="R107" s="579">
        <f t="shared" si="22"/>
        <v>1</v>
      </c>
      <c r="S107" s="580">
        <v>1</v>
      </c>
      <c r="T107" s="585"/>
      <c r="U107" s="585"/>
      <c r="V107" s="581"/>
      <c r="W107" s="581"/>
      <c r="X107" s="581"/>
      <c r="Y107" s="581"/>
      <c r="Z107" s="581"/>
      <c r="AA107" s="581"/>
      <c r="AB107" s="581"/>
      <c r="AC107" s="581"/>
    </row>
    <row r="108" spans="1:29">
      <c r="A108" s="585"/>
      <c r="B108" s="585"/>
      <c r="C108" s="585" t="s">
        <v>627</v>
      </c>
      <c r="D108" s="585"/>
      <c r="E108" s="585"/>
      <c r="F108" s="585"/>
      <c r="G108" s="585"/>
      <c r="H108" s="585"/>
      <c r="I108" s="585"/>
      <c r="J108" s="557">
        <f>'LBO - Financials'!G133</f>
        <v>0</v>
      </c>
      <c r="K108" s="557">
        <f ca="1">'LBO - Financials'!H133</f>
        <v>0</v>
      </c>
      <c r="L108" s="557">
        <f ca="1">'LBO - Financials'!I133</f>
        <v>0</v>
      </c>
      <c r="M108" s="557">
        <f ca="1">'LBO - Financials'!J133</f>
        <v>0</v>
      </c>
      <c r="N108" s="557">
        <f ca="1">'LBO - Financials'!K133</f>
        <v>0</v>
      </c>
      <c r="O108" s="557">
        <f ca="1">'LBO - Financials'!L133</f>
        <v>0</v>
      </c>
      <c r="P108" s="557">
        <f ca="1">'LBO - Financials'!M133</f>
        <v>0</v>
      </c>
      <c r="Q108" s="578"/>
      <c r="R108" s="579">
        <f t="shared" si="22"/>
        <v>1</v>
      </c>
      <c r="S108" s="580">
        <v>1</v>
      </c>
      <c r="T108" s="585"/>
      <c r="U108" s="585"/>
      <c r="V108" s="581"/>
      <c r="W108" s="581"/>
      <c r="X108" s="581"/>
      <c r="Y108" s="581"/>
      <c r="Z108" s="581"/>
      <c r="AA108" s="581"/>
      <c r="AB108" s="581"/>
      <c r="AC108" s="581"/>
    </row>
    <row r="109" spans="1:29" ht="5.5" customHeight="1">
      <c r="A109" s="585"/>
      <c r="B109" s="585"/>
      <c r="C109" s="585"/>
      <c r="D109" s="585"/>
      <c r="E109" s="585"/>
      <c r="F109" s="585"/>
      <c r="G109" s="585"/>
      <c r="H109" s="585"/>
      <c r="I109" s="585"/>
      <c r="J109" s="552"/>
      <c r="K109" s="552"/>
      <c r="L109" s="552"/>
      <c r="M109" s="552"/>
      <c r="N109" s="552"/>
      <c r="O109" s="552"/>
      <c r="P109" s="552"/>
      <c r="Q109" s="578"/>
      <c r="R109" s="579">
        <f t="shared" si="22"/>
        <v>0</v>
      </c>
      <c r="S109" s="580">
        <v>0</v>
      </c>
      <c r="T109" s="585"/>
      <c r="U109" s="585"/>
      <c r="V109" s="581"/>
      <c r="W109" s="581"/>
      <c r="X109" s="581"/>
      <c r="Y109" s="581"/>
      <c r="Z109" s="581"/>
      <c r="AA109" s="581"/>
      <c r="AB109" s="581"/>
      <c r="AC109" s="581"/>
    </row>
    <row r="110" spans="1:29">
      <c r="A110" s="585"/>
      <c r="B110" s="585"/>
      <c r="C110" s="599" t="s">
        <v>557</v>
      </c>
      <c r="D110" s="585"/>
      <c r="E110" s="585"/>
      <c r="F110" s="585"/>
      <c r="G110" s="585"/>
      <c r="H110" s="585"/>
      <c r="I110" s="585"/>
      <c r="J110" s="552"/>
      <c r="K110" s="552"/>
      <c r="L110" s="552"/>
      <c r="M110" s="552"/>
      <c r="N110" s="552"/>
      <c r="O110" s="552"/>
      <c r="P110" s="552"/>
      <c r="Q110" s="578"/>
      <c r="R110" s="579">
        <f t="shared" si="22"/>
        <v>1</v>
      </c>
      <c r="S110" s="580">
        <v>1</v>
      </c>
      <c r="T110" s="585"/>
      <c r="U110" s="585"/>
      <c r="V110" s="581"/>
      <c r="W110" s="581"/>
      <c r="X110" s="581"/>
      <c r="Y110" s="581"/>
      <c r="Z110" s="581"/>
      <c r="AA110" s="581"/>
      <c r="AB110" s="581"/>
      <c r="AC110" s="581"/>
    </row>
    <row r="111" spans="1:29">
      <c r="A111" s="585"/>
      <c r="B111" s="585"/>
      <c r="C111" s="585" t="s">
        <v>622</v>
      </c>
      <c r="D111" s="585"/>
      <c r="E111" s="585"/>
      <c r="F111" s="585"/>
      <c r="G111" s="585"/>
      <c r="H111" s="585"/>
      <c r="I111" s="560"/>
      <c r="J111" s="557">
        <f>'LBO - Financials'!G106</f>
        <v>0</v>
      </c>
      <c r="K111" s="557">
        <f ca="1">'LBO - Financials'!H106</f>
        <v>0</v>
      </c>
      <c r="L111" s="557">
        <f ca="1">'LBO - Financials'!I106</f>
        <v>0</v>
      </c>
      <c r="M111" s="557">
        <f ca="1">'LBO - Financials'!J106</f>
        <v>0</v>
      </c>
      <c r="N111" s="557">
        <f ca="1">'LBO - Financials'!K106</f>
        <v>0</v>
      </c>
      <c r="O111" s="557">
        <f ca="1">'LBO - Financials'!L106</f>
        <v>0</v>
      </c>
      <c r="P111" s="557">
        <f ca="1">'LBO - Financials'!M106</f>
        <v>0</v>
      </c>
      <c r="Q111" s="578"/>
      <c r="R111" s="579">
        <f t="shared" si="22"/>
        <v>1</v>
      </c>
      <c r="S111" s="580">
        <v>1</v>
      </c>
      <c r="T111" s="585"/>
      <c r="U111" s="585"/>
      <c r="V111" s="581"/>
      <c r="W111" s="581"/>
      <c r="X111" s="581"/>
      <c r="Y111" s="581"/>
      <c r="Z111" s="581"/>
      <c r="AA111" s="581"/>
      <c r="AB111" s="581"/>
      <c r="AC111" s="581"/>
    </row>
    <row r="112" spans="1:29">
      <c r="A112" s="585"/>
      <c r="B112" s="585"/>
      <c r="C112" s="585" t="s">
        <v>359</v>
      </c>
      <c r="D112" s="585"/>
      <c r="E112" s="585"/>
      <c r="F112" s="585"/>
      <c r="G112" s="585"/>
      <c r="H112" s="585"/>
      <c r="I112" s="560"/>
      <c r="J112" s="557">
        <f>'LBO - Financials'!G107</f>
        <v>0</v>
      </c>
      <c r="K112" s="557">
        <f ca="1">'LBO - Financials'!H107</f>
        <v>0</v>
      </c>
      <c r="L112" s="557">
        <f ca="1">'LBO - Financials'!I107</f>
        <v>0</v>
      </c>
      <c r="M112" s="557">
        <f ca="1">'LBO - Financials'!J107</f>
        <v>0</v>
      </c>
      <c r="N112" s="557">
        <f ca="1">'LBO - Financials'!K107</f>
        <v>0</v>
      </c>
      <c r="O112" s="557">
        <f ca="1">'LBO - Financials'!L107</f>
        <v>0</v>
      </c>
      <c r="P112" s="557">
        <f ca="1">'LBO - Financials'!M107</f>
        <v>0</v>
      </c>
      <c r="Q112" s="578"/>
      <c r="R112" s="579">
        <f t="shared" si="22"/>
        <v>1</v>
      </c>
      <c r="S112" s="580">
        <v>1</v>
      </c>
      <c r="T112" s="585"/>
      <c r="U112" s="585"/>
      <c r="V112" s="581"/>
      <c r="W112" s="581"/>
      <c r="X112" s="581"/>
      <c r="Y112" s="581"/>
      <c r="Z112" s="581"/>
      <c r="AA112" s="581"/>
      <c r="AB112" s="581"/>
      <c r="AC112" s="581"/>
    </row>
    <row r="113" spans="1:29">
      <c r="A113" s="585"/>
      <c r="B113" s="585"/>
      <c r="C113" s="588" t="s">
        <v>628</v>
      </c>
      <c r="D113" s="588"/>
      <c r="E113" s="588"/>
      <c r="F113" s="588"/>
      <c r="G113" s="588"/>
      <c r="H113" s="588"/>
      <c r="I113" s="589"/>
      <c r="J113" s="587">
        <f ca="1">'LBO - Financials'!G108</f>
        <v>0</v>
      </c>
      <c r="K113" s="587">
        <f ca="1">'LBO - Financials'!H108</f>
        <v>0</v>
      </c>
      <c r="L113" s="587">
        <f ca="1">'LBO - Financials'!I108</f>
        <v>0</v>
      </c>
      <c r="M113" s="587">
        <f ca="1">'LBO - Financials'!J108</f>
        <v>0</v>
      </c>
      <c r="N113" s="587">
        <f ca="1">'LBO - Financials'!K108</f>
        <v>0</v>
      </c>
      <c r="O113" s="587">
        <f ca="1">'LBO - Financials'!L108</f>
        <v>0</v>
      </c>
      <c r="P113" s="587">
        <f ca="1">'LBO - Financials'!M108</f>
        <v>0</v>
      </c>
      <c r="Q113" s="578"/>
      <c r="R113" s="579">
        <f t="shared" si="22"/>
        <v>1</v>
      </c>
      <c r="S113" s="580">
        <v>1</v>
      </c>
      <c r="T113" s="585"/>
      <c r="U113" s="585"/>
      <c r="V113" s="581"/>
      <c r="W113" s="581"/>
      <c r="X113" s="581"/>
      <c r="Y113" s="581"/>
      <c r="Z113" s="581"/>
      <c r="AA113" s="581"/>
      <c r="AB113" s="581"/>
      <c r="AC113" s="581"/>
    </row>
    <row r="114" spans="1:29">
      <c r="A114" s="585"/>
      <c r="B114" s="585"/>
      <c r="C114" s="585" t="s">
        <v>629</v>
      </c>
      <c r="D114" s="585"/>
      <c r="E114" s="585"/>
      <c r="F114" s="585"/>
      <c r="G114" s="585"/>
      <c r="H114" s="585"/>
      <c r="I114" s="585"/>
      <c r="J114" s="557">
        <f>'LBO - Financials'!G134</f>
        <v>0</v>
      </c>
      <c r="K114" s="557">
        <f ca="1">'LBO - Financials'!H134</f>
        <v>0</v>
      </c>
      <c r="L114" s="557">
        <f ca="1">'LBO - Financials'!I134</f>
        <v>0</v>
      </c>
      <c r="M114" s="557">
        <f ca="1">'LBO - Financials'!J134</f>
        <v>0</v>
      </c>
      <c r="N114" s="557">
        <f ca="1">'LBO - Financials'!K134</f>
        <v>0</v>
      </c>
      <c r="O114" s="557">
        <f ca="1">'LBO - Financials'!L134</f>
        <v>0</v>
      </c>
      <c r="P114" s="557">
        <f ca="1">'LBO - Financials'!M134</f>
        <v>0</v>
      </c>
      <c r="Q114" s="578"/>
      <c r="R114" s="579">
        <f t="shared" si="22"/>
        <v>1</v>
      </c>
      <c r="S114" s="580">
        <v>1</v>
      </c>
      <c r="T114" s="585"/>
      <c r="U114" s="585"/>
      <c r="V114" s="581"/>
      <c r="W114" s="581"/>
      <c r="X114" s="581"/>
      <c r="Y114" s="581"/>
      <c r="Z114" s="581"/>
      <c r="AA114" s="581"/>
      <c r="AB114" s="581"/>
      <c r="AC114" s="581"/>
    </row>
    <row r="115" spans="1:29" ht="3.75" customHeight="1">
      <c r="A115" s="585"/>
      <c r="B115" s="585"/>
      <c r="C115" s="585"/>
      <c r="D115" s="585"/>
      <c r="E115" s="585"/>
      <c r="F115" s="585"/>
      <c r="G115" s="585"/>
      <c r="H115" s="585"/>
      <c r="I115" s="585"/>
      <c r="J115" s="557"/>
      <c r="K115" s="557"/>
      <c r="L115" s="557"/>
      <c r="M115" s="557"/>
      <c r="N115" s="557"/>
      <c r="O115" s="557"/>
      <c r="P115" s="557"/>
      <c r="Q115" s="578"/>
      <c r="R115" s="579">
        <f t="shared" si="22"/>
        <v>0</v>
      </c>
      <c r="S115" s="580">
        <v>0</v>
      </c>
      <c r="T115" s="585"/>
      <c r="U115" s="585"/>
      <c r="V115" s="581"/>
      <c r="W115" s="581"/>
      <c r="X115" s="581"/>
      <c r="Y115" s="581"/>
      <c r="Z115" s="581"/>
      <c r="AA115" s="581"/>
      <c r="AB115" s="581"/>
      <c r="AC115" s="581"/>
    </row>
    <row r="116" spans="1:29">
      <c r="A116" s="585"/>
      <c r="B116" s="585"/>
      <c r="C116" s="599" t="s">
        <v>630</v>
      </c>
      <c r="D116" s="585"/>
      <c r="E116" s="585"/>
      <c r="F116" s="585"/>
      <c r="G116" s="585"/>
      <c r="H116" s="585"/>
      <c r="I116" s="585"/>
      <c r="J116" s="552"/>
      <c r="K116" s="552"/>
      <c r="L116" s="552"/>
      <c r="M116" s="552"/>
      <c r="N116" s="552"/>
      <c r="O116" s="552"/>
      <c r="P116" s="552"/>
      <c r="Q116" s="578"/>
      <c r="R116" s="579">
        <f t="shared" si="22"/>
        <v>1</v>
      </c>
      <c r="S116" s="580">
        <v>1</v>
      </c>
      <c r="T116" s="585"/>
      <c r="U116" s="585"/>
      <c r="V116" s="581"/>
      <c r="W116" s="581"/>
      <c r="X116" s="581"/>
      <c r="Y116" s="581"/>
      <c r="Z116" s="581"/>
      <c r="AA116" s="581"/>
      <c r="AB116" s="581"/>
      <c r="AC116" s="581"/>
    </row>
    <row r="117" spans="1:29">
      <c r="A117" s="585"/>
      <c r="B117" s="585"/>
      <c r="C117" s="585" t="s">
        <v>622</v>
      </c>
      <c r="D117" s="585"/>
      <c r="E117" s="585"/>
      <c r="F117" s="585"/>
      <c r="G117" s="585"/>
      <c r="H117" s="585"/>
      <c r="I117" s="560"/>
      <c r="J117" s="557">
        <f>'LBO - Financials'!G111</f>
        <v>0</v>
      </c>
      <c r="K117" s="557">
        <f ca="1">'LBO - Financials'!H111</f>
        <v>0</v>
      </c>
      <c r="L117" s="557">
        <f ca="1">'LBO - Financials'!I111</f>
        <v>0</v>
      </c>
      <c r="M117" s="557">
        <f ca="1">'LBO - Financials'!J111</f>
        <v>0</v>
      </c>
      <c r="N117" s="557">
        <f ca="1">'LBO - Financials'!K111</f>
        <v>0</v>
      </c>
      <c r="O117" s="557">
        <f ca="1">'LBO - Financials'!L111</f>
        <v>0</v>
      </c>
      <c r="P117" s="557">
        <f ca="1">'LBO - Financials'!M111</f>
        <v>0</v>
      </c>
      <c r="Q117" s="578"/>
      <c r="R117" s="579">
        <f t="shared" si="22"/>
        <v>1</v>
      </c>
      <c r="S117" s="580">
        <v>1</v>
      </c>
      <c r="T117" s="585"/>
      <c r="U117" s="585"/>
      <c r="V117" s="581"/>
      <c r="W117" s="581"/>
      <c r="X117" s="581"/>
      <c r="Y117" s="581"/>
      <c r="Z117" s="581"/>
      <c r="AA117" s="581"/>
      <c r="AB117" s="581"/>
      <c r="AC117" s="581"/>
    </row>
    <row r="118" spans="1:29">
      <c r="A118" s="585"/>
      <c r="B118" s="585"/>
      <c r="C118" s="585" t="s">
        <v>359</v>
      </c>
      <c r="D118" s="585"/>
      <c r="E118" s="585"/>
      <c r="F118" s="585"/>
      <c r="G118" s="585"/>
      <c r="H118" s="585"/>
      <c r="I118" s="590"/>
      <c r="J118" s="557">
        <f>'LBO - Financials'!G112</f>
        <v>0</v>
      </c>
      <c r="K118" s="557">
        <f ca="1">'LBO - Financials'!H112</f>
        <v>0</v>
      </c>
      <c r="L118" s="557">
        <f ca="1">'LBO - Financials'!I112</f>
        <v>0</v>
      </c>
      <c r="M118" s="557">
        <f ca="1">'LBO - Financials'!J112</f>
        <v>0</v>
      </c>
      <c r="N118" s="557">
        <f ca="1">'LBO - Financials'!K112</f>
        <v>0</v>
      </c>
      <c r="O118" s="557">
        <f ca="1">'LBO - Financials'!L112</f>
        <v>0</v>
      </c>
      <c r="P118" s="557">
        <f ca="1">'LBO - Financials'!M112</f>
        <v>0</v>
      </c>
      <c r="Q118" s="578"/>
      <c r="R118" s="579">
        <f t="shared" si="22"/>
        <v>1</v>
      </c>
      <c r="S118" s="580">
        <v>1</v>
      </c>
      <c r="T118" s="585"/>
      <c r="U118" s="585"/>
      <c r="V118" s="581"/>
      <c r="W118" s="581"/>
      <c r="X118" s="581"/>
      <c r="Y118" s="581"/>
      <c r="Z118" s="581"/>
      <c r="AA118" s="581"/>
      <c r="AB118" s="581"/>
      <c r="AC118" s="581"/>
    </row>
    <row r="119" spans="1:29">
      <c r="A119" s="585"/>
      <c r="B119" s="585"/>
      <c r="C119" s="588" t="s">
        <v>631</v>
      </c>
      <c r="D119" s="588"/>
      <c r="E119" s="588"/>
      <c r="F119" s="588"/>
      <c r="G119" s="588"/>
      <c r="H119" s="588"/>
      <c r="I119" s="585"/>
      <c r="J119" s="587">
        <f t="shared" ref="J119:P119" si="28">SUM(J117:J118)</f>
        <v>0</v>
      </c>
      <c r="K119" s="587">
        <f t="shared" ca="1" si="28"/>
        <v>0</v>
      </c>
      <c r="L119" s="587">
        <f t="shared" ca="1" si="28"/>
        <v>0</v>
      </c>
      <c r="M119" s="587">
        <f t="shared" ca="1" si="28"/>
        <v>0</v>
      </c>
      <c r="N119" s="587">
        <f t="shared" ca="1" si="28"/>
        <v>0</v>
      </c>
      <c r="O119" s="587">
        <f t="shared" ca="1" si="28"/>
        <v>0</v>
      </c>
      <c r="P119" s="587">
        <f t="shared" ca="1" si="28"/>
        <v>0</v>
      </c>
      <c r="Q119" s="578"/>
      <c r="R119" s="579">
        <f t="shared" si="22"/>
        <v>1</v>
      </c>
      <c r="S119" s="580">
        <v>1</v>
      </c>
      <c r="T119" s="585"/>
      <c r="U119" s="585"/>
      <c r="V119" s="581"/>
      <c r="W119" s="581"/>
      <c r="X119" s="581"/>
      <c r="Y119" s="581"/>
      <c r="Z119" s="581"/>
      <c r="AA119" s="581"/>
      <c r="AB119" s="581"/>
      <c r="AC119" s="581"/>
    </row>
    <row r="120" spans="1:29">
      <c r="A120" s="585"/>
      <c r="B120" s="585"/>
      <c r="C120" s="585" t="s">
        <v>632</v>
      </c>
      <c r="D120" s="585"/>
      <c r="E120" s="585"/>
      <c r="F120" s="585"/>
      <c r="G120" s="585"/>
      <c r="H120" s="585"/>
      <c r="I120" s="585"/>
      <c r="J120" s="557">
        <f>'LBO - Financials'!G135</f>
        <v>0</v>
      </c>
      <c r="K120" s="557">
        <f ca="1">'LBO - Financials'!H135</f>
        <v>0</v>
      </c>
      <c r="L120" s="557">
        <f ca="1">'LBO - Financials'!I135</f>
        <v>0</v>
      </c>
      <c r="M120" s="557">
        <f ca="1">'LBO - Financials'!J135</f>
        <v>0</v>
      </c>
      <c r="N120" s="557">
        <f ca="1">'LBO - Financials'!K135</f>
        <v>0</v>
      </c>
      <c r="O120" s="557">
        <f ca="1">'LBO - Financials'!L135</f>
        <v>0</v>
      </c>
      <c r="P120" s="557">
        <f ca="1">'LBO - Financials'!M135</f>
        <v>0</v>
      </c>
      <c r="Q120" s="578"/>
      <c r="R120" s="579">
        <f t="shared" si="22"/>
        <v>1</v>
      </c>
      <c r="S120" s="580">
        <v>1</v>
      </c>
      <c r="T120" s="585"/>
      <c r="U120" s="585"/>
      <c r="V120" s="581"/>
      <c r="W120" s="581"/>
      <c r="X120" s="581"/>
      <c r="Y120" s="581"/>
      <c r="Z120" s="581"/>
      <c r="AA120" s="581"/>
      <c r="AB120" s="581"/>
      <c r="AC120" s="581"/>
    </row>
    <row r="121" spans="1:29">
      <c r="A121" s="585"/>
      <c r="B121" s="585"/>
      <c r="C121" s="585"/>
      <c r="D121" s="585"/>
      <c r="E121" s="585"/>
      <c r="F121" s="585"/>
      <c r="G121" s="585"/>
      <c r="H121" s="585"/>
      <c r="I121" s="585"/>
      <c r="J121" s="552"/>
      <c r="K121" s="552"/>
      <c r="L121" s="552"/>
      <c r="M121" s="552"/>
      <c r="N121" s="552"/>
      <c r="O121" s="585"/>
      <c r="P121" s="585"/>
      <c r="Q121" s="578"/>
      <c r="R121" s="585"/>
      <c r="S121" s="585"/>
      <c r="T121" s="585"/>
      <c r="U121" s="585"/>
      <c r="V121" s="581"/>
      <c r="W121" s="581"/>
      <c r="X121" s="581"/>
      <c r="Y121" s="581"/>
      <c r="Z121" s="581"/>
      <c r="AA121" s="581"/>
      <c r="AB121" s="581"/>
      <c r="AC121" s="581"/>
    </row>
    <row r="122" spans="1:29" hidden="1">
      <c r="A122" s="581"/>
      <c r="B122" s="581"/>
      <c r="C122" s="581"/>
      <c r="D122" s="581"/>
      <c r="E122" s="581"/>
      <c r="F122" s="581"/>
      <c r="G122" s="581"/>
      <c r="H122" s="581"/>
      <c r="I122" s="581"/>
      <c r="J122" s="581"/>
      <c r="K122" s="581"/>
      <c r="L122" s="581"/>
      <c r="M122" s="581"/>
      <c r="N122" s="581"/>
      <c r="O122" s="581"/>
      <c r="P122" s="581"/>
      <c r="Q122" s="581"/>
      <c r="R122" s="581"/>
      <c r="S122" s="581"/>
      <c r="T122" s="581"/>
      <c r="U122" s="581"/>
      <c r="V122" s="581"/>
      <c r="W122" s="581"/>
      <c r="X122" s="581"/>
      <c r="Y122" s="581"/>
      <c r="Z122" s="581"/>
      <c r="AA122" s="581"/>
      <c r="AB122" s="581"/>
      <c r="AC122" s="581"/>
    </row>
    <row r="123" spans="1:29" hidden="1">
      <c r="A123" s="581"/>
      <c r="B123" s="581"/>
      <c r="C123" s="581"/>
      <c r="D123" s="581"/>
      <c r="E123" s="581"/>
      <c r="F123" s="581"/>
      <c r="G123" s="581"/>
      <c r="H123" s="581"/>
      <c r="I123" s="581"/>
      <c r="J123" s="581"/>
      <c r="K123" s="581"/>
      <c r="L123" s="581"/>
      <c r="M123" s="581"/>
      <c r="N123" s="581"/>
      <c r="O123" s="581"/>
      <c r="P123" s="581"/>
      <c r="Q123" s="581"/>
      <c r="R123" s="581"/>
      <c r="S123" s="581"/>
      <c r="T123" s="581"/>
      <c r="U123" s="581"/>
      <c r="V123" s="581"/>
      <c r="W123" s="581"/>
      <c r="X123" s="581"/>
      <c r="Y123" s="581"/>
      <c r="Z123" s="581"/>
      <c r="AA123" s="581"/>
      <c r="AB123" s="581"/>
      <c r="AC123" s="581"/>
    </row>
    <row r="124" spans="1:29" hidden="1">
      <c r="A124" s="581"/>
      <c r="B124" s="581"/>
      <c r="C124" s="581"/>
      <c r="D124" s="581"/>
      <c r="E124" s="581"/>
      <c r="F124" s="581"/>
      <c r="G124" s="581"/>
      <c r="H124" s="581"/>
      <c r="I124" s="581"/>
      <c r="J124" s="581"/>
      <c r="K124" s="581"/>
      <c r="L124" s="581"/>
      <c r="M124" s="581"/>
      <c r="N124" s="581"/>
      <c r="O124" s="581"/>
      <c r="P124" s="581"/>
      <c r="Q124" s="581"/>
      <c r="R124" s="581"/>
      <c r="S124" s="581"/>
      <c r="T124" s="581"/>
      <c r="U124" s="581"/>
      <c r="V124" s="581"/>
      <c r="W124" s="581"/>
      <c r="X124" s="581"/>
      <c r="Y124" s="581"/>
      <c r="Z124" s="581"/>
      <c r="AA124" s="581"/>
      <c r="AB124" s="581"/>
      <c r="AC124" s="581"/>
    </row>
    <row r="125" spans="1:29" hidden="1">
      <c r="A125" s="581"/>
      <c r="B125" s="581"/>
      <c r="C125" s="581"/>
      <c r="D125" s="581"/>
      <c r="E125" s="581"/>
      <c r="F125" s="581"/>
      <c r="G125" s="581"/>
      <c r="H125" s="581"/>
      <c r="I125" s="581"/>
      <c r="J125" s="581"/>
      <c r="K125" s="581"/>
      <c r="L125" s="581"/>
      <c r="M125" s="581"/>
      <c r="N125" s="581"/>
      <c r="O125" s="581"/>
      <c r="P125" s="581"/>
      <c r="Q125" s="581"/>
      <c r="R125" s="581"/>
      <c r="S125" s="581"/>
      <c r="T125" s="581"/>
      <c r="U125" s="581"/>
      <c r="V125" s="581"/>
      <c r="W125" s="581"/>
      <c r="X125" s="581"/>
      <c r="Y125" s="581"/>
      <c r="Z125" s="581"/>
      <c r="AA125" s="581"/>
      <c r="AB125" s="581"/>
      <c r="AC125" s="581"/>
    </row>
    <row r="126" spans="1:29" hidden="1">
      <c r="A126" s="581"/>
      <c r="B126" s="581"/>
      <c r="C126" s="581"/>
      <c r="D126" s="581"/>
      <c r="E126" s="581"/>
      <c r="F126" s="581"/>
      <c r="G126" s="581"/>
      <c r="H126" s="581"/>
      <c r="I126" s="581"/>
      <c r="J126" s="581"/>
      <c r="K126" s="581"/>
      <c r="L126" s="581"/>
      <c r="M126" s="581"/>
      <c r="N126" s="581"/>
      <c r="O126" s="581"/>
      <c r="P126" s="581"/>
      <c r="Q126" s="581"/>
      <c r="R126" s="581"/>
      <c r="S126" s="581"/>
      <c r="T126" s="581"/>
      <c r="U126" s="581"/>
      <c r="V126" s="581"/>
      <c r="W126" s="581"/>
      <c r="X126" s="581"/>
      <c r="Y126" s="581"/>
      <c r="Z126" s="581"/>
      <c r="AA126" s="581"/>
      <c r="AB126" s="581"/>
      <c r="AC126" s="581"/>
    </row>
    <row r="127" spans="1:29" hidden="1">
      <c r="A127" s="581"/>
      <c r="B127" s="581"/>
      <c r="C127" s="581"/>
      <c r="D127" s="581"/>
      <c r="E127" s="581"/>
      <c r="F127" s="581"/>
      <c r="G127" s="581"/>
      <c r="H127" s="581"/>
      <c r="I127" s="581"/>
      <c r="J127" s="581"/>
      <c r="K127" s="581"/>
      <c r="L127" s="581"/>
      <c r="M127" s="581"/>
      <c r="N127" s="581"/>
      <c r="O127" s="581"/>
      <c r="P127" s="581"/>
      <c r="Q127" s="581"/>
      <c r="R127" s="581"/>
      <c r="S127" s="581"/>
      <c r="T127" s="581"/>
      <c r="U127" s="581"/>
      <c r="V127" s="581"/>
      <c r="W127" s="581"/>
      <c r="X127" s="581"/>
      <c r="Y127" s="581"/>
      <c r="Z127" s="581"/>
      <c r="AA127" s="581"/>
      <c r="AB127" s="581"/>
      <c r="AC127" s="581"/>
    </row>
    <row r="128" spans="1:29" hidden="1">
      <c r="A128" s="581"/>
      <c r="B128" s="581"/>
      <c r="C128" s="581"/>
      <c r="D128" s="581"/>
      <c r="E128" s="581"/>
      <c r="F128" s="581"/>
      <c r="G128" s="581"/>
      <c r="H128" s="581"/>
      <c r="I128" s="581"/>
      <c r="J128" s="581"/>
      <c r="K128" s="581"/>
      <c r="L128" s="581"/>
      <c r="M128" s="581"/>
      <c r="N128" s="581"/>
      <c r="O128" s="581"/>
      <c r="P128" s="581"/>
      <c r="Q128" s="581"/>
      <c r="R128" s="581"/>
      <c r="S128" s="581"/>
      <c r="T128" s="581"/>
      <c r="U128" s="581"/>
      <c r="V128" s="581"/>
      <c r="W128" s="581"/>
      <c r="X128" s="581"/>
      <c r="Y128" s="581"/>
      <c r="Z128" s="581"/>
      <c r="AA128" s="581"/>
      <c r="AB128" s="581"/>
      <c r="AC128" s="581"/>
    </row>
    <row r="129" spans="1:29" hidden="1">
      <c r="A129" s="581"/>
      <c r="B129" s="581"/>
      <c r="C129" s="581"/>
      <c r="D129" s="581"/>
      <c r="E129" s="581"/>
      <c r="F129" s="581"/>
      <c r="G129" s="581"/>
      <c r="H129" s="581"/>
      <c r="I129" s="581"/>
      <c r="J129" s="581"/>
      <c r="K129" s="581"/>
      <c r="L129" s="581"/>
      <c r="M129" s="581"/>
      <c r="N129" s="581"/>
      <c r="O129" s="581"/>
      <c r="P129" s="581"/>
      <c r="Q129" s="581"/>
      <c r="R129" s="581"/>
      <c r="S129" s="581"/>
      <c r="T129" s="581"/>
      <c r="U129" s="581"/>
      <c r="V129" s="581"/>
      <c r="W129" s="581"/>
      <c r="X129" s="581"/>
      <c r="Y129" s="581"/>
      <c r="Z129" s="581"/>
      <c r="AA129" s="581"/>
      <c r="AB129" s="581"/>
      <c r="AC129" s="581"/>
    </row>
    <row r="130" spans="1:29" hidden="1">
      <c r="A130" s="581"/>
      <c r="B130" s="581"/>
      <c r="C130" s="581"/>
      <c r="D130" s="581"/>
      <c r="E130" s="581"/>
      <c r="F130" s="581"/>
      <c r="G130" s="581"/>
      <c r="H130" s="581"/>
      <c r="I130" s="581"/>
      <c r="J130" s="581"/>
      <c r="K130" s="581"/>
      <c r="L130" s="581"/>
      <c r="M130" s="581"/>
      <c r="N130" s="581"/>
      <c r="O130" s="581"/>
      <c r="P130" s="581"/>
      <c r="Q130" s="581"/>
      <c r="R130" s="581"/>
      <c r="S130" s="581"/>
      <c r="T130" s="581"/>
      <c r="U130" s="581"/>
      <c r="V130" s="581"/>
      <c r="W130" s="581"/>
      <c r="X130" s="581"/>
      <c r="Y130" s="581"/>
      <c r="Z130" s="581"/>
      <c r="AA130" s="581"/>
      <c r="AB130" s="581"/>
      <c r="AC130" s="581"/>
    </row>
    <row r="131" spans="1:29" hidden="1">
      <c r="A131" s="581"/>
      <c r="B131" s="581"/>
      <c r="C131" s="581"/>
      <c r="D131" s="581"/>
      <c r="E131" s="581"/>
      <c r="F131" s="581"/>
      <c r="G131" s="581"/>
      <c r="H131" s="581"/>
      <c r="I131" s="581"/>
      <c r="J131" s="581"/>
      <c r="K131" s="581"/>
      <c r="L131" s="581"/>
      <c r="M131" s="581"/>
      <c r="N131" s="581"/>
      <c r="O131" s="581"/>
      <c r="P131" s="581"/>
      <c r="Q131" s="581"/>
      <c r="R131" s="581"/>
      <c r="S131" s="581"/>
      <c r="T131" s="581"/>
      <c r="U131" s="581"/>
      <c r="V131" s="581"/>
      <c r="W131" s="581"/>
      <c r="X131" s="581"/>
      <c r="Y131" s="581"/>
      <c r="Z131" s="581"/>
      <c r="AA131" s="581"/>
      <c r="AB131" s="581"/>
      <c r="AC131" s="581"/>
    </row>
    <row r="132" spans="1:29" hidden="1">
      <c r="A132" s="581"/>
      <c r="B132" s="581"/>
      <c r="C132" s="581"/>
      <c r="D132" s="581"/>
      <c r="E132" s="581"/>
      <c r="F132" s="581"/>
      <c r="G132" s="581"/>
      <c r="H132" s="581"/>
      <c r="I132" s="581"/>
      <c r="J132" s="581"/>
      <c r="K132" s="581"/>
      <c r="L132" s="581"/>
      <c r="M132" s="581"/>
      <c r="N132" s="581"/>
      <c r="O132" s="581"/>
      <c r="P132" s="581"/>
      <c r="Q132" s="581"/>
      <c r="R132" s="581"/>
      <c r="S132" s="581"/>
      <c r="T132" s="581"/>
      <c r="U132" s="581"/>
      <c r="V132" s="581"/>
      <c r="W132" s="581"/>
      <c r="X132" s="581"/>
      <c r="Y132" s="581"/>
      <c r="Z132" s="581"/>
      <c r="AA132" s="581"/>
      <c r="AB132" s="581"/>
      <c r="AC132" s="581"/>
    </row>
    <row r="133" spans="1:29" hidden="1">
      <c r="A133" s="581"/>
      <c r="B133" s="581"/>
      <c r="C133" s="581"/>
      <c r="D133" s="581"/>
      <c r="E133" s="581"/>
      <c r="F133" s="581"/>
      <c r="G133" s="581"/>
      <c r="H133" s="581"/>
      <c r="I133" s="581"/>
      <c r="J133" s="581"/>
      <c r="K133" s="581"/>
      <c r="L133" s="581"/>
      <c r="M133" s="581"/>
      <c r="N133" s="581"/>
      <c r="O133" s="581"/>
      <c r="P133" s="581"/>
      <c r="Q133" s="581"/>
      <c r="R133" s="581"/>
      <c r="S133" s="581"/>
      <c r="T133" s="581"/>
      <c r="U133" s="581"/>
      <c r="V133" s="581"/>
      <c r="W133" s="581"/>
      <c r="X133" s="581"/>
      <c r="Y133" s="581"/>
      <c r="Z133" s="581"/>
      <c r="AA133" s="581"/>
      <c r="AB133" s="581"/>
      <c r="AC133" s="581"/>
    </row>
    <row r="134" spans="1:29" hidden="1">
      <c r="A134" s="581"/>
      <c r="B134" s="581"/>
      <c r="C134" s="581"/>
      <c r="D134" s="581"/>
      <c r="E134" s="581"/>
      <c r="F134" s="581"/>
      <c r="G134" s="581"/>
      <c r="H134" s="581"/>
      <c r="I134" s="581"/>
      <c r="J134" s="581"/>
      <c r="K134" s="581"/>
      <c r="L134" s="581"/>
      <c r="M134" s="581"/>
      <c r="N134" s="581"/>
      <c r="O134" s="581"/>
      <c r="P134" s="581"/>
      <c r="Q134" s="581"/>
      <c r="R134" s="581"/>
      <c r="S134" s="581"/>
      <c r="T134" s="581"/>
      <c r="U134" s="581"/>
      <c r="V134" s="581"/>
      <c r="W134" s="581"/>
      <c r="X134" s="581"/>
      <c r="Y134" s="581"/>
      <c r="Z134" s="581"/>
      <c r="AA134" s="581"/>
      <c r="AB134" s="581"/>
      <c r="AC134" s="581"/>
    </row>
    <row r="135" spans="1:29" hidden="1">
      <c r="A135" s="581"/>
      <c r="B135" s="581"/>
      <c r="C135" s="581"/>
      <c r="D135" s="581"/>
      <c r="E135" s="581"/>
      <c r="F135" s="581"/>
      <c r="G135" s="581"/>
      <c r="H135" s="581"/>
      <c r="I135" s="581"/>
      <c r="J135" s="581"/>
      <c r="K135" s="581"/>
      <c r="L135" s="581"/>
      <c r="M135" s="581"/>
      <c r="N135" s="581"/>
      <c r="O135" s="581"/>
      <c r="P135" s="581"/>
      <c r="Q135" s="581"/>
      <c r="R135" s="581"/>
      <c r="S135" s="581"/>
      <c r="T135" s="581"/>
      <c r="U135" s="581"/>
      <c r="V135" s="581"/>
      <c r="W135" s="581"/>
      <c r="X135" s="581"/>
      <c r="Y135" s="581"/>
      <c r="Z135" s="581"/>
      <c r="AA135" s="581"/>
      <c r="AB135" s="581"/>
      <c r="AC135" s="581"/>
    </row>
    <row r="136" spans="1:29" hidden="1">
      <c r="A136" s="581"/>
      <c r="B136" s="581"/>
      <c r="C136" s="581"/>
      <c r="D136" s="581"/>
      <c r="E136" s="581"/>
      <c r="F136" s="581"/>
      <c r="G136" s="581"/>
      <c r="H136" s="581"/>
      <c r="I136" s="581"/>
      <c r="J136" s="581"/>
      <c r="K136" s="581"/>
      <c r="L136" s="581"/>
      <c r="M136" s="581"/>
      <c r="N136" s="581"/>
      <c r="O136" s="581"/>
      <c r="P136" s="581"/>
      <c r="Q136" s="581"/>
      <c r="R136" s="581"/>
      <c r="S136" s="581"/>
      <c r="T136" s="581"/>
      <c r="U136" s="581"/>
      <c r="V136" s="581"/>
      <c r="W136" s="581"/>
      <c r="X136" s="581"/>
      <c r="Y136" s="581"/>
      <c r="Z136" s="581"/>
      <c r="AA136" s="581"/>
      <c r="AB136" s="581"/>
      <c r="AC136" s="581"/>
    </row>
    <row r="137" spans="1:29" hidden="1">
      <c r="A137" s="581"/>
      <c r="B137" s="581"/>
      <c r="C137" s="581"/>
      <c r="D137" s="581"/>
      <c r="E137" s="581"/>
      <c r="F137" s="581"/>
      <c r="G137" s="581"/>
      <c r="H137" s="581"/>
      <c r="I137" s="581"/>
      <c r="J137" s="581"/>
      <c r="K137" s="581"/>
      <c r="L137" s="581"/>
      <c r="M137" s="581"/>
      <c r="N137" s="581"/>
      <c r="O137" s="581"/>
      <c r="P137" s="581"/>
      <c r="Q137" s="581"/>
      <c r="R137" s="581"/>
      <c r="S137" s="581"/>
      <c r="T137" s="581"/>
      <c r="U137" s="581"/>
      <c r="V137" s="581"/>
      <c r="W137" s="581"/>
      <c r="X137" s="581"/>
      <c r="Y137" s="581"/>
      <c r="Z137" s="581"/>
      <c r="AA137" s="581"/>
      <c r="AB137" s="581"/>
      <c r="AC137" s="581"/>
    </row>
    <row r="138" spans="1:29" hidden="1">
      <c r="A138" s="581"/>
      <c r="B138" s="581"/>
      <c r="C138" s="581"/>
      <c r="D138" s="581"/>
      <c r="E138" s="581"/>
      <c r="F138" s="581"/>
      <c r="G138" s="581"/>
      <c r="H138" s="581"/>
      <c r="I138" s="581"/>
      <c r="J138" s="581"/>
      <c r="K138" s="581"/>
      <c r="L138" s="581"/>
      <c r="M138" s="581"/>
      <c r="N138" s="581"/>
      <c r="O138" s="581"/>
      <c r="P138" s="581"/>
      <c r="Q138" s="581"/>
      <c r="R138" s="581"/>
      <c r="S138" s="581"/>
      <c r="T138" s="581"/>
      <c r="U138" s="581"/>
      <c r="V138" s="581"/>
      <c r="W138" s="581"/>
      <c r="X138" s="581"/>
      <c r="Y138" s="581"/>
      <c r="Z138" s="581"/>
      <c r="AA138" s="581"/>
      <c r="AB138" s="581"/>
      <c r="AC138" s="581"/>
    </row>
    <row r="139" spans="1:29" hidden="1">
      <c r="A139" s="581"/>
      <c r="B139" s="581"/>
      <c r="C139" s="581"/>
      <c r="D139" s="581"/>
      <c r="E139" s="581"/>
      <c r="F139" s="581"/>
      <c r="G139" s="581"/>
      <c r="H139" s="581"/>
      <c r="I139" s="581"/>
      <c r="J139" s="581"/>
      <c r="K139" s="581"/>
      <c r="L139" s="581"/>
      <c r="M139" s="581"/>
      <c r="N139" s="581"/>
      <c r="O139" s="581"/>
      <c r="P139" s="581"/>
      <c r="Q139" s="581"/>
      <c r="R139" s="581"/>
      <c r="S139" s="581"/>
      <c r="T139" s="581"/>
      <c r="U139" s="581"/>
      <c r="V139" s="581"/>
      <c r="W139" s="581"/>
      <c r="X139" s="581"/>
      <c r="Y139" s="581"/>
      <c r="Z139" s="581"/>
      <c r="AA139" s="581"/>
      <c r="AB139" s="581"/>
      <c r="AC139" s="581"/>
    </row>
    <row r="140" spans="1:29" hidden="1">
      <c r="A140" s="581"/>
      <c r="B140" s="581"/>
      <c r="C140" s="581"/>
      <c r="D140" s="581"/>
      <c r="E140" s="581"/>
      <c r="F140" s="581"/>
      <c r="G140" s="581"/>
      <c r="H140" s="581"/>
      <c r="I140" s="581"/>
      <c r="J140" s="581"/>
      <c r="K140" s="581"/>
      <c r="L140" s="581"/>
      <c r="M140" s="581"/>
      <c r="N140" s="581"/>
      <c r="O140" s="581"/>
      <c r="P140" s="581"/>
      <c r="Q140" s="581"/>
      <c r="R140" s="581"/>
      <c r="S140" s="581"/>
      <c r="T140" s="581"/>
      <c r="U140" s="581"/>
      <c r="V140" s="581"/>
      <c r="W140" s="581"/>
      <c r="X140" s="581"/>
      <c r="Y140" s="581"/>
      <c r="Z140" s="581"/>
      <c r="AA140" s="581"/>
      <c r="AB140" s="581"/>
      <c r="AC140" s="581"/>
    </row>
    <row r="141" spans="1:29" hidden="1">
      <c r="A141" s="581"/>
      <c r="B141" s="581"/>
      <c r="C141" s="581"/>
      <c r="D141" s="581"/>
      <c r="E141" s="581"/>
      <c r="F141" s="581"/>
      <c r="G141" s="581"/>
      <c r="H141" s="581"/>
      <c r="I141" s="581"/>
      <c r="J141" s="581"/>
      <c r="K141" s="581"/>
      <c r="L141" s="581"/>
      <c r="M141" s="581"/>
      <c r="N141" s="581"/>
      <c r="O141" s="581"/>
      <c r="P141" s="581"/>
      <c r="Q141" s="581"/>
      <c r="R141" s="581"/>
      <c r="S141" s="581"/>
      <c r="T141" s="581"/>
      <c r="U141" s="581"/>
      <c r="V141" s="581"/>
      <c r="W141" s="581"/>
      <c r="X141" s="581"/>
      <c r="Y141" s="581"/>
      <c r="Z141" s="581"/>
      <c r="AA141" s="581"/>
      <c r="AB141" s="581"/>
      <c r="AC141" s="581"/>
    </row>
    <row r="142" spans="1:29" hidden="1">
      <c r="A142" s="581"/>
      <c r="B142" s="581"/>
      <c r="C142" s="581"/>
      <c r="D142" s="581"/>
      <c r="E142" s="581"/>
      <c r="F142" s="581"/>
      <c r="G142" s="581"/>
      <c r="H142" s="581"/>
      <c r="I142" s="581"/>
      <c r="J142" s="581"/>
      <c r="K142" s="581"/>
      <c r="L142" s="581"/>
      <c r="M142" s="581"/>
      <c r="N142" s="581"/>
      <c r="O142" s="581"/>
      <c r="P142" s="581"/>
      <c r="Q142" s="581"/>
      <c r="R142" s="581"/>
      <c r="S142" s="581"/>
      <c r="T142" s="581"/>
      <c r="U142" s="581"/>
      <c r="V142" s="581"/>
      <c r="W142" s="581"/>
      <c r="X142" s="581"/>
      <c r="Y142" s="581"/>
      <c r="Z142" s="581"/>
      <c r="AA142" s="581"/>
      <c r="AB142" s="581"/>
      <c r="AC142" s="581"/>
    </row>
    <row r="143" spans="1:29" hidden="1">
      <c r="A143" s="581"/>
      <c r="B143" s="581"/>
      <c r="C143" s="581"/>
      <c r="D143" s="581"/>
      <c r="E143" s="581"/>
      <c r="F143" s="581"/>
      <c r="G143" s="581"/>
      <c r="H143" s="581"/>
      <c r="I143" s="581"/>
      <c r="J143" s="581"/>
      <c r="K143" s="581"/>
      <c r="L143" s="581"/>
      <c r="M143" s="581"/>
      <c r="N143" s="581"/>
      <c r="O143" s="581"/>
      <c r="P143" s="581"/>
      <c r="Q143" s="581"/>
      <c r="R143" s="581"/>
      <c r="S143" s="581"/>
      <c r="T143" s="581"/>
      <c r="U143" s="581"/>
      <c r="V143" s="581"/>
      <c r="W143" s="581"/>
      <c r="X143" s="581"/>
      <c r="Y143" s="581"/>
      <c r="Z143" s="581"/>
      <c r="AA143" s="581"/>
      <c r="AB143" s="581"/>
      <c r="AC143" s="581"/>
    </row>
    <row r="144" spans="1:29" hidden="1">
      <c r="A144" s="581"/>
      <c r="B144" s="581"/>
      <c r="C144" s="581"/>
      <c r="D144" s="581"/>
      <c r="E144" s="581"/>
      <c r="F144" s="581"/>
      <c r="G144" s="581"/>
      <c r="H144" s="581"/>
      <c r="I144" s="581"/>
      <c r="J144" s="581"/>
      <c r="K144" s="581"/>
      <c r="L144" s="581"/>
      <c r="M144" s="581"/>
      <c r="N144" s="581"/>
      <c r="O144" s="581"/>
      <c r="P144" s="581"/>
      <c r="Q144" s="581"/>
      <c r="R144" s="581"/>
      <c r="S144" s="581"/>
      <c r="T144" s="581"/>
      <c r="U144" s="581"/>
      <c r="V144" s="581"/>
      <c r="W144" s="581"/>
      <c r="X144" s="581"/>
      <c r="Y144" s="581"/>
      <c r="Z144" s="581"/>
      <c r="AA144" s="581"/>
      <c r="AB144" s="581"/>
      <c r="AC144" s="581"/>
    </row>
    <row r="145" spans="1:29" hidden="1">
      <c r="A145" s="581"/>
      <c r="B145" s="581"/>
      <c r="C145" s="581"/>
      <c r="D145" s="581"/>
      <c r="E145" s="581"/>
      <c r="F145" s="581"/>
      <c r="G145" s="581"/>
      <c r="H145" s="581"/>
      <c r="I145" s="581"/>
      <c r="J145" s="581"/>
      <c r="K145" s="581"/>
      <c r="L145" s="581"/>
      <c r="M145" s="581"/>
      <c r="N145" s="581"/>
      <c r="O145" s="581"/>
      <c r="P145" s="581"/>
      <c r="Q145" s="581"/>
      <c r="R145" s="581"/>
      <c r="S145" s="581"/>
      <c r="T145" s="581"/>
      <c r="U145" s="581"/>
      <c r="V145" s="581"/>
      <c r="W145" s="581"/>
      <c r="X145" s="581"/>
      <c r="Y145" s="581"/>
      <c r="Z145" s="581"/>
      <c r="AA145" s="581"/>
      <c r="AB145" s="581"/>
      <c r="AC145" s="581"/>
    </row>
    <row r="146" spans="1:29" hidden="1">
      <c r="A146" s="581"/>
      <c r="B146" s="581"/>
      <c r="C146" s="581"/>
      <c r="D146" s="581"/>
      <c r="E146" s="581"/>
      <c r="F146" s="581"/>
      <c r="G146" s="581"/>
      <c r="H146" s="581"/>
      <c r="I146" s="581"/>
      <c r="J146" s="581"/>
      <c r="K146" s="581"/>
      <c r="L146" s="581"/>
      <c r="M146" s="581"/>
      <c r="N146" s="581"/>
      <c r="O146" s="581"/>
      <c r="P146" s="581"/>
      <c r="Q146" s="581"/>
      <c r="R146" s="581"/>
      <c r="S146" s="581"/>
      <c r="T146" s="581"/>
      <c r="U146" s="581"/>
      <c r="V146" s="581"/>
      <c r="W146" s="581"/>
      <c r="X146" s="581"/>
      <c r="Y146" s="581"/>
      <c r="Z146" s="581"/>
      <c r="AA146" s="581"/>
      <c r="AB146" s="581"/>
      <c r="AC146" s="581"/>
    </row>
    <row r="147" spans="1:29" hidden="1">
      <c r="A147" s="581"/>
      <c r="B147" s="581"/>
      <c r="C147" s="581"/>
      <c r="D147" s="581"/>
      <c r="E147" s="581"/>
      <c r="F147" s="581"/>
      <c r="G147" s="581"/>
      <c r="H147" s="581"/>
      <c r="I147" s="581"/>
      <c r="J147" s="581"/>
      <c r="K147" s="581"/>
      <c r="L147" s="581"/>
      <c r="M147" s="581"/>
      <c r="N147" s="581"/>
      <c r="O147" s="581"/>
      <c r="P147" s="581"/>
      <c r="Q147" s="581"/>
      <c r="R147" s="581"/>
      <c r="S147" s="581"/>
      <c r="T147" s="581"/>
      <c r="U147" s="581"/>
      <c r="V147" s="581"/>
      <c r="W147" s="581"/>
      <c r="X147" s="581"/>
      <c r="Y147" s="581"/>
      <c r="Z147" s="581"/>
      <c r="AA147" s="581"/>
      <c r="AB147" s="581"/>
      <c r="AC147" s="581"/>
    </row>
    <row r="148" spans="1:29"/>
    <row r="149" spans="1:29"/>
  </sheetData>
  <sheetProtection formatCells="0" formatColumns="0" formatRows="0" insertColumns="0" insertRows="0" insertHyperlinks="0" deleteColumns="0" deleteRows="0" sort="0" autoFilter="0" pivotTables="0"/>
  <conditionalFormatting sqref="I1:J1">
    <cfRule type="cellIs" dxfId="17" priority="2" operator="equal">
      <formula>"Check"</formula>
    </cfRule>
  </conditionalFormatting>
  <conditionalFormatting sqref="K15">
    <cfRule type="cellIs" dxfId="16" priority="4" stopIfTrue="1" operator="equal">
      <formula>#REF!</formula>
    </cfRule>
  </conditionalFormatting>
  <conditionalFormatting sqref="K31">
    <cfRule type="cellIs" dxfId="15" priority="3" stopIfTrue="1" operator="equal">
      <formula>#REF!</formula>
    </cfRule>
  </conditionalFormatting>
  <conditionalFormatting sqref="K48">
    <cfRule type="cellIs" dxfId="14" priority="7" stopIfTrue="1" operator="equal">
      <formula>#REF!</formula>
    </cfRule>
  </conditionalFormatting>
  <conditionalFormatting sqref="K95">
    <cfRule type="cellIs" dxfId="13" priority="5" stopIfTrue="1" operator="equal">
      <formula>#REF!</formula>
    </cfRule>
  </conditionalFormatting>
  <conditionalFormatting sqref="R1:S1">
    <cfRule type="cellIs" dxfId="12" priority="1" operator="equal">
      <formula>"Check"</formula>
    </cfRule>
  </conditionalFormatting>
  <pageMargins left="0.7" right="0.7" top="0.75" bottom="0.75" header="0.3" footer="0.3"/>
  <ignoredErrors>
    <ignoredError sqref="G51:P51 J33:P40 C34:C46 C17:C29 C7:F8 C10:F11 C9:E9 F14 O7:P7 O9:P14 O8 J16:P30 H26:H30 F17:F19 E58 E53 H53:P53 G55:P55 G62:P62 K59:P59 G57:P58 E70:P75 K63:P63 F64:P65 J42:P45 E66:P68 J99:Q120 G96" unlockedFormula="1"/>
    <ignoredError sqref="F9 P8" formula="1"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7">
    <tabColor theme="3" tint="-0.499984740745262"/>
  </sheetPr>
  <dimension ref="A1:CU166"/>
  <sheetViews>
    <sheetView showGridLines="0" zoomScale="200" zoomScaleNormal="100" workbookViewId="0">
      <selection activeCell="E18" sqref="E18"/>
    </sheetView>
  </sheetViews>
  <sheetFormatPr baseColWidth="10" defaultColWidth="0" defaultRowHeight="13" zeroHeight="1"/>
  <cols>
    <col min="1" max="1" width="2.5" style="166" customWidth="1"/>
    <col min="2" max="2" width="1" style="166" customWidth="1"/>
    <col min="3" max="3" width="41.5" style="166" customWidth="1"/>
    <col min="4" max="7" width="14.5" style="166" customWidth="1"/>
    <col min="8" max="8" width="4" style="166" customWidth="1"/>
    <col min="9" max="10" width="4.5" style="166" customWidth="1"/>
    <col min="11" max="11" width="3.5" style="166" customWidth="1"/>
    <col min="12" max="12" width="6.5" style="166" hidden="1" customWidth="1"/>
    <col min="13" max="13" width="3.5" style="166" hidden="1" customWidth="1"/>
    <col min="14" max="14" width="10.1640625" style="166" hidden="1" customWidth="1"/>
    <col min="15" max="15" width="9.5" style="166" hidden="1" customWidth="1"/>
    <col min="16" max="16" width="12.5" style="166" hidden="1" customWidth="1"/>
    <col min="17" max="18" width="11.5" style="166" hidden="1" customWidth="1"/>
    <col min="19" max="19" width="10.5" style="166" hidden="1" customWidth="1"/>
    <col min="20" max="20" width="11.5" style="166" hidden="1" customWidth="1"/>
    <col min="21" max="21" width="10.5" style="166" hidden="1" customWidth="1"/>
    <col min="22" max="22" width="12.5" style="166" hidden="1" customWidth="1"/>
    <col min="23" max="23" width="14.5" style="166" hidden="1" customWidth="1"/>
    <col min="24" max="24" width="11" style="166" hidden="1" customWidth="1"/>
    <col min="25" max="25" width="14.1640625" style="166" hidden="1" customWidth="1"/>
    <col min="26" max="26" width="8.5" style="166" hidden="1" customWidth="1"/>
    <col min="27" max="16384" width="9.1640625" style="166" hidden="1"/>
  </cols>
  <sheetData>
    <row r="1" spans="1:99" s="26" customFormat="1">
      <c r="A1" s="36"/>
      <c r="B1" s="36"/>
      <c r="C1" s="36" t="str">
        <f>'DCF - Assumptions'!$F$8&amp;" | LBO Model - Assumptions"</f>
        <v>Diageo PLC | LBO Model - Assumptions</v>
      </c>
      <c r="D1" s="233"/>
      <c r="E1" s="232"/>
      <c r="F1" s="232"/>
      <c r="G1" s="232"/>
      <c r="H1" s="232"/>
      <c r="I1" s="34" t="str">
        <f>IF(I5=J5,"OK","Check")</f>
        <v>OK</v>
      </c>
      <c r="J1" s="34" t="str">
        <f>IF(I6=J6,"OK","Check")</f>
        <v>OK</v>
      </c>
      <c r="K1" s="232"/>
      <c r="L1" s="232"/>
      <c r="N1" s="232"/>
      <c r="O1" s="232"/>
      <c r="P1" s="232"/>
      <c r="Q1" s="232"/>
    </row>
    <row r="2" spans="1:99" s="3" customFormat="1" ht="2.25" customHeight="1">
      <c r="A2" s="117"/>
      <c r="B2" s="117"/>
      <c r="I2" s="30"/>
      <c r="J2" s="30"/>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row>
    <row r="3" spans="1:99" s="28" customFormat="1" ht="3" customHeight="1">
      <c r="A3" s="29"/>
      <c r="B3" s="29"/>
      <c r="I3" s="26"/>
      <c r="J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row>
    <row r="4" spans="1:99" ht="11.25" customHeight="1">
      <c r="I4" s="3"/>
      <c r="J4" s="3"/>
    </row>
    <row r="5" spans="1:99">
      <c r="A5" s="266"/>
      <c r="B5" s="266"/>
      <c r="C5" s="926" t="s">
        <v>633</v>
      </c>
      <c r="D5" s="927"/>
      <c r="E5" s="927"/>
      <c r="F5" s="927"/>
      <c r="G5" s="927"/>
      <c r="I5" s="42">
        <f>ROWS(C5:C117)</f>
        <v>113</v>
      </c>
      <c r="J5" s="24">
        <v>113</v>
      </c>
      <c r="K5" s="3"/>
      <c r="L5" s="3"/>
    </row>
    <row r="6" spans="1:99" s="2" customFormat="1" ht="13.5" customHeight="1">
      <c r="A6" s="266"/>
      <c r="B6" s="266"/>
      <c r="C6" s="276"/>
      <c r="D6" s="276"/>
      <c r="E6" s="231"/>
      <c r="F6" s="231"/>
      <c r="G6" s="231"/>
      <c r="I6" s="42">
        <f>SUM(I7:I117)</f>
        <v>90</v>
      </c>
      <c r="J6" s="24">
        <v>90</v>
      </c>
    </row>
    <row r="7" spans="1:99">
      <c r="A7" s="2"/>
      <c r="B7" s="2"/>
      <c r="C7" s="73"/>
      <c r="E7" s="275" t="s">
        <v>634</v>
      </c>
      <c r="I7" s="42">
        <f>IF(NOT(ISBLANK(C7)), 1, 0)</f>
        <v>0</v>
      </c>
      <c r="J7" s="24">
        <v>1</v>
      </c>
      <c r="K7" s="230"/>
      <c r="L7" s="230"/>
    </row>
    <row r="8" spans="1:99">
      <c r="A8" s="2"/>
      <c r="B8" s="2"/>
      <c r="C8" s="165" t="s">
        <v>635</v>
      </c>
      <c r="E8" s="532">
        <v>1</v>
      </c>
      <c r="F8" s="274">
        <v>1</v>
      </c>
      <c r="G8" s="274">
        <v>2</v>
      </c>
      <c r="I8" s="42">
        <f t="shared" ref="I8:I71" si="0">IF(NOT(ISBLANK(C8)), 1, 0)</f>
        <v>1</v>
      </c>
      <c r="J8" s="24">
        <v>0</v>
      </c>
      <c r="K8" s="207">
        <v>1</v>
      </c>
    </row>
    <row r="9" spans="1:99">
      <c r="A9" s="2"/>
      <c r="B9" s="2"/>
      <c r="C9" s="73"/>
      <c r="D9" s="73"/>
      <c r="E9" s="513" t="str">
        <f ca="1">OFFSET(F9,0,$E$8-1)</f>
        <v>Base</v>
      </c>
      <c r="F9" s="274" t="s">
        <v>636</v>
      </c>
      <c r="G9" s="273" t="s">
        <v>637</v>
      </c>
      <c r="I9" s="42">
        <f t="shared" si="0"/>
        <v>0</v>
      </c>
      <c r="J9" s="24">
        <v>0</v>
      </c>
      <c r="K9" s="207">
        <v>1</v>
      </c>
    </row>
    <row r="10" spans="1:99" ht="14" thickBot="1">
      <c r="A10" s="2"/>
      <c r="B10" s="2"/>
      <c r="C10" s="85" t="s">
        <v>638</v>
      </c>
      <c r="D10" s="85"/>
      <c r="E10" s="85"/>
      <c r="F10" s="85"/>
      <c r="G10" s="85"/>
      <c r="I10" s="42">
        <f t="shared" si="0"/>
        <v>1</v>
      </c>
      <c r="J10" s="24">
        <v>1</v>
      </c>
      <c r="K10" s="207">
        <v>1</v>
      </c>
    </row>
    <row r="11" spans="1:99" ht="14" thickBot="1">
      <c r="A11" s="2"/>
      <c r="B11" s="2"/>
      <c r="C11" s="165" t="s">
        <v>639</v>
      </c>
      <c r="D11" s="73"/>
      <c r="E11" s="225" t="s">
        <v>89</v>
      </c>
      <c r="F11" s="225"/>
      <c r="G11" s="225"/>
      <c r="H11" s="225"/>
      <c r="I11" s="42">
        <f t="shared" si="0"/>
        <v>1</v>
      </c>
      <c r="J11" s="24">
        <v>1</v>
      </c>
      <c r="K11" s="207">
        <v>1</v>
      </c>
    </row>
    <row r="12" spans="1:99">
      <c r="A12" s="2"/>
      <c r="B12" s="2"/>
      <c r="C12" s="73" t="s">
        <v>554</v>
      </c>
      <c r="D12" s="263"/>
      <c r="E12" s="514">
        <f ca="1">OFFSET(F12,0,$E$8-1)</f>
        <v>0</v>
      </c>
      <c r="F12" s="527"/>
      <c r="G12" s="527"/>
      <c r="I12" s="42">
        <f t="shared" si="0"/>
        <v>1</v>
      </c>
      <c r="J12" s="24">
        <v>1</v>
      </c>
      <c r="K12" s="207">
        <v>1</v>
      </c>
    </row>
    <row r="13" spans="1:99">
      <c r="A13" s="2"/>
      <c r="B13" s="2"/>
      <c r="C13" s="73" t="s">
        <v>555</v>
      </c>
      <c r="D13" s="263"/>
      <c r="E13" s="515">
        <f ca="1">OFFSET(F13,0,$E$8-1)</f>
        <v>0</v>
      </c>
      <c r="F13" s="527"/>
      <c r="G13" s="527"/>
      <c r="I13" s="42">
        <f t="shared" si="0"/>
        <v>1</v>
      </c>
      <c r="J13" s="24">
        <v>1</v>
      </c>
      <c r="K13" s="207">
        <v>1</v>
      </c>
    </row>
    <row r="14" spans="1:99">
      <c r="A14" s="2"/>
      <c r="B14" s="2"/>
      <c r="C14" s="73" t="s">
        <v>640</v>
      </c>
      <c r="D14" s="263"/>
      <c r="E14" s="515">
        <f ca="1">OFFSET(F14,0,$E$8-1)</f>
        <v>0</v>
      </c>
      <c r="F14" s="527"/>
      <c r="G14" s="527"/>
      <c r="I14" s="42">
        <f t="shared" si="0"/>
        <v>1</v>
      </c>
      <c r="J14" s="24">
        <v>1</v>
      </c>
      <c r="K14" s="207">
        <v>1</v>
      </c>
    </row>
    <row r="15" spans="1:99" ht="14" thickBot="1">
      <c r="A15" s="2"/>
      <c r="B15" s="2"/>
      <c r="C15" s="73" t="s">
        <v>641</v>
      </c>
      <c r="D15" s="263"/>
      <c r="E15" s="516">
        <f ca="1">OFFSET(F15,0,$E$8-1)</f>
        <v>0</v>
      </c>
      <c r="F15" s="527"/>
      <c r="G15" s="527"/>
      <c r="I15" s="42">
        <f t="shared" si="0"/>
        <v>1</v>
      </c>
      <c r="J15" s="24">
        <v>1</v>
      </c>
      <c r="K15" s="207">
        <v>1</v>
      </c>
    </row>
    <row r="16" spans="1:99" ht="5.25" customHeight="1">
      <c r="A16" s="2"/>
      <c r="B16" s="2"/>
      <c r="C16" s="73"/>
      <c r="D16" s="73"/>
      <c r="E16" s="345"/>
      <c r="F16" s="345"/>
      <c r="G16" s="309"/>
      <c r="I16" s="42">
        <f t="shared" si="0"/>
        <v>0</v>
      </c>
      <c r="J16" s="24">
        <v>0</v>
      </c>
      <c r="K16" s="207">
        <v>1</v>
      </c>
    </row>
    <row r="17" spans="1:22" ht="14" thickBot="1">
      <c r="A17" s="2"/>
      <c r="B17" s="2"/>
      <c r="C17" s="165" t="s">
        <v>642</v>
      </c>
      <c r="D17" s="73"/>
      <c r="E17" s="345"/>
      <c r="F17" s="345"/>
      <c r="G17" s="309"/>
      <c r="I17" s="42">
        <f t="shared" si="0"/>
        <v>1</v>
      </c>
      <c r="J17" s="24">
        <v>1</v>
      </c>
      <c r="K17" s="207">
        <v>1</v>
      </c>
    </row>
    <row r="18" spans="1:22">
      <c r="A18" s="2"/>
      <c r="B18" s="2"/>
      <c r="C18" s="73" t="s">
        <v>554</v>
      </c>
      <c r="D18" s="263"/>
      <c r="E18" s="517">
        <f ca="1">OFFSET(F18,0,$E$8-1)</f>
        <v>0</v>
      </c>
      <c r="F18" s="528"/>
      <c r="G18" s="528"/>
      <c r="I18" s="42">
        <f t="shared" si="0"/>
        <v>1</v>
      </c>
      <c r="J18" s="24">
        <v>1</v>
      </c>
      <c r="K18" s="207">
        <v>1</v>
      </c>
    </row>
    <row r="19" spans="1:22" ht="14" thickBot="1">
      <c r="A19" s="2"/>
      <c r="B19" s="2"/>
      <c r="C19" s="73" t="s">
        <v>555</v>
      </c>
      <c r="D19" s="263"/>
      <c r="E19" s="518">
        <f ca="1">OFFSET(F19,0,$E$8-1)</f>
        <v>0</v>
      </c>
      <c r="F19" s="528"/>
      <c r="G19" s="528"/>
      <c r="I19" s="42">
        <f t="shared" si="0"/>
        <v>1</v>
      </c>
      <c r="J19" s="24">
        <v>1</v>
      </c>
      <c r="K19" s="207">
        <v>1</v>
      </c>
    </row>
    <row r="20" spans="1:22">
      <c r="A20" s="2"/>
      <c r="B20" s="2"/>
      <c r="C20" s="73" t="s">
        <v>640</v>
      </c>
      <c r="D20" s="263"/>
      <c r="E20" s="551">
        <f ca="1">OFFSET(F20,0,$E$8-1)</f>
        <v>0</v>
      </c>
      <c r="F20" s="550">
        <v>0</v>
      </c>
      <c r="G20" s="550">
        <v>0</v>
      </c>
      <c r="I20" s="42">
        <f t="shared" si="0"/>
        <v>1</v>
      </c>
      <c r="J20" s="24">
        <v>1</v>
      </c>
      <c r="K20" s="207">
        <v>1</v>
      </c>
    </row>
    <row r="21" spans="1:22">
      <c r="A21" s="2"/>
      <c r="B21" s="2"/>
      <c r="C21" s="73" t="s">
        <v>641</v>
      </c>
      <c r="D21" s="263"/>
      <c r="E21" s="551">
        <f ca="1">OFFSET(F21,0,$E$8-1)</f>
        <v>0</v>
      </c>
      <c r="F21" s="550">
        <v>0</v>
      </c>
      <c r="G21" s="550">
        <v>0</v>
      </c>
      <c r="I21" s="42">
        <f t="shared" si="0"/>
        <v>1</v>
      </c>
      <c r="J21" s="24">
        <v>1</v>
      </c>
      <c r="K21" s="207">
        <v>1</v>
      </c>
    </row>
    <row r="22" spans="1:22" s="2" customFormat="1">
      <c r="C22" s="256"/>
      <c r="D22" s="272"/>
      <c r="E22" s="519"/>
      <c r="F22" s="526"/>
      <c r="G22" s="526"/>
      <c r="I22" s="42">
        <f t="shared" si="0"/>
        <v>0</v>
      </c>
      <c r="J22" s="24">
        <v>0</v>
      </c>
      <c r="K22" s="207">
        <v>1</v>
      </c>
    </row>
    <row r="23" spans="1:22" ht="14" thickBot="1">
      <c r="A23" s="2"/>
      <c r="B23" s="2"/>
      <c r="C23" s="85" t="s">
        <v>643</v>
      </c>
      <c r="D23" s="85"/>
      <c r="E23" s="520"/>
      <c r="F23" s="520" t="s">
        <v>636</v>
      </c>
      <c r="G23" s="520" t="s">
        <v>644</v>
      </c>
      <c r="I23" s="42">
        <f t="shared" si="0"/>
        <v>1</v>
      </c>
      <c r="J23" s="24">
        <v>1</v>
      </c>
      <c r="K23" s="207">
        <v>1</v>
      </c>
      <c r="L23" s="230"/>
    </row>
    <row r="24" spans="1:22" s="2" customFormat="1">
      <c r="C24" s="256" t="s">
        <v>645</v>
      </c>
      <c r="D24" s="272"/>
      <c r="E24" s="521">
        <f ca="1">OFFSET(F24,0,$E$8-1)</f>
        <v>0</v>
      </c>
      <c r="F24" s="529"/>
      <c r="G24" s="529"/>
      <c r="I24" s="42">
        <f t="shared" si="0"/>
        <v>1</v>
      </c>
      <c r="J24" s="24">
        <v>1</v>
      </c>
      <c r="K24" s="207">
        <v>1</v>
      </c>
    </row>
    <row r="25" spans="1:22" s="2" customFormat="1" ht="14" thickBot="1">
      <c r="C25" s="256" t="s">
        <v>646</v>
      </c>
      <c r="D25" s="272"/>
      <c r="E25" s="522">
        <f ca="1">OFFSET(F25,0,$E$8-1)</f>
        <v>0</v>
      </c>
      <c r="F25" s="529"/>
      <c r="G25" s="529"/>
      <c r="I25" s="42">
        <f t="shared" si="0"/>
        <v>1</v>
      </c>
      <c r="J25" s="24">
        <v>1</v>
      </c>
      <c r="K25" s="207">
        <v>1</v>
      </c>
    </row>
    <row r="26" spans="1:22" s="2" customFormat="1">
      <c r="C26" s="256"/>
      <c r="D26" s="272"/>
      <c r="E26" s="519"/>
      <c r="F26" s="526"/>
      <c r="G26" s="526"/>
      <c r="I26" s="42">
        <f t="shared" si="0"/>
        <v>0</v>
      </c>
      <c r="J26" s="24">
        <v>0</v>
      </c>
      <c r="K26" s="207">
        <v>1</v>
      </c>
    </row>
    <row r="27" spans="1:22" ht="14" thickBot="1">
      <c r="A27" s="2"/>
      <c r="B27" s="2"/>
      <c r="C27" s="85" t="s">
        <v>647</v>
      </c>
      <c r="D27" s="85"/>
      <c r="E27" s="520"/>
      <c r="F27" s="520" t="s">
        <v>636</v>
      </c>
      <c r="G27" s="520" t="s">
        <v>644</v>
      </c>
      <c r="I27" s="42">
        <f t="shared" si="0"/>
        <v>1</v>
      </c>
      <c r="J27" s="24">
        <v>1</v>
      </c>
      <c r="K27" s="207">
        <v>1</v>
      </c>
      <c r="L27" s="230"/>
    </row>
    <row r="28" spans="1:22">
      <c r="C28" s="73" t="s">
        <v>648</v>
      </c>
      <c r="D28" s="73"/>
      <c r="E28" s="523">
        <f ca="1">OFFSET(F28,0,$E$8-1)</f>
        <v>0</v>
      </c>
      <c r="F28" s="530"/>
      <c r="G28" s="530"/>
      <c r="I28" s="42">
        <f t="shared" si="0"/>
        <v>1</v>
      </c>
      <c r="J28" s="24">
        <v>1</v>
      </c>
      <c r="K28" s="207">
        <v>1</v>
      </c>
    </row>
    <row r="29" spans="1:22">
      <c r="C29" s="73" t="s">
        <v>649</v>
      </c>
      <c r="D29" s="73"/>
      <c r="E29" s="524">
        <f ca="1">OFFSET(F29,0,$E$8-1)</f>
        <v>0</v>
      </c>
      <c r="F29" s="530"/>
      <c r="G29" s="531"/>
      <c r="I29" s="42">
        <f t="shared" si="0"/>
        <v>1</v>
      </c>
      <c r="J29" s="24">
        <v>1</v>
      </c>
      <c r="K29" s="207">
        <v>1</v>
      </c>
    </row>
    <row r="30" spans="1:22" ht="14" thickBot="1">
      <c r="A30" s="2"/>
      <c r="B30" s="2"/>
      <c r="C30" s="73" t="s">
        <v>650</v>
      </c>
      <c r="D30" s="165"/>
      <c r="E30" s="522">
        <f ca="1">OFFSET(F30,0,$E$8-1)</f>
        <v>0</v>
      </c>
      <c r="F30" s="529"/>
      <c r="G30" s="529"/>
      <c r="H30" s="73"/>
      <c r="I30" s="42">
        <f t="shared" si="0"/>
        <v>1</v>
      </c>
      <c r="J30" s="24">
        <v>1</v>
      </c>
      <c r="K30" s="207">
        <v>1</v>
      </c>
      <c r="S30" s="73"/>
      <c r="U30" s="73"/>
      <c r="V30" s="73"/>
    </row>
    <row r="31" spans="1:22" s="2" customFormat="1">
      <c r="C31" s="256"/>
      <c r="D31" s="272"/>
      <c r="E31" s="519"/>
      <c r="F31" s="526"/>
      <c r="G31" s="526"/>
      <c r="I31" s="42">
        <f t="shared" si="0"/>
        <v>0</v>
      </c>
      <c r="J31" s="24">
        <v>0</v>
      </c>
      <c r="K31" s="207">
        <v>1</v>
      </c>
    </row>
    <row r="32" spans="1:22" ht="14" thickBot="1">
      <c r="A32" s="2"/>
      <c r="B32" s="2"/>
      <c r="C32" s="85" t="s">
        <v>546</v>
      </c>
      <c r="D32" s="85"/>
      <c r="E32" s="351"/>
      <c r="F32" s="520" t="s">
        <v>636</v>
      </c>
      <c r="G32" s="520" t="s">
        <v>644</v>
      </c>
      <c r="I32" s="42">
        <f t="shared" si="0"/>
        <v>1</v>
      </c>
      <c r="J32" s="24">
        <v>1</v>
      </c>
      <c r="K32" s="207">
        <v>1</v>
      </c>
      <c r="L32" s="230"/>
    </row>
    <row r="33" spans="1:25">
      <c r="A33" s="2"/>
      <c r="B33" s="2"/>
      <c r="C33" s="73" t="s">
        <v>651</v>
      </c>
      <c r="D33" s="263"/>
      <c r="E33" s="517">
        <f ca="1">OFFSET(F33,0,$E$8-1)</f>
        <v>0</v>
      </c>
      <c r="F33" s="528"/>
      <c r="G33" s="528"/>
      <c r="I33" s="42">
        <f t="shared" si="0"/>
        <v>1</v>
      </c>
      <c r="J33" s="24">
        <v>1</v>
      </c>
      <c r="K33" s="207">
        <v>1</v>
      </c>
    </row>
    <row r="34" spans="1:25" ht="14" thickBot="1">
      <c r="A34" s="2"/>
      <c r="B34" s="2"/>
      <c r="C34" s="73" t="s">
        <v>652</v>
      </c>
      <c r="D34" s="263"/>
      <c r="E34" s="525">
        <f ca="1">OFFSET(F34,0,$E$8-1)</f>
        <v>0</v>
      </c>
      <c r="F34" s="527"/>
      <c r="G34" s="527"/>
      <c r="I34" s="42">
        <f t="shared" si="0"/>
        <v>1</v>
      </c>
      <c r="J34" s="24">
        <v>1</v>
      </c>
      <c r="K34" s="207">
        <v>1</v>
      </c>
    </row>
    <row r="35" spans="1:25">
      <c r="A35" s="2"/>
      <c r="B35" s="2"/>
      <c r="C35" s="73"/>
      <c r="D35" s="73"/>
      <c r="E35" s="225"/>
      <c r="F35" s="224"/>
      <c r="G35" s="271"/>
      <c r="I35" s="42">
        <f t="shared" si="0"/>
        <v>0</v>
      </c>
      <c r="J35" s="24">
        <v>0</v>
      </c>
      <c r="K35" s="207">
        <v>1</v>
      </c>
    </row>
    <row r="36" spans="1:25">
      <c r="A36" s="266"/>
      <c r="B36" s="266"/>
      <c r="C36" s="926" t="s">
        <v>653</v>
      </c>
      <c r="D36" s="927"/>
      <c r="E36" s="927"/>
      <c r="F36" s="927"/>
      <c r="G36" s="927"/>
      <c r="I36" s="42">
        <f t="shared" si="0"/>
        <v>1</v>
      </c>
      <c r="J36" s="24">
        <v>1</v>
      </c>
      <c r="K36" s="207">
        <v>1</v>
      </c>
      <c r="L36" s="3"/>
    </row>
    <row r="37" spans="1:25" ht="14" thickBot="1">
      <c r="A37" s="2"/>
      <c r="B37" s="2"/>
      <c r="C37" s="85" t="s">
        <v>654</v>
      </c>
      <c r="D37" s="85"/>
      <c r="E37" s="85"/>
      <c r="F37" s="213">
        <f>G113</f>
        <v>2024</v>
      </c>
      <c r="G37" s="213">
        <f>F37+1</f>
        <v>2025</v>
      </c>
      <c r="I37" s="42">
        <f t="shared" si="0"/>
        <v>1</v>
      </c>
      <c r="J37" s="24">
        <v>1</v>
      </c>
      <c r="K37" s="207">
        <v>1</v>
      </c>
      <c r="L37" s="230"/>
    </row>
    <row r="38" spans="1:25">
      <c r="A38" s="2"/>
      <c r="B38" s="2"/>
      <c r="C38" s="73" t="s">
        <v>655</v>
      </c>
      <c r="D38" s="73"/>
      <c r="E38" s="225"/>
      <c r="F38" s="224">
        <f ca="1">IFERROR($F$71/'DCF - Financials'!K53,0)</f>
        <v>2.4885180902032049</v>
      </c>
      <c r="G38" s="224">
        <f ca="1">IFERROR($F$71/'DCF - Financials'!L53,0)</f>
        <v>2.2105941033550449</v>
      </c>
      <c r="I38" s="42">
        <f t="shared" si="0"/>
        <v>1</v>
      </c>
      <c r="J38" s="24">
        <v>1</v>
      </c>
      <c r="K38" s="207">
        <v>1</v>
      </c>
    </row>
    <row r="39" spans="1:25">
      <c r="A39" s="2"/>
      <c r="B39" s="2"/>
      <c r="C39" s="73" t="s">
        <v>656</v>
      </c>
      <c r="D39" s="73"/>
      <c r="E39" s="225"/>
      <c r="F39" s="224">
        <f ca="1">IFERROR($F$71/'DCF - Financials'!K11,0)</f>
        <v>0.88020802898381345</v>
      </c>
      <c r="G39" s="224">
        <f ca="1">IFERROR($F$71/'DCF - Financials'!L11,0)</f>
        <v>0.84740494541768152</v>
      </c>
      <c r="I39" s="42">
        <f t="shared" si="0"/>
        <v>1</v>
      </c>
      <c r="J39" s="24">
        <v>1</v>
      </c>
      <c r="K39" s="207">
        <v>1</v>
      </c>
    </row>
    <row r="40" spans="1:25">
      <c r="A40" s="2"/>
      <c r="B40" s="2"/>
      <c r="C40" s="73" t="s">
        <v>657</v>
      </c>
      <c r="D40" s="73"/>
      <c r="E40" s="225"/>
      <c r="F40" s="224">
        <f>IFERROR($G$91/'DCF - Financials'!K41,0)</f>
        <v>0</v>
      </c>
      <c r="G40" s="224">
        <f>IFERROR($G$91/'DCF - Financials'!L41,0)</f>
        <v>0</v>
      </c>
      <c r="I40" s="42">
        <f t="shared" si="0"/>
        <v>1</v>
      </c>
      <c r="J40" s="24">
        <v>1</v>
      </c>
      <c r="K40" s="207">
        <v>1</v>
      </c>
    </row>
    <row r="41" spans="1:25" ht="4.5" customHeight="1">
      <c r="A41" s="2"/>
      <c r="B41" s="2"/>
      <c r="C41" s="73"/>
      <c r="D41" s="73"/>
      <c r="E41" s="225"/>
      <c r="F41" s="224"/>
      <c r="G41" s="270"/>
      <c r="I41" s="42">
        <f t="shared" si="0"/>
        <v>0</v>
      </c>
      <c r="J41" s="24">
        <v>0</v>
      </c>
      <c r="K41" s="207">
        <v>1</v>
      </c>
    </row>
    <row r="42" spans="1:25">
      <c r="A42" s="2"/>
      <c r="B42" s="2"/>
      <c r="C42" s="73" t="s">
        <v>583</v>
      </c>
      <c r="D42" s="73"/>
      <c r="E42" s="225"/>
      <c r="F42" s="224">
        <f ca="1">'LBO - Outputs'!J43</f>
        <v>0</v>
      </c>
      <c r="G42" s="1298">
        <f ca="1">'LBO - Outputs'!K43</f>
        <v>0</v>
      </c>
      <c r="I42" s="42">
        <f t="shared" si="0"/>
        <v>1</v>
      </c>
      <c r="J42" s="24">
        <v>1</v>
      </c>
      <c r="K42" s="207">
        <v>1</v>
      </c>
    </row>
    <row r="43" spans="1:25">
      <c r="A43" s="2"/>
      <c r="B43" s="2"/>
      <c r="C43" s="73" t="s">
        <v>658</v>
      </c>
      <c r="D43" s="73"/>
      <c r="E43" s="225"/>
      <c r="F43" s="269">
        <f ca="1">IFERROR('LBO - Outputs'!J36/'LBO - Outputs'!J34,0)</f>
        <v>0</v>
      </c>
      <c r="G43" s="268">
        <f ca="1">IFERROR('LBO - Outputs'!K36/'LBO - Outputs'!K34,0)</f>
        <v>0</v>
      </c>
      <c r="I43" s="42">
        <f t="shared" si="0"/>
        <v>1</v>
      </c>
      <c r="J43" s="24">
        <v>1</v>
      </c>
      <c r="K43" s="207">
        <v>1</v>
      </c>
    </row>
    <row r="44" spans="1:25" s="2" customFormat="1" ht="4.5" customHeight="1">
      <c r="C44" s="3"/>
      <c r="D44" s="3"/>
      <c r="E44" s="225"/>
      <c r="F44" s="404" t="s">
        <v>659</v>
      </c>
      <c r="G44" s="268"/>
      <c r="I44" s="42">
        <f t="shared" si="0"/>
        <v>0</v>
      </c>
      <c r="J44" s="24">
        <v>0</v>
      </c>
      <c r="K44" s="207">
        <v>1</v>
      </c>
    </row>
    <row r="45" spans="1:25" s="164" customFormat="1">
      <c r="A45" s="41"/>
      <c r="B45" s="41"/>
      <c r="C45" s="217" t="s">
        <v>660</v>
      </c>
      <c r="D45" s="217"/>
      <c r="E45" s="217"/>
      <c r="F45" s="217"/>
      <c r="G45" s="267">
        <f ca="1">G117</f>
        <v>0.15347721715742568</v>
      </c>
      <c r="I45" s="42">
        <f t="shared" si="0"/>
        <v>1</v>
      </c>
      <c r="J45" s="24">
        <v>1</v>
      </c>
      <c r="K45" s="207">
        <v>1</v>
      </c>
    </row>
    <row r="46" spans="1:25">
      <c r="A46" s="2"/>
      <c r="B46" s="2"/>
      <c r="I46" s="42">
        <f t="shared" si="0"/>
        <v>0</v>
      </c>
      <c r="J46" s="24">
        <v>0</v>
      </c>
      <c r="K46" s="207">
        <v>1</v>
      </c>
    </row>
    <row r="47" spans="1:25">
      <c r="A47" s="266"/>
      <c r="B47" s="266"/>
      <c r="C47" s="926" t="s">
        <v>661</v>
      </c>
      <c r="D47" s="927"/>
      <c r="E47" s="927"/>
      <c r="F47" s="927"/>
      <c r="G47" s="927"/>
      <c r="I47" s="42">
        <f t="shared" si="0"/>
        <v>1</v>
      </c>
      <c r="J47" s="24">
        <v>1</v>
      </c>
      <c r="K47" s="207">
        <v>1</v>
      </c>
    </row>
    <row r="48" spans="1:25" ht="14" thickBot="1">
      <c r="A48" s="2"/>
      <c r="B48" s="2"/>
      <c r="C48" s="85" t="s">
        <v>662</v>
      </c>
      <c r="D48" s="238" t="s">
        <v>663</v>
      </c>
      <c r="E48" s="85" t="s">
        <v>583</v>
      </c>
      <c r="F48" s="238" t="s">
        <v>664</v>
      </c>
      <c r="G48" s="238" t="s">
        <v>665</v>
      </c>
      <c r="H48" s="73"/>
      <c r="I48" s="42">
        <f t="shared" si="0"/>
        <v>1</v>
      </c>
      <c r="J48" s="24">
        <v>1</v>
      </c>
      <c r="K48" s="207">
        <v>1</v>
      </c>
      <c r="Y48" s="265"/>
    </row>
    <row r="49" spans="1:24">
      <c r="A49" s="2"/>
      <c r="B49" s="2"/>
      <c r="C49" s="73" t="s">
        <v>554</v>
      </c>
      <c r="D49" s="263">
        <v>1</v>
      </c>
      <c r="E49" s="262">
        <f ca="1">E12</f>
        <v>0</v>
      </c>
      <c r="F49" s="6">
        <f ca="1">E49*'LBO - Outputs'!$K$56</f>
        <v>0</v>
      </c>
      <c r="G49" s="226">
        <f ca="1">F49/$F$59</f>
        <v>0</v>
      </c>
      <c r="H49" s="73"/>
      <c r="I49" s="42">
        <f t="shared" si="0"/>
        <v>1</v>
      </c>
      <c r="J49" s="24">
        <v>1</v>
      </c>
      <c r="K49" s="207">
        <v>1</v>
      </c>
    </row>
    <row r="50" spans="1:24">
      <c r="A50" s="2"/>
      <c r="B50" s="2"/>
      <c r="C50" s="73" t="s">
        <v>555</v>
      </c>
      <c r="D50" s="263">
        <v>0</v>
      </c>
      <c r="E50" s="262">
        <f ca="1">E13</f>
        <v>0</v>
      </c>
      <c r="F50" s="6">
        <f ca="1">E50*'LBO - Outputs'!$K$56</f>
        <v>0</v>
      </c>
      <c r="G50" s="226">
        <f ca="1">F50/$F$59</f>
        <v>0</v>
      </c>
      <c r="H50" s="73"/>
      <c r="I50" s="42">
        <f t="shared" si="0"/>
        <v>1</v>
      </c>
      <c r="J50" s="24">
        <v>1</v>
      </c>
      <c r="K50" s="207">
        <v>1</v>
      </c>
    </row>
    <row r="51" spans="1:24">
      <c r="A51" s="2"/>
      <c r="B51" s="2"/>
      <c r="C51" s="264" t="s">
        <v>557</v>
      </c>
      <c r="D51" s="263">
        <v>1</v>
      </c>
      <c r="E51" s="262">
        <f ca="1">E14</f>
        <v>0</v>
      </c>
      <c r="F51" s="6">
        <f ca="1">E51*'LBO - Outputs'!$J$56</f>
        <v>0</v>
      </c>
      <c r="G51" s="226">
        <f ca="1">F51/$F$59</f>
        <v>0</v>
      </c>
      <c r="I51" s="42">
        <f t="shared" si="0"/>
        <v>1</v>
      </c>
      <c r="J51" s="24">
        <v>1</v>
      </c>
      <c r="K51" s="207">
        <v>1</v>
      </c>
    </row>
    <row r="52" spans="1:24">
      <c r="A52" s="2"/>
      <c r="B52" s="2"/>
      <c r="C52" s="73" t="s">
        <v>558</v>
      </c>
      <c r="D52" s="263">
        <v>0</v>
      </c>
      <c r="E52" s="262">
        <f ca="1">E15</f>
        <v>0</v>
      </c>
      <c r="F52" s="6">
        <f ca="1">MIN(E52*'LBO - Outputs'!$J$56,F66)</f>
        <v>0</v>
      </c>
      <c r="G52" s="226">
        <f ca="1">F52/$F$59</f>
        <v>0</v>
      </c>
      <c r="H52" s="73"/>
      <c r="I52" s="42">
        <f t="shared" si="0"/>
        <v>1</v>
      </c>
      <c r="J52" s="24">
        <v>1</v>
      </c>
      <c r="K52" s="207">
        <v>1</v>
      </c>
      <c r="S52" s="73"/>
      <c r="T52" s="73"/>
      <c r="U52" s="73"/>
      <c r="V52" s="73"/>
      <c r="W52" s="73"/>
      <c r="X52" s="73"/>
    </row>
    <row r="53" spans="1:24">
      <c r="A53" s="2"/>
      <c r="B53" s="2"/>
      <c r="C53" s="74" t="s">
        <v>666</v>
      </c>
      <c r="D53" s="74"/>
      <c r="E53" s="261">
        <f ca="1">SUM(E49:E52)</f>
        <v>0</v>
      </c>
      <c r="F53" s="260">
        <f ca="1">SUM(F49:F52)</f>
        <v>0</v>
      </c>
      <c r="G53" s="257">
        <f ca="1">F53/$F$59</f>
        <v>0</v>
      </c>
      <c r="H53" s="73"/>
      <c r="I53" s="42">
        <f t="shared" si="0"/>
        <v>1</v>
      </c>
      <c r="J53" s="24">
        <v>1</v>
      </c>
      <c r="K53" s="207">
        <v>1</v>
      </c>
    </row>
    <row r="54" spans="1:24" ht="4.5" customHeight="1">
      <c r="A54" s="2"/>
      <c r="B54" s="2"/>
      <c r="C54" s="73"/>
      <c r="D54" s="73"/>
      <c r="E54" s="73"/>
      <c r="F54" s="18"/>
      <c r="G54" s="73"/>
      <c r="I54" s="42">
        <f t="shared" si="0"/>
        <v>0</v>
      </c>
      <c r="J54" s="24">
        <v>0</v>
      </c>
      <c r="K54" s="207">
        <v>1</v>
      </c>
      <c r="L54" s="73"/>
      <c r="S54" s="73"/>
      <c r="U54" s="73"/>
      <c r="V54" s="73"/>
      <c r="W54" s="73"/>
    </row>
    <row r="55" spans="1:24">
      <c r="A55" s="2"/>
      <c r="B55" s="2"/>
      <c r="C55" s="73" t="s">
        <v>561</v>
      </c>
      <c r="D55" s="73"/>
      <c r="E55" s="259"/>
      <c r="F55" s="18">
        <f ca="1">F68-F53-F58</f>
        <v>15063</v>
      </c>
      <c r="G55" s="226">
        <f ca="1">F55/$F$59</f>
        <v>0.91279844867288817</v>
      </c>
      <c r="I55" s="42">
        <f t="shared" si="0"/>
        <v>1</v>
      </c>
      <c r="J55" s="24">
        <v>1</v>
      </c>
      <c r="K55" s="207">
        <v>1</v>
      </c>
    </row>
    <row r="56" spans="1:24">
      <c r="A56" s="2"/>
      <c r="B56" s="2"/>
      <c r="C56" s="74" t="s">
        <v>667</v>
      </c>
      <c r="D56" s="74"/>
      <c r="E56" s="74"/>
      <c r="F56" s="258">
        <f ca="1">SUM(F55:F55)</f>
        <v>15063</v>
      </c>
      <c r="G56" s="257">
        <f ca="1">F56/$F$59</f>
        <v>0.91279844867288817</v>
      </c>
      <c r="I56" s="42">
        <f t="shared" si="0"/>
        <v>1</v>
      </c>
      <c r="J56" s="24">
        <v>1</v>
      </c>
      <c r="K56" s="207">
        <v>1</v>
      </c>
    </row>
    <row r="57" spans="1:24" ht="4.5" customHeight="1">
      <c r="A57" s="2"/>
      <c r="B57" s="2"/>
      <c r="C57" s="73"/>
      <c r="D57" s="73"/>
      <c r="E57" s="73"/>
      <c r="F57" s="18"/>
      <c r="G57" s="73"/>
      <c r="I57" s="42">
        <f t="shared" si="0"/>
        <v>0</v>
      </c>
      <c r="J57" s="24">
        <v>0</v>
      </c>
      <c r="K57" s="207">
        <v>1</v>
      </c>
      <c r="L57" s="73"/>
      <c r="S57" s="73"/>
      <c r="U57" s="73"/>
      <c r="V57" s="73"/>
      <c r="W57" s="73"/>
    </row>
    <row r="58" spans="1:24">
      <c r="A58" s="2"/>
      <c r="B58" s="2"/>
      <c r="C58" s="256" t="s">
        <v>668</v>
      </c>
      <c r="D58" s="256"/>
      <c r="E58" s="3"/>
      <c r="F58" s="255">
        <f ca="1">G86</f>
        <v>1439</v>
      </c>
      <c r="G58" s="146">
        <f ca="1">F58/$F$59</f>
        <v>8.7201551327111868E-2</v>
      </c>
      <c r="I58" s="42">
        <f t="shared" si="0"/>
        <v>1</v>
      </c>
      <c r="J58" s="24">
        <v>1</v>
      </c>
      <c r="K58" s="207">
        <v>1</v>
      </c>
      <c r="S58" s="73"/>
      <c r="T58" s="254"/>
      <c r="U58" s="73"/>
      <c r="V58" s="73"/>
      <c r="W58" s="73"/>
      <c r="X58" s="73"/>
    </row>
    <row r="59" spans="1:24">
      <c r="A59" s="2"/>
      <c r="B59" s="2"/>
      <c r="C59" s="78" t="s">
        <v>669</v>
      </c>
      <c r="D59" s="78"/>
      <c r="E59" s="32"/>
      <c r="F59" s="218">
        <f ca="1">SUM(F53,F56,F58)</f>
        <v>16502</v>
      </c>
      <c r="G59" s="244">
        <f ca="1">G53+G56+G58</f>
        <v>1</v>
      </c>
      <c r="I59" s="42">
        <f t="shared" si="0"/>
        <v>1</v>
      </c>
      <c r="J59" s="24">
        <v>1</v>
      </c>
      <c r="K59" s="207">
        <v>1</v>
      </c>
      <c r="S59" s="73"/>
      <c r="U59" s="73"/>
      <c r="V59" s="73"/>
    </row>
    <row r="60" spans="1:24">
      <c r="A60" s="2"/>
      <c r="B60" s="2"/>
      <c r="I60" s="42">
        <f t="shared" si="0"/>
        <v>0</v>
      </c>
      <c r="J60" s="24">
        <v>0</v>
      </c>
      <c r="K60" s="207">
        <v>1</v>
      </c>
      <c r="S60" s="73"/>
      <c r="U60" s="73"/>
      <c r="V60" s="73"/>
    </row>
    <row r="61" spans="1:24" ht="14" thickBot="1">
      <c r="A61" s="2"/>
      <c r="B61" s="2"/>
      <c r="C61" s="85" t="s">
        <v>670</v>
      </c>
      <c r="D61" s="85"/>
      <c r="E61" s="85"/>
      <c r="F61" s="238"/>
      <c r="G61" s="238"/>
      <c r="I61" s="42">
        <f t="shared" si="0"/>
        <v>1</v>
      </c>
      <c r="J61" s="24">
        <v>1</v>
      </c>
      <c r="K61" s="207">
        <v>1</v>
      </c>
    </row>
    <row r="62" spans="1:24">
      <c r="A62" s="2"/>
      <c r="B62" s="2"/>
      <c r="C62" s="73" t="s">
        <v>556</v>
      </c>
      <c r="D62" s="73"/>
      <c r="E62" s="73"/>
      <c r="F62" s="18">
        <f>G92</f>
        <v>0</v>
      </c>
      <c r="G62" s="245">
        <f ca="1">F62/$F$68</f>
        <v>0</v>
      </c>
      <c r="I62" s="42">
        <f t="shared" si="0"/>
        <v>1</v>
      </c>
      <c r="J62" s="24">
        <v>1</v>
      </c>
      <c r="K62" s="207">
        <v>1</v>
      </c>
    </row>
    <row r="63" spans="1:24">
      <c r="A63" s="2"/>
      <c r="B63" s="2"/>
      <c r="C63" s="73" t="s">
        <v>671</v>
      </c>
      <c r="D63" s="73"/>
      <c r="E63" s="73"/>
      <c r="F63" s="18">
        <f ca="1">G95</f>
        <v>0</v>
      </c>
      <c r="G63" s="245">
        <f ca="1">F63/$F$68</f>
        <v>0</v>
      </c>
      <c r="I63" s="42">
        <f t="shared" si="0"/>
        <v>1</v>
      </c>
      <c r="J63" s="24">
        <v>1</v>
      </c>
      <c r="K63" s="207">
        <v>1</v>
      </c>
    </row>
    <row r="64" spans="1:24" s="164" customFormat="1">
      <c r="A64" s="41"/>
      <c r="B64" s="41"/>
      <c r="C64" s="253" t="s">
        <v>556</v>
      </c>
      <c r="D64" s="253"/>
      <c r="E64" s="253"/>
      <c r="F64" s="252">
        <f ca="1">SUM(F62:F63)</f>
        <v>0</v>
      </c>
      <c r="G64" s="251">
        <f ca="1">F64/$F$68</f>
        <v>0</v>
      </c>
      <c r="I64" s="42">
        <f t="shared" si="0"/>
        <v>1</v>
      </c>
      <c r="J64" s="24">
        <v>1</v>
      </c>
      <c r="K64" s="207">
        <v>1</v>
      </c>
    </row>
    <row r="65" spans="1:25" s="164" customFormat="1" ht="4.5" customHeight="1">
      <c r="A65" s="41"/>
      <c r="B65" s="41"/>
      <c r="C65" s="165"/>
      <c r="D65" s="165"/>
      <c r="E65" s="165"/>
      <c r="F65" s="17"/>
      <c r="G65" s="250"/>
      <c r="I65" s="42">
        <f t="shared" si="0"/>
        <v>0</v>
      </c>
      <c r="J65" s="24">
        <v>0</v>
      </c>
      <c r="K65" s="207">
        <v>1</v>
      </c>
    </row>
    <row r="66" spans="1:25">
      <c r="A66" s="2"/>
      <c r="B66" s="2"/>
      <c r="C66" s="73" t="s">
        <v>672</v>
      </c>
      <c r="D66" s="73"/>
      <c r="E66" s="73"/>
      <c r="F66" s="6">
        <f>G99</f>
        <v>16502</v>
      </c>
      <c r="G66" s="245">
        <f ca="1">F66/$F$68</f>
        <v>1</v>
      </c>
      <c r="I66" s="42">
        <f t="shared" si="0"/>
        <v>1</v>
      </c>
      <c r="J66" s="24">
        <v>1</v>
      </c>
      <c r="K66" s="207">
        <v>1</v>
      </c>
    </row>
    <row r="67" spans="1:25">
      <c r="A67" s="2"/>
      <c r="B67" s="2"/>
      <c r="C67" s="73" t="s">
        <v>559</v>
      </c>
      <c r="D67" s="73"/>
      <c r="E67" s="73"/>
      <c r="F67" s="18">
        <f ca="1">G106</f>
        <v>0</v>
      </c>
      <c r="G67" s="245">
        <f ca="1">F67/$F$68</f>
        <v>0</v>
      </c>
      <c r="I67" s="42">
        <f t="shared" si="0"/>
        <v>1</v>
      </c>
      <c r="J67" s="24">
        <v>1</v>
      </c>
      <c r="K67" s="207">
        <v>1</v>
      </c>
    </row>
    <row r="68" spans="1:25">
      <c r="A68" s="3" t="str">
        <f ca="1">IF(F68=F59,"OK","Error")</f>
        <v>OK</v>
      </c>
      <c r="B68" s="3"/>
      <c r="C68" s="249" t="s">
        <v>673</v>
      </c>
      <c r="D68" s="249"/>
      <c r="E68" s="74"/>
      <c r="F68" s="248">
        <f ca="1">SUM(F64:F67)</f>
        <v>16502</v>
      </c>
      <c r="G68" s="247">
        <f ca="1">SUM(G64:G67)</f>
        <v>1</v>
      </c>
      <c r="I68" s="42">
        <f t="shared" si="0"/>
        <v>1</v>
      </c>
      <c r="J68" s="24">
        <v>1</v>
      </c>
      <c r="K68" s="207">
        <v>1</v>
      </c>
    </row>
    <row r="69" spans="1:25" ht="4.5" customHeight="1">
      <c r="A69" s="3"/>
      <c r="B69" s="3"/>
      <c r="C69" s="23"/>
      <c r="D69" s="23"/>
      <c r="E69" s="3"/>
      <c r="F69" s="22"/>
      <c r="G69" s="246"/>
      <c r="I69" s="42">
        <f t="shared" si="0"/>
        <v>0</v>
      </c>
      <c r="J69" s="24">
        <v>0</v>
      </c>
      <c r="K69" s="207">
        <v>1</v>
      </c>
    </row>
    <row r="70" spans="1:25">
      <c r="C70" s="3" t="s">
        <v>674</v>
      </c>
      <c r="D70" s="3"/>
      <c r="E70" s="73"/>
      <c r="F70" s="18">
        <f>-G84</f>
        <v>-1439</v>
      </c>
      <c r="G70" s="245">
        <f ca="1">F70/$F$71</f>
        <v>-9.5532098519551217E-2</v>
      </c>
      <c r="I70" s="42">
        <f t="shared" si="0"/>
        <v>1</v>
      </c>
      <c r="J70" s="24">
        <v>1</v>
      </c>
      <c r="K70" s="207">
        <v>1</v>
      </c>
    </row>
    <row r="71" spans="1:25">
      <c r="C71" s="78" t="s">
        <v>675</v>
      </c>
      <c r="D71" s="78"/>
      <c r="E71" s="32"/>
      <c r="F71" s="218">
        <f ca="1">F68+F70</f>
        <v>15063</v>
      </c>
      <c r="G71" s="244">
        <f ca="1">G70+G68</f>
        <v>0.90446790148044875</v>
      </c>
      <c r="I71" s="42">
        <f t="shared" si="0"/>
        <v>1</v>
      </c>
      <c r="J71" s="24">
        <v>1</v>
      </c>
      <c r="K71" s="207">
        <v>1</v>
      </c>
    </row>
    <row r="72" spans="1:25">
      <c r="A72" s="2"/>
      <c r="B72" s="2"/>
      <c r="C72" s="73"/>
      <c r="D72" s="73"/>
      <c r="E72" s="73"/>
      <c r="F72" s="73"/>
      <c r="G72" s="73"/>
      <c r="H72" s="73"/>
      <c r="I72" s="42">
        <f t="shared" ref="I72:I117" si="1">IF(NOT(ISBLANK(C72)), 1, 0)</f>
        <v>0</v>
      </c>
      <c r="J72" s="24">
        <v>0</v>
      </c>
      <c r="K72" s="207">
        <v>1</v>
      </c>
      <c r="L72" s="73"/>
      <c r="Y72" s="165"/>
    </row>
    <row r="73" spans="1:25">
      <c r="A73" s="231"/>
      <c r="B73" s="231"/>
      <c r="C73" s="926" t="s">
        <v>676</v>
      </c>
      <c r="D73" s="927"/>
      <c r="E73" s="927"/>
      <c r="F73" s="927"/>
      <c r="G73" s="927"/>
      <c r="I73" s="42">
        <f t="shared" si="1"/>
        <v>1</v>
      </c>
      <c r="J73" s="24">
        <v>1</v>
      </c>
      <c r="K73" s="207">
        <v>1</v>
      </c>
    </row>
    <row r="74" spans="1:25" ht="14" thickBot="1">
      <c r="A74" s="2"/>
      <c r="B74" s="2"/>
      <c r="C74" s="85" t="s">
        <v>677</v>
      </c>
      <c r="D74" s="85"/>
      <c r="E74" s="85"/>
      <c r="F74" s="238" t="s">
        <v>678</v>
      </c>
      <c r="G74" s="238" t="s">
        <v>679</v>
      </c>
      <c r="I74" s="42">
        <f t="shared" si="1"/>
        <v>1</v>
      </c>
      <c r="J74" s="24">
        <v>1</v>
      </c>
      <c r="K74" s="207">
        <v>1</v>
      </c>
    </row>
    <row r="75" spans="1:25">
      <c r="A75" s="2"/>
      <c r="B75" s="2"/>
      <c r="C75" s="73" t="str">
        <f>C49</f>
        <v>Senior Debt</v>
      </c>
      <c r="D75" s="73"/>
      <c r="E75" s="73"/>
      <c r="F75" s="243">
        <v>2</v>
      </c>
      <c r="G75" s="10">
        <f ca="1">E18</f>
        <v>0</v>
      </c>
      <c r="I75" s="42">
        <f t="shared" si="1"/>
        <v>1</v>
      </c>
      <c r="J75" s="24">
        <v>1</v>
      </c>
      <c r="K75" s="207">
        <v>1</v>
      </c>
    </row>
    <row r="76" spans="1:25">
      <c r="A76" s="2"/>
      <c r="B76" s="2"/>
      <c r="C76" s="73" t="str">
        <f>C50</f>
        <v>Junior Debt</v>
      </c>
      <c r="D76" s="73"/>
      <c r="E76" s="73"/>
      <c r="F76" s="243">
        <v>1</v>
      </c>
      <c r="G76" s="10">
        <f ca="1">E19</f>
        <v>0</v>
      </c>
      <c r="I76" s="42">
        <f t="shared" si="1"/>
        <v>1</v>
      </c>
      <c r="J76" s="24">
        <v>1</v>
      </c>
      <c r="K76" s="207">
        <v>1</v>
      </c>
    </row>
    <row r="77" spans="1:25">
      <c r="A77" s="2"/>
      <c r="B77" s="2"/>
      <c r="C77" s="73" t="str">
        <f>C51</f>
        <v>Revolver</v>
      </c>
      <c r="D77" s="73"/>
      <c r="E77" s="73"/>
      <c r="F77" s="243">
        <v>3</v>
      </c>
      <c r="G77" s="10">
        <f ca="1">E20</f>
        <v>0</v>
      </c>
      <c r="I77" s="42">
        <f t="shared" si="1"/>
        <v>1</v>
      </c>
      <c r="J77" s="24">
        <v>1</v>
      </c>
      <c r="K77" s="207">
        <v>1</v>
      </c>
    </row>
    <row r="78" spans="1:25">
      <c r="A78" s="2"/>
      <c r="B78" s="2"/>
      <c r="C78" s="73" t="str">
        <f>C52</f>
        <v>Assumed Debt</v>
      </c>
      <c r="D78" s="73"/>
      <c r="E78" s="73"/>
      <c r="F78" s="243">
        <v>4</v>
      </c>
      <c r="G78" s="10">
        <f ca="1">$E$21</f>
        <v>0</v>
      </c>
      <c r="I78" s="42">
        <f t="shared" si="1"/>
        <v>1</v>
      </c>
      <c r="J78" s="24">
        <v>1</v>
      </c>
      <c r="K78" s="207">
        <v>1</v>
      </c>
    </row>
    <row r="79" spans="1:25">
      <c r="A79" s="2"/>
      <c r="B79" s="2"/>
      <c r="I79" s="42">
        <f t="shared" si="1"/>
        <v>0</v>
      </c>
      <c r="J79" s="24">
        <v>0</v>
      </c>
      <c r="K79" s="207">
        <v>1</v>
      </c>
    </row>
    <row r="80" spans="1:25" ht="14" thickBot="1">
      <c r="A80" s="2"/>
      <c r="B80" s="2"/>
      <c r="C80" s="85" t="s">
        <v>680</v>
      </c>
      <c r="D80" s="85"/>
      <c r="E80" s="85"/>
      <c r="F80" s="238"/>
      <c r="G80" s="238"/>
      <c r="I80" s="42">
        <f t="shared" si="1"/>
        <v>1</v>
      </c>
      <c r="J80" s="24">
        <v>1</v>
      </c>
      <c r="K80" s="207">
        <v>1</v>
      </c>
      <c r="S80" s="73"/>
      <c r="U80" s="73"/>
      <c r="V80" s="73"/>
    </row>
    <row r="81" spans="1:24">
      <c r="A81" s="2"/>
      <c r="B81" s="2"/>
      <c r="C81" s="73" t="s">
        <v>681</v>
      </c>
      <c r="D81" s="165"/>
      <c r="E81" s="73"/>
      <c r="G81" s="242">
        <v>1</v>
      </c>
      <c r="H81" s="73"/>
      <c r="I81" s="42">
        <f t="shared" si="1"/>
        <v>1</v>
      </c>
      <c r="J81" s="24">
        <v>1</v>
      </c>
      <c r="K81" s="207">
        <v>1</v>
      </c>
      <c r="S81" s="73"/>
      <c r="U81" s="73"/>
      <c r="V81" s="73"/>
    </row>
    <row r="82" spans="1:24">
      <c r="A82" s="2"/>
      <c r="B82" s="2"/>
      <c r="C82" s="73" t="s">
        <v>682</v>
      </c>
      <c r="D82" s="165"/>
      <c r="E82" s="73"/>
      <c r="G82" s="242">
        <v>1</v>
      </c>
      <c r="H82" s="73"/>
      <c r="I82" s="42">
        <f t="shared" si="1"/>
        <v>1</v>
      </c>
      <c r="J82" s="24">
        <v>1</v>
      </c>
      <c r="K82" s="207">
        <v>1</v>
      </c>
      <c r="S82" s="73"/>
      <c r="U82" s="73"/>
      <c r="V82" s="73"/>
    </row>
    <row r="83" spans="1:24">
      <c r="A83" s="2"/>
      <c r="B83" s="2"/>
      <c r="C83" s="73" t="s">
        <v>650</v>
      </c>
      <c r="D83" s="165"/>
      <c r="E83" s="73"/>
      <c r="G83" s="241">
        <f ca="1">E30</f>
        <v>0</v>
      </c>
      <c r="H83" s="73"/>
      <c r="I83" s="42">
        <f t="shared" si="1"/>
        <v>1</v>
      </c>
      <c r="J83" s="24">
        <v>1</v>
      </c>
      <c r="K83" s="207">
        <v>1</v>
      </c>
      <c r="S83" s="73"/>
      <c r="U83" s="73"/>
      <c r="V83" s="73"/>
    </row>
    <row r="84" spans="1:24">
      <c r="A84" s="2"/>
      <c r="B84" s="2"/>
      <c r="C84" s="3" t="s">
        <v>683</v>
      </c>
      <c r="D84" s="3"/>
      <c r="E84" s="3"/>
      <c r="G84" s="6">
        <f>'DCF - Outputs'!L48</f>
        <v>1439</v>
      </c>
      <c r="I84" s="42">
        <f t="shared" si="1"/>
        <v>1</v>
      </c>
      <c r="J84" s="24">
        <v>1</v>
      </c>
      <c r="K84" s="207">
        <v>1</v>
      </c>
      <c r="S84" s="227"/>
      <c r="T84" s="73"/>
      <c r="U84" s="73"/>
    </row>
    <row r="85" spans="1:24">
      <c r="A85" s="2"/>
      <c r="B85" s="2"/>
      <c r="C85" s="3" t="s">
        <v>684</v>
      </c>
      <c r="D85" s="3"/>
      <c r="E85" s="3"/>
      <c r="G85" s="6">
        <f ca="1">IF(G81=1,G83,0)</f>
        <v>0</v>
      </c>
      <c r="I85" s="42">
        <f t="shared" si="1"/>
        <v>1</v>
      </c>
      <c r="J85" s="24">
        <v>1</v>
      </c>
      <c r="K85" s="207">
        <v>1</v>
      </c>
      <c r="S85" s="73"/>
      <c r="T85" s="73"/>
      <c r="U85" s="73"/>
      <c r="V85" s="73"/>
      <c r="W85" s="73"/>
      <c r="X85" s="73"/>
    </row>
    <row r="86" spans="1:24">
      <c r="A86" s="2"/>
      <c r="B86" s="2"/>
      <c r="C86" s="3" t="s">
        <v>685</v>
      </c>
      <c r="D86" s="3"/>
      <c r="E86" s="3"/>
      <c r="G86" s="6">
        <f ca="1">IF(G82=1,G84-G85,0)</f>
        <v>1439</v>
      </c>
      <c r="I86" s="42">
        <f t="shared" si="1"/>
        <v>1</v>
      </c>
      <c r="J86" s="24">
        <v>1</v>
      </c>
      <c r="K86" s="207">
        <v>1</v>
      </c>
      <c r="S86" s="73"/>
      <c r="T86" s="73"/>
      <c r="U86" s="73"/>
      <c r="V86" s="73"/>
      <c r="W86" s="73"/>
      <c r="X86" s="73"/>
    </row>
    <row r="87" spans="1:24">
      <c r="A87" s="2"/>
      <c r="B87" s="2"/>
      <c r="C87" s="165"/>
      <c r="D87" s="165"/>
      <c r="E87" s="73"/>
      <c r="F87" s="73"/>
      <c r="H87" s="73"/>
      <c r="I87" s="42">
        <f t="shared" si="1"/>
        <v>0</v>
      </c>
      <c r="J87" s="24">
        <v>0</v>
      </c>
      <c r="K87" s="207">
        <v>1</v>
      </c>
      <c r="S87" s="73"/>
      <c r="U87" s="73"/>
      <c r="V87" s="73"/>
    </row>
    <row r="88" spans="1:24">
      <c r="A88" s="231"/>
      <c r="B88" s="231"/>
      <c r="C88" s="926" t="s">
        <v>686</v>
      </c>
      <c r="D88" s="927"/>
      <c r="E88" s="927"/>
      <c r="F88" s="927"/>
      <c r="G88" s="927"/>
      <c r="I88" s="42">
        <f t="shared" si="1"/>
        <v>1</v>
      </c>
      <c r="J88" s="24">
        <v>1</v>
      </c>
      <c r="K88" s="207">
        <v>1</v>
      </c>
    </row>
    <row r="89" spans="1:24" ht="14" thickBot="1">
      <c r="A89" s="2"/>
      <c r="B89" s="2"/>
      <c r="C89" s="85" t="s">
        <v>687</v>
      </c>
      <c r="D89" s="85"/>
      <c r="E89" s="85"/>
      <c r="F89" s="238"/>
      <c r="G89" s="238"/>
      <c r="I89" s="42">
        <f t="shared" si="1"/>
        <v>1</v>
      </c>
      <c r="J89" s="24">
        <v>1</v>
      </c>
      <c r="K89" s="207">
        <v>1</v>
      </c>
    </row>
    <row r="90" spans="1:24">
      <c r="C90" s="73" t="s">
        <v>688</v>
      </c>
      <c r="D90" s="73"/>
      <c r="E90" s="73"/>
      <c r="G90" s="6">
        <f>'DCF - Valuation'!S25</f>
        <v>2240</v>
      </c>
      <c r="I90" s="42">
        <f t="shared" si="1"/>
        <v>1</v>
      </c>
      <c r="J90" s="24">
        <v>1</v>
      </c>
      <c r="K90" s="207">
        <v>1</v>
      </c>
    </row>
    <row r="91" spans="1:24">
      <c r="C91" s="73" t="s">
        <v>689</v>
      </c>
      <c r="D91" s="73"/>
      <c r="E91" s="73"/>
      <c r="G91" s="964"/>
      <c r="I91" s="42">
        <f t="shared" si="1"/>
        <v>1</v>
      </c>
      <c r="J91" s="24">
        <v>1</v>
      </c>
      <c r="K91" s="207">
        <v>1</v>
      </c>
    </row>
    <row r="92" spans="1:24">
      <c r="C92" s="73" t="s">
        <v>690</v>
      </c>
      <c r="D92" s="73"/>
      <c r="E92" s="73"/>
      <c r="G92" s="6">
        <f>G90*G91</f>
        <v>0</v>
      </c>
      <c r="I92" s="42">
        <f t="shared" si="1"/>
        <v>1</v>
      </c>
      <c r="J92" s="24">
        <v>1</v>
      </c>
      <c r="K92" s="207">
        <v>1</v>
      </c>
    </row>
    <row r="93" spans="1:24">
      <c r="C93" s="73" t="s">
        <v>691</v>
      </c>
      <c r="D93" s="73"/>
      <c r="E93" s="73"/>
      <c r="G93" s="126">
        <f ca="1">E33</f>
        <v>0</v>
      </c>
      <c r="I93" s="42">
        <f t="shared" si="1"/>
        <v>1</v>
      </c>
      <c r="J93" s="24">
        <v>1</v>
      </c>
      <c r="K93" s="207">
        <v>1</v>
      </c>
    </row>
    <row r="94" spans="1:24">
      <c r="C94" s="73" t="s">
        <v>692</v>
      </c>
      <c r="D94" s="73"/>
      <c r="E94" s="73"/>
      <c r="G94" s="1167">
        <f ca="1">G91*(1+G93)</f>
        <v>0</v>
      </c>
      <c r="I94" s="42">
        <f t="shared" si="1"/>
        <v>1</v>
      </c>
      <c r="J94" s="24">
        <v>1</v>
      </c>
      <c r="K94" s="207">
        <v>1</v>
      </c>
    </row>
    <row r="95" spans="1:24">
      <c r="C95" s="73" t="s">
        <v>671</v>
      </c>
      <c r="D95" s="73"/>
      <c r="E95" s="73"/>
      <c r="G95" s="6">
        <f ca="1">G92*G93</f>
        <v>0</v>
      </c>
      <c r="I95" s="42">
        <f t="shared" si="1"/>
        <v>1</v>
      </c>
      <c r="J95" s="24">
        <v>1</v>
      </c>
      <c r="K95" s="207">
        <v>1</v>
      </c>
    </row>
    <row r="96" spans="1:24">
      <c r="C96" s="78" t="s">
        <v>693</v>
      </c>
      <c r="D96" s="78"/>
      <c r="E96" s="78"/>
      <c r="F96" s="78"/>
      <c r="G96" s="218">
        <f ca="1">G92+G95</f>
        <v>0</v>
      </c>
      <c r="I96" s="42">
        <f t="shared" si="1"/>
        <v>1</v>
      </c>
      <c r="J96" s="24">
        <v>1</v>
      </c>
      <c r="K96" s="207">
        <v>1</v>
      </c>
    </row>
    <row r="97" spans="3:11">
      <c r="C97" s="23" t="s">
        <v>694</v>
      </c>
      <c r="D97" s="23"/>
      <c r="E97" s="23"/>
      <c r="F97" s="23"/>
      <c r="G97" s="22"/>
      <c r="I97" s="42">
        <f t="shared" si="1"/>
        <v>1</v>
      </c>
      <c r="J97" s="24">
        <v>1</v>
      </c>
      <c r="K97" s="207"/>
    </row>
    <row r="98" spans="3:11" ht="14" thickBot="1">
      <c r="C98" s="85" t="s">
        <v>695</v>
      </c>
      <c r="D98" s="85"/>
      <c r="E98" s="85"/>
      <c r="F98" s="238"/>
      <c r="G98" s="238"/>
      <c r="I98" s="42">
        <f t="shared" si="1"/>
        <v>1</v>
      </c>
      <c r="J98" s="24">
        <v>1</v>
      </c>
      <c r="K98" s="207">
        <v>1</v>
      </c>
    </row>
    <row r="99" spans="3:11">
      <c r="C99" s="23" t="str">
        <f>C66</f>
        <v>Debt Retired / Assumed</v>
      </c>
      <c r="D99" s="23"/>
      <c r="E99" s="23"/>
      <c r="F99" s="23"/>
      <c r="G99" s="22">
        <f>'DCF - Capital Structure'!K25+'DCF - Capital Structure'!K18</f>
        <v>16502</v>
      </c>
      <c r="I99" s="42">
        <f t="shared" si="1"/>
        <v>1</v>
      </c>
      <c r="J99" s="24">
        <v>1</v>
      </c>
      <c r="K99" s="207"/>
    </row>
    <row r="100" spans="3:11">
      <c r="C100" s="23"/>
      <c r="D100" s="23"/>
      <c r="E100" s="23"/>
      <c r="F100" s="23"/>
      <c r="G100" s="22"/>
      <c r="I100" s="42">
        <f t="shared" si="1"/>
        <v>0</v>
      </c>
      <c r="J100" s="24">
        <v>0</v>
      </c>
      <c r="K100" s="207"/>
    </row>
    <row r="101" spans="3:11">
      <c r="C101" s="23" t="s">
        <v>696</v>
      </c>
      <c r="D101" s="23"/>
      <c r="E101" s="23"/>
      <c r="F101" s="23"/>
      <c r="G101" s="22"/>
      <c r="I101" s="42">
        <f t="shared" si="1"/>
        <v>1</v>
      </c>
      <c r="J101" s="24">
        <v>1</v>
      </c>
      <c r="K101" s="207"/>
    </row>
    <row r="102" spans="3:11" s="2" customFormat="1">
      <c r="C102" s="23"/>
      <c r="D102" s="23"/>
      <c r="E102" s="23"/>
      <c r="F102" s="240"/>
      <c r="I102" s="42">
        <f t="shared" si="1"/>
        <v>0</v>
      </c>
      <c r="J102" s="24">
        <v>0</v>
      </c>
      <c r="K102" s="207">
        <v>1</v>
      </c>
    </row>
    <row r="103" spans="3:11" ht="14" thickBot="1">
      <c r="C103" s="85" t="s">
        <v>559</v>
      </c>
      <c r="D103" s="238" t="s">
        <v>697</v>
      </c>
      <c r="E103" s="238" t="s">
        <v>698</v>
      </c>
      <c r="F103" s="238" t="s">
        <v>699</v>
      </c>
      <c r="G103" s="238" t="s">
        <v>664</v>
      </c>
      <c r="I103" s="42">
        <f t="shared" si="1"/>
        <v>1</v>
      </c>
      <c r="J103" s="24">
        <v>1</v>
      </c>
      <c r="K103" s="207">
        <v>1</v>
      </c>
    </row>
    <row r="104" spans="3:11">
      <c r="C104" s="73" t="s">
        <v>700</v>
      </c>
      <c r="D104" s="13">
        <f ca="1">E28</f>
        <v>0</v>
      </c>
      <c r="E104" s="13">
        <f ca="1">IFERROR(G104/$G$109,0)</f>
        <v>0</v>
      </c>
      <c r="G104" s="18">
        <f ca="1">D104*G108</f>
        <v>0</v>
      </c>
      <c r="I104" s="42">
        <f t="shared" si="1"/>
        <v>1</v>
      </c>
      <c r="J104" s="24">
        <v>1</v>
      </c>
      <c r="K104" s="207">
        <v>1</v>
      </c>
    </row>
    <row r="105" spans="3:11">
      <c r="C105" s="73" t="s">
        <v>701</v>
      </c>
      <c r="D105" s="13">
        <f ca="1">E29</f>
        <v>0</v>
      </c>
      <c r="E105" s="398"/>
      <c r="F105" s="401" t="e">
        <f ca="1">G105/G110</f>
        <v>#DIV/0!</v>
      </c>
      <c r="G105" s="18">
        <f ca="1">D105*G108</f>
        <v>0</v>
      </c>
      <c r="I105" s="42">
        <f t="shared" si="1"/>
        <v>1</v>
      </c>
      <c r="J105" s="24">
        <v>1</v>
      </c>
      <c r="K105" s="207">
        <v>1</v>
      </c>
    </row>
    <row r="106" spans="3:11">
      <c r="C106" s="78" t="s">
        <v>702</v>
      </c>
      <c r="D106" s="397">
        <f ca="1">SUM(D104:D105)</f>
        <v>0</v>
      </c>
      <c r="G106" s="218">
        <f ca="1">SUM(G104:G105)</f>
        <v>0</v>
      </c>
      <c r="I106" s="42">
        <f t="shared" si="1"/>
        <v>1</v>
      </c>
      <c r="J106" s="24">
        <v>1</v>
      </c>
      <c r="K106" s="207">
        <v>1</v>
      </c>
    </row>
    <row r="107" spans="3:11">
      <c r="C107" s="73" t="s">
        <v>703</v>
      </c>
      <c r="D107" s="13">
        <f ca="1">1-SUM(D104:D105)</f>
        <v>1</v>
      </c>
      <c r="G107" s="18">
        <f ca="1">SUM(G96,G99)</f>
        <v>16502</v>
      </c>
      <c r="I107" s="42">
        <f t="shared" si="1"/>
        <v>1</v>
      </c>
      <c r="J107" s="24">
        <v>1</v>
      </c>
      <c r="K107" s="207"/>
    </row>
    <row r="108" spans="3:11">
      <c r="C108" s="73" t="s">
        <v>704</v>
      </c>
      <c r="D108" s="13">
        <f ca="1">SUM(D106:D107)</f>
        <v>1</v>
      </c>
      <c r="G108" s="18">
        <f ca="1">G107/D107</f>
        <v>16502</v>
      </c>
      <c r="I108" s="42">
        <f t="shared" si="1"/>
        <v>1</v>
      </c>
      <c r="J108" s="24">
        <v>1</v>
      </c>
      <c r="K108" s="207"/>
    </row>
    <row r="109" spans="3:11">
      <c r="C109" s="129" t="s">
        <v>705</v>
      </c>
      <c r="D109" s="129"/>
      <c r="E109" s="399"/>
      <c r="F109" s="400"/>
      <c r="G109" s="210">
        <f ca="1">F56</f>
        <v>15063</v>
      </c>
      <c r="I109" s="42">
        <f t="shared" si="1"/>
        <v>1</v>
      </c>
      <c r="J109" s="24">
        <v>1</v>
      </c>
      <c r="K109" s="207"/>
    </row>
    <row r="110" spans="3:11">
      <c r="C110" s="73" t="s">
        <v>706</v>
      </c>
      <c r="D110" s="73"/>
      <c r="E110" s="239"/>
      <c r="F110" s="13"/>
      <c r="G110" s="18">
        <f ca="1">F53</f>
        <v>0</v>
      </c>
      <c r="I110" s="42">
        <f t="shared" si="1"/>
        <v>1</v>
      </c>
      <c r="J110" s="24">
        <v>1</v>
      </c>
      <c r="K110" s="207"/>
    </row>
    <row r="111" spans="3:11">
      <c r="C111" s="73"/>
      <c r="D111" s="73"/>
      <c r="E111" s="73"/>
      <c r="F111" s="73"/>
      <c r="G111" s="73"/>
      <c r="I111" s="42">
        <f t="shared" si="1"/>
        <v>0</v>
      </c>
      <c r="J111" s="24">
        <v>0</v>
      </c>
      <c r="K111" s="207">
        <v>1</v>
      </c>
    </row>
    <row r="112" spans="3:11" ht="14" thickBot="1">
      <c r="C112" s="85" t="s">
        <v>707</v>
      </c>
      <c r="D112" s="85"/>
      <c r="E112" s="85"/>
      <c r="F112" s="85"/>
      <c r="G112" s="238"/>
      <c r="I112" s="42">
        <f t="shared" si="1"/>
        <v>1</v>
      </c>
      <c r="J112" s="24">
        <v>1</v>
      </c>
      <c r="K112" s="207">
        <v>1</v>
      </c>
    </row>
    <row r="113" spans="1:11">
      <c r="C113" s="73" t="s">
        <v>708</v>
      </c>
      <c r="D113" s="73"/>
      <c r="E113" s="73"/>
      <c r="F113" s="73"/>
      <c r="G113" s="237">
        <v>2024</v>
      </c>
      <c r="I113" s="42">
        <f t="shared" si="1"/>
        <v>1</v>
      </c>
      <c r="J113" s="24">
        <v>1</v>
      </c>
      <c r="K113" s="207">
        <v>1</v>
      </c>
    </row>
    <row r="114" spans="1:11">
      <c r="C114" s="73" t="s">
        <v>709</v>
      </c>
      <c r="D114" s="73"/>
      <c r="E114" s="73"/>
      <c r="F114" s="73"/>
      <c r="G114" s="237">
        <v>2029</v>
      </c>
      <c r="I114" s="42">
        <f t="shared" si="1"/>
        <v>1</v>
      </c>
      <c r="J114" s="24">
        <v>1</v>
      </c>
      <c r="K114" s="207">
        <v>1</v>
      </c>
    </row>
    <row r="115" spans="1:11">
      <c r="C115" s="73" t="s">
        <v>652</v>
      </c>
      <c r="D115" s="73"/>
      <c r="E115" s="73"/>
      <c r="F115" s="73"/>
      <c r="G115" s="236">
        <f ca="1">E34</f>
        <v>0</v>
      </c>
      <c r="I115" s="42">
        <f t="shared" si="1"/>
        <v>1</v>
      </c>
      <c r="J115" s="24">
        <v>1</v>
      </c>
      <c r="K115" s="207">
        <v>1</v>
      </c>
    </row>
    <row r="116" spans="1:11">
      <c r="C116" s="73" t="s">
        <v>710</v>
      </c>
      <c r="D116" s="73"/>
      <c r="E116" s="73"/>
      <c r="F116" s="73"/>
      <c r="G116" s="73">
        <f>G114-G113</f>
        <v>5</v>
      </c>
      <c r="I116" s="42">
        <f t="shared" si="1"/>
        <v>1</v>
      </c>
      <c r="J116" s="24">
        <v>1</v>
      </c>
      <c r="K116" s="207">
        <v>1</v>
      </c>
    </row>
    <row r="117" spans="1:11" s="164" customFormat="1">
      <c r="A117" s="41"/>
      <c r="B117" s="41"/>
      <c r="C117" s="235" t="s">
        <v>660</v>
      </c>
      <c r="D117" s="235"/>
      <c r="E117" s="235"/>
      <c r="F117" s="235"/>
      <c r="G117" s="234">
        <f ca="1">'LBO - Financials'!G39</f>
        <v>0.15347721715742568</v>
      </c>
      <c r="I117" s="42">
        <f t="shared" si="1"/>
        <v>1</v>
      </c>
      <c r="J117" s="24">
        <v>1</v>
      </c>
      <c r="K117" s="207">
        <v>1</v>
      </c>
    </row>
    <row r="118" spans="1:11" ht="15">
      <c r="I118"/>
      <c r="J118"/>
    </row>
    <row r="119" spans="1:11" ht="15" hidden="1">
      <c r="I119"/>
      <c r="J119"/>
    </row>
    <row r="120" spans="1:11" ht="15" hidden="1">
      <c r="I120"/>
      <c r="J120"/>
    </row>
    <row r="121" spans="1:11" ht="15" hidden="1">
      <c r="I121"/>
      <c r="J121"/>
    </row>
    <row r="122" spans="1:11" ht="15" hidden="1">
      <c r="I122"/>
      <c r="J122"/>
    </row>
    <row r="123" spans="1:11" ht="15" hidden="1">
      <c r="I123"/>
      <c r="J123"/>
    </row>
    <row r="124" spans="1:11" ht="15" hidden="1">
      <c r="I124"/>
      <c r="J124"/>
    </row>
    <row r="125" spans="1:11" ht="15" hidden="1">
      <c r="I125"/>
      <c r="J125"/>
    </row>
    <row r="126" spans="1:11" ht="15" hidden="1">
      <c r="I126"/>
      <c r="J126"/>
    </row>
    <row r="127" spans="1:11" ht="15" hidden="1">
      <c r="I127"/>
      <c r="J127"/>
    </row>
    <row r="128" spans="1:11" ht="15" hidden="1">
      <c r="I128"/>
      <c r="J128"/>
    </row>
    <row r="129" spans="9:10" ht="15" hidden="1">
      <c r="I129"/>
      <c r="J129"/>
    </row>
    <row r="130" spans="9:10" ht="15" hidden="1">
      <c r="I130"/>
      <c r="J130"/>
    </row>
    <row r="131" spans="9:10" ht="15" hidden="1">
      <c r="I131"/>
      <c r="J131"/>
    </row>
    <row r="132" spans="9:10" ht="15" hidden="1">
      <c r="I132"/>
      <c r="J132"/>
    </row>
    <row r="133" spans="9:10" ht="15" hidden="1">
      <c r="I133"/>
      <c r="J133"/>
    </row>
    <row r="134" spans="9:10" ht="15" hidden="1">
      <c r="I134"/>
      <c r="J134"/>
    </row>
    <row r="135" spans="9:10" ht="15" hidden="1">
      <c r="I135"/>
      <c r="J135"/>
    </row>
    <row r="136" spans="9:10" ht="15" hidden="1">
      <c r="I136"/>
      <c r="J136"/>
    </row>
    <row r="137" spans="9:10" ht="15" hidden="1">
      <c r="I137"/>
      <c r="J137"/>
    </row>
    <row r="138" spans="9:10" ht="15" hidden="1">
      <c r="I138"/>
      <c r="J138"/>
    </row>
    <row r="139" spans="9:10" ht="15" hidden="1">
      <c r="I139"/>
      <c r="J139"/>
    </row>
    <row r="140" spans="9:10" ht="15" hidden="1">
      <c r="I140"/>
      <c r="J140"/>
    </row>
    <row r="141" spans="9:10" ht="15" hidden="1">
      <c r="I141"/>
      <c r="J141"/>
    </row>
    <row r="142" spans="9:10" ht="15" hidden="1">
      <c r="I142"/>
      <c r="J142"/>
    </row>
    <row r="143" spans="9:10" ht="15" hidden="1">
      <c r="I143"/>
      <c r="J143"/>
    </row>
    <row r="144" spans="9:10" ht="15" hidden="1">
      <c r="I144"/>
      <c r="J144"/>
    </row>
    <row r="145" spans="9:10" ht="15" hidden="1">
      <c r="I145"/>
      <c r="J145"/>
    </row>
    <row r="146" spans="9:10" ht="15" hidden="1">
      <c r="I146"/>
      <c r="J146"/>
    </row>
    <row r="147" spans="9:10" ht="15" hidden="1">
      <c r="I147"/>
      <c r="J147"/>
    </row>
    <row r="148" spans="9:10" ht="15" hidden="1">
      <c r="I148"/>
      <c r="J148"/>
    </row>
    <row r="149" spans="9:10" ht="15" hidden="1">
      <c r="I149"/>
      <c r="J149"/>
    </row>
    <row r="150" spans="9:10" ht="15" hidden="1">
      <c r="I150"/>
      <c r="J150"/>
    </row>
    <row r="151" spans="9:10" ht="15" hidden="1">
      <c r="I151"/>
      <c r="J151"/>
    </row>
    <row r="152" spans="9:10" ht="15" hidden="1">
      <c r="I152"/>
      <c r="J152"/>
    </row>
    <row r="153" spans="9:10" ht="15" hidden="1">
      <c r="I153"/>
      <c r="J153"/>
    </row>
    <row r="154" spans="9:10" ht="15" hidden="1">
      <c r="I154"/>
      <c r="J154"/>
    </row>
    <row r="155" spans="9:10" ht="15" hidden="1">
      <c r="I155"/>
      <c r="J155"/>
    </row>
    <row r="156" spans="9:10" ht="15" hidden="1">
      <c r="I156"/>
      <c r="J156"/>
    </row>
    <row r="157" spans="9:10" ht="15" hidden="1">
      <c r="I157"/>
      <c r="J157"/>
    </row>
    <row r="158" spans="9:10" ht="15" hidden="1">
      <c r="I158"/>
      <c r="J158"/>
    </row>
    <row r="159" spans="9:10" ht="15" hidden="1">
      <c r="I159"/>
      <c r="J159"/>
    </row>
    <row r="160" spans="9:10" ht="15" hidden="1">
      <c r="I160"/>
      <c r="J160"/>
    </row>
    <row r="161" spans="9:10" ht="15" hidden="1">
      <c r="I161"/>
      <c r="J161"/>
    </row>
    <row r="162" spans="9:10" ht="15" hidden="1">
      <c r="I162"/>
      <c r="J162"/>
    </row>
    <row r="163" spans="9:10" ht="15" hidden="1">
      <c r="I163"/>
      <c r="J163"/>
    </row>
    <row r="164" spans="9:10" ht="15" hidden="1">
      <c r="I164"/>
      <c r="J164"/>
    </row>
    <row r="165" spans="9:10" ht="15" hidden="1">
      <c r="I165"/>
      <c r="J165"/>
    </row>
    <row r="166" spans="9:10" ht="15" hidden="1">
      <c r="I166"/>
      <c r="J166"/>
    </row>
  </sheetData>
  <conditionalFormatting sqref="I1:J1">
    <cfRule type="cellIs" dxfId="11" priority="1" operator="equal">
      <formula>"Check"</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3" tint="-0.499984740745262"/>
  </sheetPr>
  <dimension ref="A1:CT362"/>
  <sheetViews>
    <sheetView showGridLines="0" zoomScale="171" zoomScaleNormal="100" workbookViewId="0">
      <pane ySplit="4" topLeftCell="A21" activePane="bottomLeft" state="frozen"/>
      <selection activeCell="G66" sqref="G66"/>
      <selection pane="bottomLeft"/>
    </sheetView>
  </sheetViews>
  <sheetFormatPr baseColWidth="10" defaultColWidth="0" defaultRowHeight="13" zeroHeight="1"/>
  <cols>
    <col min="1" max="1" width="4.1640625" style="166" customWidth="1"/>
    <col min="2" max="2" width="1" style="166" customWidth="1"/>
    <col min="3" max="3" width="32.5" style="166" customWidth="1"/>
    <col min="4" max="4" width="8.5" style="277" customWidth="1"/>
    <col min="5" max="5" width="8.5" style="166" customWidth="1"/>
    <col min="6" max="6" width="13.5" style="166" customWidth="1"/>
    <col min="7" max="13" width="8" style="166" customWidth="1"/>
    <col min="14" max="14" width="5.5" style="166" customWidth="1"/>
    <col min="15" max="15" width="3.83203125" style="166" customWidth="1"/>
    <col min="16" max="16" width="4.5" style="166" customWidth="1"/>
    <col min="17" max="17" width="3.1640625" style="166" customWidth="1"/>
    <col min="18" max="22" width="8.5" style="166" hidden="1" customWidth="1"/>
    <col min="23" max="23" width="11.5" style="166" hidden="1" customWidth="1"/>
    <col min="24" max="98" width="0" style="166" hidden="1" customWidth="1"/>
    <col min="99" max="16384" width="8.5" style="166" hidden="1"/>
  </cols>
  <sheetData>
    <row r="1" spans="1:98" s="26" customFormat="1">
      <c r="A1" s="36"/>
      <c r="B1" s="36"/>
      <c r="C1" s="36" t="str">
        <f>'DCF - Assumptions'!$F$8&amp;" | LBO Model - Financial Model"</f>
        <v>Diageo PLC | LBO Model - Financial Model</v>
      </c>
      <c r="D1" s="330"/>
      <c r="E1" s="232"/>
      <c r="F1" s="232"/>
      <c r="G1" s="232"/>
      <c r="H1" s="232"/>
      <c r="I1" s="232"/>
      <c r="J1" s="232"/>
      <c r="K1" s="232"/>
      <c r="L1" s="232"/>
      <c r="M1" s="232"/>
      <c r="N1" s="232"/>
      <c r="O1" s="34" t="str">
        <f>IF(O5=P5,"OK","Check")</f>
        <v>OK</v>
      </c>
      <c r="P1" s="34" t="str">
        <f>IF(O6=P6,"OK","Check")</f>
        <v>OK</v>
      </c>
      <c r="Q1" s="232"/>
    </row>
    <row r="2" spans="1:98" s="3" customFormat="1" ht="2.25" customHeight="1">
      <c r="A2" s="117"/>
      <c r="B2" s="117"/>
      <c r="D2" s="81"/>
      <c r="O2" s="30"/>
      <c r="P2" s="30"/>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row>
    <row r="3" spans="1:98" s="28" customFormat="1" ht="3" customHeight="1">
      <c r="A3" s="29"/>
      <c r="B3" s="29"/>
      <c r="D3" s="329"/>
      <c r="O3" s="26"/>
      <c r="P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row>
    <row r="4" spans="1:98" s="3" customFormat="1" ht="11.25" customHeight="1">
      <c r="A4" s="117"/>
      <c r="B4" s="117"/>
      <c r="D4" s="81"/>
      <c r="Q4" s="166"/>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row>
    <row r="5" spans="1:98" s="3" customFormat="1" ht="11.25" customHeight="1">
      <c r="A5" s="117"/>
      <c r="B5" s="117"/>
      <c r="D5" s="81"/>
      <c r="O5" s="42">
        <f>ROWS(C6:C167)</f>
        <v>162</v>
      </c>
      <c r="P5" s="24">
        <v>162</v>
      </c>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row>
    <row r="6" spans="1:98" s="73" customFormat="1" ht="12.75" customHeight="1">
      <c r="C6" s="926" t="s">
        <v>711</v>
      </c>
      <c r="D6" s="927"/>
      <c r="E6" s="927"/>
      <c r="F6" s="927"/>
      <c r="G6" s="927"/>
      <c r="H6" s="927"/>
      <c r="I6" s="927"/>
      <c r="J6" s="927"/>
      <c r="K6" s="927"/>
      <c r="L6" s="927"/>
      <c r="M6" s="927"/>
      <c r="O6" s="42">
        <f>SUM(O7:O167)</f>
        <v>121</v>
      </c>
      <c r="P6" s="24">
        <v>121</v>
      </c>
    </row>
    <row r="7" spans="1:98" s="3" customFormat="1" ht="11.25" customHeight="1">
      <c r="A7" s="117"/>
      <c r="B7" s="117"/>
      <c r="C7" s="312"/>
      <c r="D7" s="81"/>
      <c r="G7" s="38"/>
      <c r="H7" s="214" t="s">
        <v>565</v>
      </c>
      <c r="I7" s="214"/>
      <c r="J7" s="214"/>
      <c r="K7" s="214"/>
      <c r="L7" s="214"/>
      <c r="M7" s="214"/>
      <c r="O7" s="42">
        <f>IF(NOT(ISBLANK(C7)), 1, 0)</f>
        <v>0</v>
      </c>
      <c r="P7" s="24">
        <v>0</v>
      </c>
      <c r="Q7" s="230"/>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row>
    <row r="8" spans="1:98" ht="14" thickBot="1">
      <c r="A8" s="3"/>
      <c r="B8" s="3"/>
      <c r="C8" s="213" t="s">
        <v>712</v>
      </c>
      <c r="D8" s="286"/>
      <c r="E8" s="213"/>
      <c r="F8" s="213"/>
      <c r="G8" s="85">
        <f>G94</f>
        <v>2023</v>
      </c>
      <c r="H8" s="213">
        <f>H94</f>
        <v>2024</v>
      </c>
      <c r="I8" s="213">
        <f>I94</f>
        <v>2025</v>
      </c>
      <c r="J8" s="213">
        <f>J94</f>
        <v>2026</v>
      </c>
      <c r="K8" s="213">
        <f>K94</f>
        <v>2027</v>
      </c>
      <c r="L8" s="213">
        <f t="shared" ref="L8:M8" si="0">L94</f>
        <v>2028</v>
      </c>
      <c r="M8" s="213">
        <f t="shared" si="0"/>
        <v>2029</v>
      </c>
      <c r="O8" s="42">
        <f t="shared" ref="O8:O71" si="1">IF(NOT(ISBLANK(C8)), 1, 0)</f>
        <v>1</v>
      </c>
      <c r="P8" s="24">
        <v>1</v>
      </c>
    </row>
    <row r="9" spans="1:98">
      <c r="A9" s="3"/>
      <c r="B9" s="3"/>
      <c r="C9" s="405" t="str">
        <f>C71</f>
        <v>Standalone Revenues</v>
      </c>
      <c r="D9" s="402"/>
      <c r="E9" s="312"/>
      <c r="F9" s="312"/>
      <c r="G9" s="312"/>
      <c r="H9" s="136">
        <f t="shared" ref="H9:M9" si="2">H71</f>
        <v>17775.445</v>
      </c>
      <c r="I9" s="136">
        <f t="shared" si="2"/>
        <v>18733.801249</v>
      </c>
      <c r="J9" s="136">
        <f t="shared" si="2"/>
        <v>19823.250025914</v>
      </c>
      <c r="K9" s="136">
        <f t="shared" si="2"/>
        <v>21001.604953276186</v>
      </c>
      <c r="L9" s="136">
        <f t="shared" si="2"/>
        <v>22353.858094888696</v>
      </c>
      <c r="M9" s="136">
        <f t="shared" si="2"/>
        <v>23796.719745400867</v>
      </c>
      <c r="O9" s="42">
        <f t="shared" si="1"/>
        <v>1</v>
      </c>
      <c r="P9" s="24">
        <v>1</v>
      </c>
    </row>
    <row r="10" spans="1:98">
      <c r="A10" s="3"/>
      <c r="B10" s="3"/>
      <c r="C10" s="405" t="str">
        <f>C72</f>
        <v>Incremental Revenue Synergies</v>
      </c>
      <c r="D10" s="402"/>
      <c r="E10" s="312"/>
      <c r="F10" s="312"/>
      <c r="G10" s="312"/>
      <c r="H10" s="136">
        <f t="shared" ref="H10:M10" ca="1" si="3">H72</f>
        <v>0</v>
      </c>
      <c r="I10" s="136">
        <f t="shared" ca="1" si="3"/>
        <v>0</v>
      </c>
      <c r="J10" s="136">
        <f t="shared" ca="1" si="3"/>
        <v>0</v>
      </c>
      <c r="K10" s="136">
        <f t="shared" ca="1" si="3"/>
        <v>0</v>
      </c>
      <c r="L10" s="136">
        <f t="shared" ca="1" si="3"/>
        <v>0</v>
      </c>
      <c r="M10" s="136">
        <f t="shared" ca="1" si="3"/>
        <v>0</v>
      </c>
      <c r="O10" s="42">
        <f t="shared" si="1"/>
        <v>1</v>
      </c>
      <c r="P10" s="24">
        <v>1</v>
      </c>
    </row>
    <row r="11" spans="1:98">
      <c r="A11" s="3"/>
      <c r="B11" s="3"/>
      <c r="C11" s="407" t="str">
        <f>C73</f>
        <v>Proforma Revenue Forecast</v>
      </c>
      <c r="D11" s="406"/>
      <c r="E11" s="407"/>
      <c r="F11" s="407"/>
      <c r="G11" s="407"/>
      <c r="H11" s="152">
        <f t="shared" ref="H11:M11" ca="1" si="4">H73</f>
        <v>17775.445</v>
      </c>
      <c r="I11" s="152">
        <f t="shared" ca="1" si="4"/>
        <v>18733.801249</v>
      </c>
      <c r="J11" s="152">
        <f t="shared" ca="1" si="4"/>
        <v>19823.250025914</v>
      </c>
      <c r="K11" s="152">
        <f t="shared" ca="1" si="4"/>
        <v>21001.604953276186</v>
      </c>
      <c r="L11" s="152">
        <f t="shared" ca="1" si="4"/>
        <v>22353.858094888696</v>
      </c>
      <c r="M11" s="152">
        <f t="shared" ca="1" si="4"/>
        <v>23796.719745400867</v>
      </c>
      <c r="O11" s="42">
        <f t="shared" si="1"/>
        <v>1</v>
      </c>
      <c r="P11" s="24">
        <v>1</v>
      </c>
    </row>
    <row r="12" spans="1:98" ht="5.25" customHeight="1">
      <c r="A12" s="3"/>
      <c r="B12" s="3"/>
      <c r="C12" s="405"/>
      <c r="D12" s="402"/>
      <c r="E12" s="312"/>
      <c r="F12" s="312"/>
      <c r="G12" s="312"/>
      <c r="H12" s="312"/>
      <c r="I12" s="312"/>
      <c r="J12" s="312"/>
      <c r="K12" s="312"/>
      <c r="L12" s="312"/>
      <c r="M12" s="312"/>
      <c r="O12" s="42">
        <f t="shared" si="1"/>
        <v>0</v>
      </c>
      <c r="P12" s="24">
        <v>0</v>
      </c>
    </row>
    <row r="13" spans="1:98" s="73" customFormat="1" ht="11.25" customHeight="1">
      <c r="C13" s="73" t="str">
        <f>C85</f>
        <v>Standalone EBITDA</v>
      </c>
      <c r="D13" s="137"/>
      <c r="F13" s="136"/>
      <c r="G13" s="136"/>
      <c r="H13" s="136">
        <f t="shared" ref="H13:M13" si="5">H85</f>
        <v>6814.0053287660121</v>
      </c>
      <c r="I13" s="136">
        <f t="shared" si="5"/>
        <v>6438.7267440469686</v>
      </c>
      <c r="J13" s="136">
        <f t="shared" si="5"/>
        <v>6923.7241095436766</v>
      </c>
      <c r="K13" s="136">
        <f t="shared" si="5"/>
        <v>7347.949381730622</v>
      </c>
      <c r="L13" s="136">
        <f t="shared" si="5"/>
        <v>7928.7885882720029</v>
      </c>
      <c r="M13" s="136">
        <f t="shared" si="5"/>
        <v>8301.0183597718387</v>
      </c>
      <c r="O13" s="42">
        <f t="shared" si="1"/>
        <v>1</v>
      </c>
      <c r="P13" s="24">
        <v>1</v>
      </c>
    </row>
    <row r="14" spans="1:98" s="73" customFormat="1" ht="11.25" customHeight="1">
      <c r="C14" s="73" t="str">
        <f>C86</f>
        <v>Revenue Synergies EBITDA Contribution</v>
      </c>
      <c r="D14" s="137"/>
      <c r="F14" s="136"/>
      <c r="G14" s="136"/>
      <c r="H14" s="136">
        <f t="shared" ref="H14:M14" ca="1" si="6">H86</f>
        <v>0</v>
      </c>
      <c r="I14" s="136">
        <f t="shared" ca="1" si="6"/>
        <v>0</v>
      </c>
      <c r="J14" s="136">
        <f t="shared" ca="1" si="6"/>
        <v>0</v>
      </c>
      <c r="K14" s="136">
        <f t="shared" ca="1" si="6"/>
        <v>0</v>
      </c>
      <c r="L14" s="136">
        <f t="shared" ca="1" si="6"/>
        <v>0</v>
      </c>
      <c r="M14" s="136">
        <f t="shared" ca="1" si="6"/>
        <v>0</v>
      </c>
      <c r="O14" s="42">
        <f t="shared" si="1"/>
        <v>1</v>
      </c>
      <c r="P14" s="24">
        <v>1</v>
      </c>
    </row>
    <row r="15" spans="1:98" s="73" customFormat="1" ht="11.25" customHeight="1">
      <c r="C15" s="73" t="str">
        <f t="shared" ref="C15:M15" si="7">C87</f>
        <v>Margin Improvement EBITDA Contribution</v>
      </c>
      <c r="D15" s="137"/>
      <c r="F15" s="136"/>
      <c r="G15" s="136"/>
      <c r="H15" s="136">
        <f t="shared" ca="1" si="7"/>
        <v>9.0949470177292824E-13</v>
      </c>
      <c r="I15" s="136">
        <f t="shared" ca="1" si="7"/>
        <v>0</v>
      </c>
      <c r="J15" s="136">
        <f t="shared" ca="1" si="7"/>
        <v>0</v>
      </c>
      <c r="K15" s="136">
        <f t="shared" ca="1" si="7"/>
        <v>0</v>
      </c>
      <c r="L15" s="136">
        <f t="shared" ca="1" si="7"/>
        <v>0</v>
      </c>
      <c r="M15" s="136">
        <f t="shared" ca="1" si="7"/>
        <v>0</v>
      </c>
      <c r="O15" s="42">
        <f t="shared" si="1"/>
        <v>1</v>
      </c>
      <c r="P15" s="24">
        <v>1</v>
      </c>
    </row>
    <row r="16" spans="1:98" s="73" customFormat="1" ht="11.25" customHeight="1">
      <c r="C16" s="78" t="s">
        <v>591</v>
      </c>
      <c r="D16" s="321"/>
      <c r="E16" s="219"/>
      <c r="F16" s="152"/>
      <c r="G16" s="152"/>
      <c r="H16" s="152">
        <f t="shared" ref="H16:M16" ca="1" si="8">SUM(H13:H15)</f>
        <v>6814.005328766013</v>
      </c>
      <c r="I16" s="152">
        <f t="shared" ca="1" si="8"/>
        <v>6438.7267440469686</v>
      </c>
      <c r="J16" s="152">
        <f t="shared" ca="1" si="8"/>
        <v>6923.7241095436766</v>
      </c>
      <c r="K16" s="152">
        <f t="shared" ca="1" si="8"/>
        <v>7347.949381730622</v>
      </c>
      <c r="L16" s="152">
        <f t="shared" ca="1" si="8"/>
        <v>7928.7885882720029</v>
      </c>
      <c r="M16" s="152">
        <f t="shared" ca="1" si="8"/>
        <v>8301.0183597718387</v>
      </c>
      <c r="O16" s="42">
        <f t="shared" si="1"/>
        <v>1</v>
      </c>
      <c r="P16" s="24">
        <v>1</v>
      </c>
    </row>
    <row r="17" spans="1:16" s="73" customFormat="1" ht="11.25" customHeight="1">
      <c r="C17" s="3" t="s">
        <v>713</v>
      </c>
      <c r="D17" s="137"/>
      <c r="F17" s="136"/>
      <c r="G17" s="136"/>
      <c r="H17" s="136">
        <f ca="1">'DCF - Financials'!K34+'DCF - Assumptions'!K179+'LBO - Financials'!H138*'DCF - Assumptions'!K179-(H86+H87)*'DCF - Assumptions'!K179</f>
        <v>-969.79518581081106</v>
      </c>
      <c r="I17" s="136">
        <f ca="1">'DCF - Financials'!L34+'DCF - Assumptions'!L179+'LBO - Financials'!I138*'DCF - Assumptions'!L179-(I86+I87)*'DCF - Assumptions'!L179</f>
        <v>-855.10216774954938</v>
      </c>
      <c r="J17" s="136">
        <f ca="1">'DCF - Financials'!M34+'DCF - Assumptions'!M179+'LBO - Financials'!J138*'DCF - Assumptions'!M179-(J86+J87)*'DCF - Assumptions'!M179</f>
        <v>-920.95799996590654</v>
      </c>
      <c r="K17" s="136">
        <f ca="1">'DCF - Financials'!N34+'DCF - Assumptions'!N179+'LBO - Financials'!K138*'DCF - Assumptions'!N179-(K86+K87)*'DCF - Assumptions'!N179</f>
        <v>-999.35669947618794</v>
      </c>
      <c r="L17" s="136">
        <f ca="1">'DCF - Financials'!O34+'DCF - Assumptions'!O179+'LBO - Financials'!L138*'DCF - Assumptions'!O179-(L86+L87)*'DCF - Assumptions'!O179</f>
        <v>-1047.0686109600706</v>
      </c>
      <c r="M17" s="136">
        <f ca="1">'DCF - Financials'!P34+'DCF - Assumptions'!P179+'LBO - Financials'!M138*'DCF - Assumptions'!P179-(M86+M87)*'DCF - Assumptions'!P179</f>
        <v>-1137.5174412757085</v>
      </c>
      <c r="O17" s="42">
        <f t="shared" si="1"/>
        <v>1</v>
      </c>
      <c r="P17" s="24">
        <v>1</v>
      </c>
    </row>
    <row r="18" spans="1:16" s="73" customFormat="1" ht="11.25" customHeight="1">
      <c r="A18" s="3"/>
      <c r="C18" s="3" t="s">
        <v>714</v>
      </c>
      <c r="D18" s="137"/>
      <c r="F18" s="136"/>
      <c r="G18" s="136"/>
      <c r="H18" s="136">
        <f>'DCF - Outputs'!M38</f>
        <v>-1606.0000536129971</v>
      </c>
      <c r="I18" s="136">
        <f>'DCF - Outputs'!N38</f>
        <v>-1639.630873293281</v>
      </c>
      <c r="J18" s="136">
        <f>'DCF - Outputs'!O38</f>
        <v>-1692.3587027283584</v>
      </c>
      <c r="K18" s="136">
        <f>'DCF - Outputs'!P38</f>
        <v>-1797.750259206839</v>
      </c>
      <c r="L18" s="136">
        <f>'DCF - Outputs'!Q38</f>
        <v>-1949.5077890605892</v>
      </c>
      <c r="M18" s="136">
        <f>'DCF - Outputs'!R38</f>
        <v>-2056.6723458540055</v>
      </c>
      <c r="O18" s="42">
        <f t="shared" si="1"/>
        <v>1</v>
      </c>
      <c r="P18" s="24">
        <v>1</v>
      </c>
    </row>
    <row r="19" spans="1:16" s="73" customFormat="1" ht="11.25" customHeight="1">
      <c r="C19" s="3" t="s">
        <v>313</v>
      </c>
      <c r="D19" s="137"/>
      <c r="F19" s="136"/>
      <c r="G19" s="136"/>
      <c r="H19" s="136">
        <f>'DCF - Outputs'!L37</f>
        <v>-1175</v>
      </c>
      <c r="I19" s="136">
        <f>'DCF - Outputs'!M37</f>
        <v>61.222667788690273</v>
      </c>
      <c r="J19" s="136">
        <f>'DCF - Outputs'!N37</f>
        <v>-226.75591377864254</v>
      </c>
      <c r="K19" s="136">
        <f>'DCF - Outputs'!O37</f>
        <v>-258.54097130974651</v>
      </c>
      <c r="L19" s="136">
        <f>'DCF - Outputs'!P37</f>
        <v>-278.16160084833206</v>
      </c>
      <c r="M19" s="136">
        <f>'DCF - Outputs'!Q37</f>
        <v>-320.00158564526726</v>
      </c>
      <c r="O19" s="42">
        <f t="shared" si="1"/>
        <v>1</v>
      </c>
      <c r="P19" s="24">
        <v>1</v>
      </c>
    </row>
    <row r="20" spans="1:16" s="73" customFormat="1" ht="11.25" customHeight="1">
      <c r="C20" s="219" t="s">
        <v>715</v>
      </c>
      <c r="D20" s="321"/>
      <c r="E20" s="219"/>
      <c r="F20" s="219"/>
      <c r="G20" s="152"/>
      <c r="H20" s="152">
        <f t="shared" ref="H20:M20" ca="1" si="9">SUM(H16:H19)</f>
        <v>3063.2100893422048</v>
      </c>
      <c r="I20" s="152">
        <f t="shared" ca="1" si="9"/>
        <v>4005.2163707928285</v>
      </c>
      <c r="J20" s="152">
        <f t="shared" ca="1" si="9"/>
        <v>4083.6514930707694</v>
      </c>
      <c r="K20" s="152">
        <f t="shared" ca="1" si="9"/>
        <v>4292.3014517378488</v>
      </c>
      <c r="L20" s="152">
        <f t="shared" ca="1" si="9"/>
        <v>4654.0505874030105</v>
      </c>
      <c r="M20" s="152">
        <f t="shared" ca="1" si="9"/>
        <v>4786.8269869968572</v>
      </c>
      <c r="O20" s="42">
        <f t="shared" si="1"/>
        <v>1</v>
      </c>
      <c r="P20" s="24">
        <v>1</v>
      </c>
    </row>
    <row r="21" spans="1:16" s="73" customFormat="1" ht="11.25" customHeight="1">
      <c r="C21" s="229" t="s">
        <v>85</v>
      </c>
      <c r="D21" s="324"/>
      <c r="E21" s="229"/>
      <c r="F21" s="229"/>
      <c r="G21" s="323"/>
      <c r="H21" s="323">
        <f ca="1">-H138</f>
        <v>0</v>
      </c>
      <c r="I21" s="323">
        <f ca="1">-I138</f>
        <v>0</v>
      </c>
      <c r="J21" s="323">
        <f ca="1">-J138</f>
        <v>0</v>
      </c>
      <c r="K21" s="323">
        <f ca="1">-K138</f>
        <v>0</v>
      </c>
      <c r="L21" s="323">
        <f t="shared" ref="L21:M21" ca="1" si="10">-L138</f>
        <v>0</v>
      </c>
      <c r="M21" s="323">
        <f t="shared" ca="1" si="10"/>
        <v>0</v>
      </c>
      <c r="O21" s="42">
        <f t="shared" si="1"/>
        <v>1</v>
      </c>
      <c r="P21" s="24">
        <v>1</v>
      </c>
    </row>
    <row r="22" spans="1:16" s="254" customFormat="1" ht="11.25" customHeight="1">
      <c r="C22" s="264" t="s">
        <v>468</v>
      </c>
      <c r="D22" s="322"/>
      <c r="G22" s="316"/>
      <c r="H22" s="316">
        <v>0</v>
      </c>
      <c r="I22" s="316">
        <v>0</v>
      </c>
      <c r="J22" s="316">
        <v>0</v>
      </c>
      <c r="K22" s="316">
        <v>0</v>
      </c>
      <c r="L22" s="316">
        <v>0</v>
      </c>
      <c r="M22" s="316">
        <v>0</v>
      </c>
      <c r="N22" s="73"/>
      <c r="O22" s="42">
        <f t="shared" si="1"/>
        <v>1</v>
      </c>
      <c r="P22" s="24">
        <v>1</v>
      </c>
    </row>
    <row r="23" spans="1:16" s="73" customFormat="1" ht="11.25" customHeight="1">
      <c r="C23" s="219" t="s">
        <v>716</v>
      </c>
      <c r="D23" s="321"/>
      <c r="E23" s="219"/>
      <c r="F23" s="219"/>
      <c r="G23" s="152"/>
      <c r="H23" s="152">
        <f t="shared" ref="H23:M23" ca="1" si="11">SUM(H20:H22)</f>
        <v>3063.2100893422048</v>
      </c>
      <c r="I23" s="152">
        <f t="shared" ca="1" si="11"/>
        <v>4005.2163707928285</v>
      </c>
      <c r="J23" s="152">
        <f t="shared" ca="1" si="11"/>
        <v>4083.6514930707694</v>
      </c>
      <c r="K23" s="152">
        <f t="shared" ca="1" si="11"/>
        <v>4292.3014517378488</v>
      </c>
      <c r="L23" s="152">
        <f t="shared" ca="1" si="11"/>
        <v>4654.0505874030105</v>
      </c>
      <c r="M23" s="152">
        <f t="shared" ca="1" si="11"/>
        <v>4786.8269869968572</v>
      </c>
      <c r="O23" s="42">
        <f t="shared" si="1"/>
        <v>1</v>
      </c>
      <c r="P23" s="24">
        <v>1</v>
      </c>
    </row>
    <row r="24" spans="1:16" s="73" customFormat="1" ht="11.25" customHeight="1">
      <c r="C24" s="264" t="s">
        <v>717</v>
      </c>
      <c r="D24" s="320"/>
      <c r="E24" s="165"/>
      <c r="F24" s="165"/>
      <c r="G24" s="163"/>
      <c r="H24" s="163">
        <f t="shared" ref="H24:M24" ca="1" si="12">(H153+H150+H147+H157)</f>
        <v>0</v>
      </c>
      <c r="I24" s="163">
        <f t="shared" ca="1" si="12"/>
        <v>0</v>
      </c>
      <c r="J24" s="163">
        <f t="shared" ca="1" si="12"/>
        <v>0</v>
      </c>
      <c r="K24" s="163">
        <f t="shared" ca="1" si="12"/>
        <v>0</v>
      </c>
      <c r="L24" s="163">
        <f t="shared" ca="1" si="12"/>
        <v>0</v>
      </c>
      <c r="M24" s="163">
        <f t="shared" ca="1" si="12"/>
        <v>0</v>
      </c>
      <c r="O24" s="42">
        <f t="shared" si="1"/>
        <v>1</v>
      </c>
      <c r="P24" s="24">
        <v>1</v>
      </c>
    </row>
    <row r="25" spans="1:16" s="73" customFormat="1" ht="11.25" customHeight="1">
      <c r="C25" s="264" t="s">
        <v>718</v>
      </c>
      <c r="D25" s="320"/>
      <c r="E25" s="165"/>
      <c r="F25" s="165"/>
      <c r="G25" s="163"/>
      <c r="H25" s="163">
        <f ca="1">SUM(H23:H24)</f>
        <v>3063.2100893422048</v>
      </c>
      <c r="I25" s="163">
        <f t="shared" ref="I25:M25" ca="1" si="13">SUM(I23:I24)</f>
        <v>4005.2163707928285</v>
      </c>
      <c r="J25" s="163">
        <f t="shared" ca="1" si="13"/>
        <v>4083.6514930707694</v>
      </c>
      <c r="K25" s="163">
        <f t="shared" ca="1" si="13"/>
        <v>4292.3014517378488</v>
      </c>
      <c r="L25" s="163">
        <f t="shared" ca="1" si="13"/>
        <v>4654.0505874030105</v>
      </c>
      <c r="M25" s="163">
        <f t="shared" ca="1" si="13"/>
        <v>4786.8269869968572</v>
      </c>
      <c r="O25" s="42">
        <f t="shared" si="1"/>
        <v>1</v>
      </c>
      <c r="P25" s="24">
        <v>1</v>
      </c>
    </row>
    <row r="26" spans="1:16" s="73" customFormat="1" ht="11.25" customHeight="1">
      <c r="C26" s="264"/>
      <c r="D26" s="320"/>
      <c r="E26" s="165"/>
      <c r="F26" s="165"/>
      <c r="G26" s="163"/>
      <c r="H26" s="163"/>
      <c r="I26" s="163"/>
      <c r="J26" s="163"/>
      <c r="K26" s="163"/>
      <c r="L26" s="163"/>
      <c r="M26" s="163"/>
      <c r="O26" s="42">
        <f t="shared" si="1"/>
        <v>0</v>
      </c>
      <c r="P26" s="24">
        <v>0</v>
      </c>
    </row>
    <row r="27" spans="1:16" s="73" customFormat="1" ht="11.25" customHeight="1">
      <c r="C27" s="73" t="s">
        <v>719</v>
      </c>
      <c r="D27" s="137"/>
      <c r="F27" s="136"/>
      <c r="G27" s="136"/>
      <c r="H27" s="136">
        <f t="shared" ref="H27:M27" si="14">G28</f>
        <v>0</v>
      </c>
      <c r="I27" s="136">
        <f t="shared" ca="1" si="14"/>
        <v>6126.4201786844096</v>
      </c>
      <c r="J27" s="136">
        <f t="shared" ca="1" si="14"/>
        <v>14136.852920270067</v>
      </c>
      <c r="K27" s="136">
        <f t="shared" ca="1" si="14"/>
        <v>22304.155906411605</v>
      </c>
      <c r="L27" s="136">
        <f t="shared" ca="1" si="14"/>
        <v>30888.758809887302</v>
      </c>
      <c r="M27" s="136">
        <f t="shared" ca="1" si="14"/>
        <v>40196.859984693321</v>
      </c>
      <c r="O27" s="42">
        <f t="shared" si="1"/>
        <v>1</v>
      </c>
      <c r="P27" s="24">
        <v>1</v>
      </c>
    </row>
    <row r="28" spans="1:16" s="73" customFormat="1" ht="11.25" customHeight="1">
      <c r="C28" s="283" t="s">
        <v>720</v>
      </c>
      <c r="D28" s="284"/>
      <c r="E28" s="283"/>
      <c r="F28" s="283"/>
      <c r="G28" s="282"/>
      <c r="H28" s="282">
        <f t="shared" ref="H28:M28" ca="1" si="15">SUM(H23:H25,H27)</f>
        <v>6126.4201786844096</v>
      </c>
      <c r="I28" s="282">
        <f t="shared" ca="1" si="15"/>
        <v>14136.852920270067</v>
      </c>
      <c r="J28" s="282">
        <f t="shared" ca="1" si="15"/>
        <v>22304.155906411605</v>
      </c>
      <c r="K28" s="282">
        <f t="shared" ca="1" si="15"/>
        <v>30888.758809887302</v>
      </c>
      <c r="L28" s="282">
        <f t="shared" ca="1" si="15"/>
        <v>40196.859984693321</v>
      </c>
      <c r="M28" s="282">
        <f t="shared" ca="1" si="15"/>
        <v>49770.513958687035</v>
      </c>
      <c r="O28" s="42">
        <f t="shared" si="1"/>
        <v>1</v>
      </c>
      <c r="P28" s="24">
        <v>1</v>
      </c>
    </row>
    <row r="29" spans="1:16" s="73" customFormat="1" ht="11.25" customHeight="1">
      <c r="D29" s="290"/>
      <c r="F29" s="289"/>
      <c r="G29" s="319"/>
      <c r="H29" s="319"/>
      <c r="I29" s="319"/>
      <c r="J29" s="319"/>
      <c r="K29" s="319"/>
      <c r="L29" s="319"/>
      <c r="M29" s="319"/>
      <c r="O29" s="42">
        <f t="shared" si="1"/>
        <v>0</v>
      </c>
      <c r="P29" s="24">
        <v>0</v>
      </c>
    </row>
    <row r="30" spans="1:16" s="73" customFormat="1" ht="11.25" customHeight="1">
      <c r="D30" s="290"/>
      <c r="F30" s="289"/>
      <c r="G30" s="38"/>
      <c r="H30" s="214" t="s">
        <v>565</v>
      </c>
      <c r="I30" s="214"/>
      <c r="J30" s="214"/>
      <c r="K30" s="214"/>
      <c r="L30" s="214"/>
      <c r="M30" s="214"/>
      <c r="O30" s="42">
        <f t="shared" si="1"/>
        <v>0</v>
      </c>
      <c r="P30" s="24">
        <v>0</v>
      </c>
    </row>
    <row r="31" spans="1:16" ht="14" thickBot="1">
      <c r="A31" s="3"/>
      <c r="B31" s="3"/>
      <c r="C31" s="213" t="s">
        <v>721</v>
      </c>
      <c r="D31" s="286"/>
      <c r="E31" s="213"/>
      <c r="F31" s="213"/>
      <c r="G31" s="85">
        <f t="shared" ref="G31:M31" si="16">G8</f>
        <v>2023</v>
      </c>
      <c r="H31" s="213">
        <f t="shared" si="16"/>
        <v>2024</v>
      </c>
      <c r="I31" s="213">
        <f t="shared" si="16"/>
        <v>2025</v>
      </c>
      <c r="J31" s="213">
        <f t="shared" si="16"/>
        <v>2026</v>
      </c>
      <c r="K31" s="213">
        <f t="shared" si="16"/>
        <v>2027</v>
      </c>
      <c r="L31" s="213">
        <f t="shared" si="16"/>
        <v>2028</v>
      </c>
      <c r="M31" s="213">
        <f t="shared" si="16"/>
        <v>2029</v>
      </c>
      <c r="O31" s="42">
        <f t="shared" si="1"/>
        <v>1</v>
      </c>
      <c r="P31" s="24">
        <v>1</v>
      </c>
    </row>
    <row r="32" spans="1:16" s="73" customFormat="1" ht="11.25" customHeight="1">
      <c r="C32" s="73" t="s">
        <v>722</v>
      </c>
      <c r="D32" s="137"/>
      <c r="F32" s="136"/>
      <c r="G32" s="136">
        <f ca="1">-'LBO - Assumptions'!F55</f>
        <v>-15063</v>
      </c>
      <c r="H32" s="316">
        <v>0</v>
      </c>
      <c r="I32" s="316">
        <v>0</v>
      </c>
      <c r="J32" s="316">
        <v>0</v>
      </c>
      <c r="K32" s="316">
        <v>0</v>
      </c>
      <c r="L32" s="316">
        <v>0</v>
      </c>
      <c r="M32" s="316">
        <v>0</v>
      </c>
      <c r="O32" s="42">
        <f t="shared" si="1"/>
        <v>1</v>
      </c>
      <c r="P32" s="24">
        <v>1</v>
      </c>
    </row>
    <row r="33" spans="1:16" s="73" customFormat="1" ht="11.25" customHeight="1">
      <c r="C33" s="73" t="s">
        <v>723</v>
      </c>
      <c r="D33" s="137"/>
      <c r="F33" s="136"/>
      <c r="G33" s="136"/>
      <c r="H33" s="136">
        <f ca="1">IF(H34=0,0,1)*IF('LBO - Assumptions'!$G$81=1,('LBO - Assumptions'!$G$83-('LBO - Assumptions'!$G$83)))</f>
        <v>0</v>
      </c>
      <c r="I33" s="136">
        <f ca="1">IF(I34=0,0,1)*IF('LBO - Assumptions'!$G$81=1,('LBO - Assumptions'!$G$83-('LBO - Assumptions'!$G$83)))</f>
        <v>0</v>
      </c>
      <c r="J33" s="136">
        <f ca="1">IF(J34=0,0,1)*IF('LBO - Assumptions'!$G$81=1,('LBO - Assumptions'!$G$83-('LBO - Assumptions'!$G$83)))</f>
        <v>0</v>
      </c>
      <c r="K33" s="136">
        <f ca="1">IF(K34=0,0,1)*IF('LBO - Assumptions'!$G$81=1,('LBO - Assumptions'!$G$83-('LBO - Assumptions'!$G$83)))</f>
        <v>0</v>
      </c>
      <c r="L33" s="136">
        <f ca="1">IF(L34=0,0,1)*IF('LBO - Assumptions'!$G$81=1,('LBO - Assumptions'!$G$83-('LBO - Assumptions'!$G$83)))</f>
        <v>0</v>
      </c>
      <c r="M33" s="136">
        <f ca="1">IF(M34=0,0,1)*IF('LBO - Assumptions'!$G$81=1,('LBO - Assumptions'!$G$83-('LBO - Assumptions'!$G$83)))</f>
        <v>0</v>
      </c>
      <c r="O33" s="42">
        <f t="shared" si="1"/>
        <v>1</v>
      </c>
      <c r="P33" s="24">
        <v>1</v>
      </c>
    </row>
    <row r="34" spans="1:16" s="73" customFormat="1" ht="11.25" customHeight="1">
      <c r="C34" s="73" t="s">
        <v>724</v>
      </c>
      <c r="D34" s="137"/>
      <c r="F34" s="136"/>
      <c r="G34" s="136"/>
      <c r="H34" s="136">
        <f ca="1">H41*H42</f>
        <v>0</v>
      </c>
      <c r="I34" s="136">
        <f ca="1">I41*I42</f>
        <v>0</v>
      </c>
      <c r="J34" s="136">
        <f ca="1">J41*J42</f>
        <v>0</v>
      </c>
      <c r="K34" s="136">
        <f ca="1">(K41*K42)</f>
        <v>0</v>
      </c>
      <c r="L34" s="136">
        <f ca="1">(L41*L42)</f>
        <v>0</v>
      </c>
      <c r="M34" s="136">
        <f ca="1">(M41*M42)</f>
        <v>0</v>
      </c>
      <c r="O34" s="42">
        <f t="shared" si="1"/>
        <v>1</v>
      </c>
      <c r="P34" s="24">
        <v>1</v>
      </c>
    </row>
    <row r="35" spans="1:16" s="73" customFormat="1" ht="11.25" customHeight="1">
      <c r="C35" s="73" t="s">
        <v>725</v>
      </c>
      <c r="D35" s="137"/>
      <c r="F35" s="136"/>
      <c r="G35" s="136"/>
      <c r="H35" s="136">
        <f ca="1">IF(H34=0,0,1)*-'LBO - Financials'!H122</f>
        <v>0</v>
      </c>
      <c r="I35" s="136">
        <f ca="1">IF(I34=0,0,1)*-'LBO - Financials'!I122</f>
        <v>0</v>
      </c>
      <c r="J35" s="136">
        <f ca="1">IF(J34=0,0,1)*-'LBO - Financials'!J122</f>
        <v>0</v>
      </c>
      <c r="K35" s="136">
        <f ca="1">IF(K34=0,0,1)*-'LBO - Financials'!K122</f>
        <v>0</v>
      </c>
      <c r="L35" s="136">
        <f ca="1">IF(L34=0,0,1)*-'LBO - Financials'!L122</f>
        <v>0</v>
      </c>
      <c r="M35" s="136">
        <f ca="1">IF(M34=0,0,1)*-'LBO - Financials'!M122</f>
        <v>0</v>
      </c>
      <c r="O35" s="42">
        <f t="shared" si="1"/>
        <v>1</v>
      </c>
      <c r="P35" s="24">
        <v>1</v>
      </c>
    </row>
    <row r="36" spans="1:16" s="73" customFormat="1" ht="11.25" customHeight="1">
      <c r="C36" s="73" t="s">
        <v>726</v>
      </c>
      <c r="D36" s="137"/>
      <c r="F36" s="136"/>
      <c r="G36" s="136"/>
      <c r="H36" s="136">
        <f ca="1">H34*-'LBO - Assumptions'!$D$104</f>
        <v>0</v>
      </c>
      <c r="I36" s="136">
        <f ca="1">I34*-'LBO - Assumptions'!$D$104</f>
        <v>0</v>
      </c>
      <c r="J36" s="136">
        <f ca="1">J34*-'LBO - Assumptions'!$D$104</f>
        <v>0</v>
      </c>
      <c r="K36" s="136">
        <f ca="1">K34*-'LBO - Assumptions'!$D$104</f>
        <v>0</v>
      </c>
      <c r="L36" s="136">
        <f ca="1">L34*-'LBO - Assumptions'!$D$104</f>
        <v>0</v>
      </c>
      <c r="M36" s="136">
        <f ca="1">M34*-'LBO - Assumptions'!$D$104</f>
        <v>0</v>
      </c>
      <c r="O36" s="42">
        <f t="shared" si="1"/>
        <v>1</v>
      </c>
      <c r="P36" s="24">
        <v>1</v>
      </c>
    </row>
    <row r="37" spans="1:16" s="73" customFormat="1" ht="11.25" customHeight="1">
      <c r="C37" s="73" t="s">
        <v>727</v>
      </c>
      <c r="D37" s="137"/>
      <c r="F37" s="136"/>
      <c r="G37" s="136"/>
      <c r="H37" s="136">
        <f ca="1">H25</f>
        <v>3063.2100893422048</v>
      </c>
      <c r="I37" s="136">
        <f t="shared" ref="I37:M37" ca="1" si="17">I25</f>
        <v>4005.2163707928285</v>
      </c>
      <c r="J37" s="136">
        <f t="shared" ca="1" si="17"/>
        <v>4083.6514930707694</v>
      </c>
      <c r="K37" s="136">
        <f t="shared" ca="1" si="17"/>
        <v>4292.3014517378488</v>
      </c>
      <c r="L37" s="136">
        <f t="shared" ca="1" si="17"/>
        <v>4654.0505874030105</v>
      </c>
      <c r="M37" s="136">
        <f t="shared" ca="1" si="17"/>
        <v>4786.8269869968572</v>
      </c>
      <c r="O37" s="42">
        <f t="shared" si="1"/>
        <v>1</v>
      </c>
      <c r="P37" s="24">
        <v>1</v>
      </c>
    </row>
    <row r="38" spans="1:16" s="73" customFormat="1" ht="11.25" customHeight="1" thickBot="1">
      <c r="C38" s="283" t="s">
        <v>728</v>
      </c>
      <c r="D38" s="284"/>
      <c r="E38" s="283"/>
      <c r="F38" s="282"/>
      <c r="G38" s="152">
        <f ca="1">G34+G33+SUM(G35:G37)+G32</f>
        <v>-15063</v>
      </c>
      <c r="H38" s="282">
        <f t="shared" ref="H38:M38" ca="1" si="18">SUM(H32:H37)</f>
        <v>3063.2100893422048</v>
      </c>
      <c r="I38" s="282">
        <f t="shared" ca="1" si="18"/>
        <v>4005.2163707928285</v>
      </c>
      <c r="J38" s="282">
        <f t="shared" ca="1" si="18"/>
        <v>4083.6514930707694</v>
      </c>
      <c r="K38" s="282">
        <f t="shared" ca="1" si="18"/>
        <v>4292.3014517378488</v>
      </c>
      <c r="L38" s="282">
        <f t="shared" ca="1" si="18"/>
        <v>4654.0505874030105</v>
      </c>
      <c r="M38" s="282">
        <f t="shared" ca="1" si="18"/>
        <v>4786.8269869968572</v>
      </c>
      <c r="O38" s="42">
        <f t="shared" si="1"/>
        <v>1</v>
      </c>
      <c r="P38" s="24">
        <v>1</v>
      </c>
    </row>
    <row r="39" spans="1:16" s="73" customFormat="1" ht="11.25" customHeight="1" thickBot="1">
      <c r="C39" s="965" t="s">
        <v>729</v>
      </c>
      <c r="D39" s="966"/>
      <c r="E39" s="967"/>
      <c r="F39" s="968"/>
      <c r="G39" s="969">
        <f ca="1">IFERROR(IRR(G38:M38),0)</f>
        <v>0.15347721715742568</v>
      </c>
      <c r="H39" s="675"/>
      <c r="I39" s="675"/>
      <c r="J39" s="675"/>
      <c r="K39" s="675"/>
      <c r="L39" s="675"/>
      <c r="M39" s="675"/>
      <c r="O39" s="42">
        <f t="shared" si="1"/>
        <v>1</v>
      </c>
      <c r="P39" s="24">
        <v>1</v>
      </c>
    </row>
    <row r="40" spans="1:16" s="73" customFormat="1" ht="11.25" customHeight="1">
      <c r="C40" s="73" t="s">
        <v>730</v>
      </c>
      <c r="D40" s="137"/>
      <c r="G40" s="309" t="s">
        <v>730</v>
      </c>
      <c r="O40" s="42">
        <f t="shared" si="1"/>
        <v>1</v>
      </c>
      <c r="P40" s="24">
        <v>1</v>
      </c>
    </row>
    <row r="41" spans="1:16" s="73" customFormat="1" ht="11.25" customHeight="1">
      <c r="C41" s="73" t="s">
        <v>731</v>
      </c>
      <c r="D41" s="137"/>
      <c r="G41" s="318">
        <f>'LBO - Assumptions'!G114</f>
        <v>2029</v>
      </c>
      <c r="H41" s="136">
        <f t="shared" ref="H41:M41" ca="1" si="19">IF(H31=$G$41,1,0)*H16</f>
        <v>0</v>
      </c>
      <c r="I41" s="136">
        <f t="shared" ca="1" si="19"/>
        <v>0</v>
      </c>
      <c r="J41" s="136">
        <f t="shared" ca="1" si="19"/>
        <v>0</v>
      </c>
      <c r="K41" s="136">
        <f t="shared" ca="1" si="19"/>
        <v>0</v>
      </c>
      <c r="L41" s="136">
        <f t="shared" ca="1" si="19"/>
        <v>0</v>
      </c>
      <c r="M41" s="136">
        <f t="shared" ca="1" si="19"/>
        <v>8301.0183597718387</v>
      </c>
      <c r="O41" s="42">
        <f t="shared" si="1"/>
        <v>1</v>
      </c>
      <c r="P41" s="24">
        <v>1</v>
      </c>
    </row>
    <row r="42" spans="1:16" s="73" customFormat="1" ht="11.25" customHeight="1">
      <c r="C42" s="73" t="s">
        <v>652</v>
      </c>
      <c r="D42" s="137"/>
      <c r="F42" s="136"/>
      <c r="G42" s="317"/>
      <c r="H42" s="317">
        <f ca="1">IF(H31=$G$41,1,0)*'LBO - Assumptions'!$E$34</f>
        <v>0</v>
      </c>
      <c r="I42" s="317">
        <f ca="1">IF(I31=$G$41,1,0)*'LBO - Assumptions'!$E$34</f>
        <v>0</v>
      </c>
      <c r="J42" s="317">
        <f ca="1">IF(J31=$G$41,1,0)*'LBO - Assumptions'!$E$34</f>
        <v>0</v>
      </c>
      <c r="K42" s="317">
        <f ca="1">IF(K31=$G$41,1,0)*'LBO - Assumptions'!$E$34</f>
        <v>0</v>
      </c>
      <c r="L42" s="317">
        <f ca="1">IF(L31=$G$41,1,0)*'LBO - Assumptions'!$E$34</f>
        <v>0</v>
      </c>
      <c r="M42" s="317">
        <f ca="1">IF(M31=$G$41,1,0)*'LBO - Assumptions'!$E$34</f>
        <v>0</v>
      </c>
      <c r="O42" s="42">
        <f t="shared" si="1"/>
        <v>1</v>
      </c>
      <c r="P42" s="24">
        <v>1</v>
      </c>
    </row>
    <row r="43" spans="1:16" s="73" customFormat="1" ht="11.25" customHeight="1">
      <c r="D43" s="137"/>
      <c r="F43" s="136"/>
      <c r="G43" s="317"/>
      <c r="H43" s="317"/>
      <c r="I43" s="317"/>
      <c r="J43" s="317"/>
      <c r="K43" s="317"/>
      <c r="L43" s="317"/>
      <c r="M43" s="317"/>
      <c r="O43" s="42">
        <f t="shared" si="1"/>
        <v>0</v>
      </c>
      <c r="P43" s="24">
        <v>0</v>
      </c>
    </row>
    <row r="44" spans="1:16" s="73" customFormat="1" ht="11.25" customHeight="1">
      <c r="D44" s="137"/>
      <c r="F44" s="136"/>
      <c r="G44" s="38"/>
      <c r="H44" s="214" t="s">
        <v>565</v>
      </c>
      <c r="I44" s="214"/>
      <c r="J44" s="214"/>
      <c r="K44" s="214"/>
      <c r="L44" s="214"/>
      <c r="M44" s="214"/>
      <c r="O44" s="42">
        <f t="shared" si="1"/>
        <v>0</v>
      </c>
      <c r="P44" s="24">
        <v>0</v>
      </c>
    </row>
    <row r="45" spans="1:16" ht="14" thickBot="1">
      <c r="A45" s="3"/>
      <c r="B45" s="3"/>
      <c r="C45" s="213" t="s">
        <v>732</v>
      </c>
      <c r="D45" s="286"/>
      <c r="E45" s="213"/>
      <c r="F45" s="213"/>
      <c r="G45" s="85">
        <f t="shared" ref="G45:M45" si="20">G8</f>
        <v>2023</v>
      </c>
      <c r="H45" s="213">
        <f t="shared" si="20"/>
        <v>2024</v>
      </c>
      <c r="I45" s="213">
        <f t="shared" si="20"/>
        <v>2025</v>
      </c>
      <c r="J45" s="213">
        <f t="shared" si="20"/>
        <v>2026</v>
      </c>
      <c r="K45" s="213">
        <f t="shared" si="20"/>
        <v>2027</v>
      </c>
      <c r="L45" s="213">
        <f t="shared" si="20"/>
        <v>2028</v>
      </c>
      <c r="M45" s="213">
        <f t="shared" si="20"/>
        <v>2029</v>
      </c>
      <c r="O45" s="42">
        <f t="shared" si="1"/>
        <v>1</v>
      </c>
      <c r="P45" s="24">
        <v>1</v>
      </c>
    </row>
    <row r="46" spans="1:16" s="73" customFormat="1" ht="11.25" customHeight="1">
      <c r="D46" s="137"/>
      <c r="F46" s="136"/>
      <c r="G46" s="317"/>
      <c r="H46" s="317"/>
      <c r="I46" s="317"/>
      <c r="J46" s="317"/>
      <c r="K46" s="317"/>
      <c r="L46" s="317"/>
      <c r="M46" s="317"/>
      <c r="O46" s="42">
        <f t="shared" si="1"/>
        <v>0</v>
      </c>
      <c r="P46" s="24">
        <v>0</v>
      </c>
    </row>
    <row r="47" spans="1:16" s="73" customFormat="1" ht="11.25" customHeight="1">
      <c r="C47" s="73" t="s">
        <v>733</v>
      </c>
      <c r="D47" s="137"/>
      <c r="F47" s="136"/>
      <c r="G47" s="136"/>
      <c r="H47" s="136">
        <f ca="1">G49</f>
        <v>0</v>
      </c>
      <c r="I47" s="136">
        <f t="shared" ref="I47:M48" ca="1" si="21">I96</f>
        <v>0</v>
      </c>
      <c r="J47" s="136">
        <f t="shared" ca="1" si="21"/>
        <v>0</v>
      </c>
      <c r="K47" s="136">
        <f t="shared" ca="1" si="21"/>
        <v>0</v>
      </c>
      <c r="L47" s="136">
        <f t="shared" ca="1" si="21"/>
        <v>0</v>
      </c>
      <c r="M47" s="136">
        <f t="shared" ca="1" si="21"/>
        <v>0</v>
      </c>
      <c r="O47" s="42">
        <f t="shared" si="1"/>
        <v>1</v>
      </c>
      <c r="P47" s="24">
        <v>1</v>
      </c>
    </row>
    <row r="48" spans="1:16" s="73" customFormat="1" ht="11.25" customHeight="1">
      <c r="C48" s="129" t="s">
        <v>578</v>
      </c>
      <c r="D48" s="142"/>
      <c r="E48" s="129"/>
      <c r="F48" s="157"/>
      <c r="G48" s="157"/>
      <c r="H48" s="157">
        <f ca="1">H97</f>
        <v>0</v>
      </c>
      <c r="I48" s="157">
        <f t="shared" ca="1" si="21"/>
        <v>0</v>
      </c>
      <c r="J48" s="157">
        <f t="shared" ca="1" si="21"/>
        <v>0</v>
      </c>
      <c r="K48" s="157">
        <f t="shared" ca="1" si="21"/>
        <v>0</v>
      </c>
      <c r="L48" s="157">
        <f t="shared" ca="1" si="21"/>
        <v>0</v>
      </c>
      <c r="M48" s="157">
        <f t="shared" ca="1" si="21"/>
        <v>0</v>
      </c>
      <c r="O48" s="42">
        <f t="shared" si="1"/>
        <v>1</v>
      </c>
      <c r="P48" s="24">
        <v>1</v>
      </c>
    </row>
    <row r="49" spans="1:98" s="73" customFormat="1" ht="11.25" customHeight="1">
      <c r="C49" s="129" t="s">
        <v>734</v>
      </c>
      <c r="D49" s="142"/>
      <c r="E49" s="129"/>
      <c r="F49" s="157"/>
      <c r="G49" s="157">
        <f ca="1">G98</f>
        <v>0</v>
      </c>
      <c r="H49" s="157">
        <f t="shared" ref="H49:M49" ca="1" si="22">SUM(H47:H48)</f>
        <v>0</v>
      </c>
      <c r="I49" s="157">
        <f t="shared" ca="1" si="22"/>
        <v>0</v>
      </c>
      <c r="J49" s="157">
        <f t="shared" ca="1" si="22"/>
        <v>0</v>
      </c>
      <c r="K49" s="157">
        <f t="shared" ca="1" si="22"/>
        <v>0</v>
      </c>
      <c r="L49" s="157">
        <f t="shared" ca="1" si="22"/>
        <v>0</v>
      </c>
      <c r="M49" s="157">
        <f t="shared" ca="1" si="22"/>
        <v>0</v>
      </c>
      <c r="O49" s="42">
        <f t="shared" si="1"/>
        <v>1</v>
      </c>
      <c r="P49" s="24">
        <v>1</v>
      </c>
    </row>
    <row r="50" spans="1:98" s="73" customFormat="1" ht="11.25" customHeight="1">
      <c r="D50" s="137"/>
      <c r="F50" s="136"/>
      <c r="G50" s="136"/>
      <c r="H50" s="136"/>
      <c r="I50" s="136"/>
      <c r="J50" s="136"/>
      <c r="K50" s="136"/>
      <c r="L50" s="136"/>
      <c r="M50" s="136"/>
      <c r="O50" s="42">
        <f t="shared" si="1"/>
        <v>0</v>
      </c>
      <c r="P50" s="24">
        <v>0</v>
      </c>
    </row>
    <row r="51" spans="1:98" s="73" customFormat="1" ht="11.25" customHeight="1">
      <c r="C51" s="73" t="s">
        <v>735</v>
      </c>
      <c r="D51" s="137"/>
      <c r="F51" s="136"/>
      <c r="G51" s="136"/>
      <c r="H51" s="136">
        <f ca="1">G53</f>
        <v>0</v>
      </c>
      <c r="I51" s="136">
        <f t="shared" ref="H51:M52" ca="1" si="23">I101</f>
        <v>0</v>
      </c>
      <c r="J51" s="136">
        <f t="shared" ca="1" si="23"/>
        <v>0</v>
      </c>
      <c r="K51" s="136">
        <f t="shared" ca="1" si="23"/>
        <v>0</v>
      </c>
      <c r="L51" s="136">
        <f t="shared" ca="1" si="23"/>
        <v>0</v>
      </c>
      <c r="M51" s="136">
        <f t="shared" ca="1" si="23"/>
        <v>0</v>
      </c>
      <c r="O51" s="42">
        <f t="shared" si="1"/>
        <v>1</v>
      </c>
      <c r="P51" s="24">
        <v>1</v>
      </c>
    </row>
    <row r="52" spans="1:98" s="73" customFormat="1" ht="11.25" customHeight="1">
      <c r="C52" s="129" t="s">
        <v>579</v>
      </c>
      <c r="D52" s="142"/>
      <c r="E52" s="129"/>
      <c r="F52" s="157"/>
      <c r="G52" s="157">
        <f>G102</f>
        <v>0</v>
      </c>
      <c r="H52" s="157">
        <f t="shared" ca="1" si="23"/>
        <v>0</v>
      </c>
      <c r="I52" s="157">
        <f t="shared" ca="1" si="23"/>
        <v>0</v>
      </c>
      <c r="J52" s="157">
        <f t="shared" ca="1" si="23"/>
        <v>0</v>
      </c>
      <c r="K52" s="157">
        <f t="shared" ca="1" si="23"/>
        <v>0</v>
      </c>
      <c r="L52" s="157">
        <f t="shared" ca="1" si="23"/>
        <v>0</v>
      </c>
      <c r="M52" s="157">
        <f t="shared" ca="1" si="23"/>
        <v>0</v>
      </c>
      <c r="O52" s="42">
        <f t="shared" si="1"/>
        <v>1</v>
      </c>
      <c r="P52" s="24">
        <v>1</v>
      </c>
    </row>
    <row r="53" spans="1:98" s="73" customFormat="1" ht="11.25" customHeight="1">
      <c r="C53" s="129" t="s">
        <v>736</v>
      </c>
      <c r="D53" s="142"/>
      <c r="E53" s="129"/>
      <c r="F53" s="157"/>
      <c r="G53" s="157">
        <f ca="1">G103</f>
        <v>0</v>
      </c>
      <c r="H53" s="157">
        <f ca="1">SUM(H51:H52)</f>
        <v>0</v>
      </c>
      <c r="I53" s="157">
        <f t="shared" ref="I53:M53" ca="1" si="24">SUM(I51:I52)</f>
        <v>0</v>
      </c>
      <c r="J53" s="157">
        <f t="shared" ca="1" si="24"/>
        <v>0</v>
      </c>
      <c r="K53" s="157">
        <f t="shared" ca="1" si="24"/>
        <v>0</v>
      </c>
      <c r="L53" s="157">
        <f t="shared" ca="1" si="24"/>
        <v>0</v>
      </c>
      <c r="M53" s="157">
        <f t="shared" ca="1" si="24"/>
        <v>0</v>
      </c>
      <c r="O53" s="42">
        <f t="shared" si="1"/>
        <v>1</v>
      </c>
      <c r="P53" s="24">
        <v>1</v>
      </c>
    </row>
    <row r="54" spans="1:98" s="73" customFormat="1" ht="11.25" customHeight="1">
      <c r="D54" s="137"/>
      <c r="F54" s="136"/>
      <c r="G54" s="136"/>
      <c r="H54" s="136"/>
      <c r="I54" s="136"/>
      <c r="J54" s="136"/>
      <c r="K54" s="136"/>
      <c r="L54" s="136"/>
      <c r="M54" s="136"/>
      <c r="O54" s="42">
        <f t="shared" si="1"/>
        <v>0</v>
      </c>
      <c r="P54" s="24">
        <v>0</v>
      </c>
    </row>
    <row r="55" spans="1:98" s="73" customFormat="1" ht="11.25" customHeight="1">
      <c r="C55" s="73" t="s">
        <v>737</v>
      </c>
      <c r="D55" s="137"/>
      <c r="F55" s="136"/>
      <c r="G55" s="136"/>
      <c r="H55" s="136">
        <f ca="1">G57</f>
        <v>0</v>
      </c>
      <c r="I55" s="136">
        <f ca="1">I106</f>
        <v>0</v>
      </c>
      <c r="J55" s="136">
        <f t="shared" ref="J55:M55" ca="1" si="25">J106</f>
        <v>0</v>
      </c>
      <c r="K55" s="136">
        <f t="shared" ca="1" si="25"/>
        <v>0</v>
      </c>
      <c r="L55" s="136">
        <f t="shared" ca="1" si="25"/>
        <v>0</v>
      </c>
      <c r="M55" s="136">
        <f t="shared" ca="1" si="25"/>
        <v>0</v>
      </c>
      <c r="O55" s="42">
        <f t="shared" si="1"/>
        <v>1</v>
      </c>
      <c r="P55" s="24">
        <v>1</v>
      </c>
    </row>
    <row r="56" spans="1:98" s="73" customFormat="1" ht="11.25" customHeight="1">
      <c r="C56" s="129" t="s">
        <v>580</v>
      </c>
      <c r="D56" s="142"/>
      <c r="E56" s="129"/>
      <c r="F56" s="157"/>
      <c r="G56" s="157"/>
      <c r="H56" s="157">
        <f ca="1">H107</f>
        <v>0</v>
      </c>
      <c r="I56" s="157">
        <f t="shared" ref="I56:M56" ca="1" si="26">I107</f>
        <v>0</v>
      </c>
      <c r="J56" s="157">
        <f t="shared" ca="1" si="26"/>
        <v>0</v>
      </c>
      <c r="K56" s="157">
        <f t="shared" ca="1" si="26"/>
        <v>0</v>
      </c>
      <c r="L56" s="157">
        <f t="shared" ca="1" si="26"/>
        <v>0</v>
      </c>
      <c r="M56" s="157">
        <f t="shared" ca="1" si="26"/>
        <v>0</v>
      </c>
      <c r="O56" s="42">
        <f t="shared" si="1"/>
        <v>1</v>
      </c>
      <c r="P56" s="24">
        <v>1</v>
      </c>
    </row>
    <row r="57" spans="1:98" s="73" customFormat="1" ht="11.25" customHeight="1">
      <c r="C57" s="129" t="s">
        <v>738</v>
      </c>
      <c r="D57" s="142"/>
      <c r="E57" s="129"/>
      <c r="F57" s="157"/>
      <c r="G57" s="157">
        <f ca="1">G108</f>
        <v>0</v>
      </c>
      <c r="H57" s="157">
        <f ca="1">SUM(H55:H56)</f>
        <v>0</v>
      </c>
      <c r="I57" s="157">
        <f t="shared" ref="I57:M57" ca="1" si="27">SUM(I55:I56)</f>
        <v>0</v>
      </c>
      <c r="J57" s="157">
        <f t="shared" ca="1" si="27"/>
        <v>0</v>
      </c>
      <c r="K57" s="157">
        <f t="shared" ca="1" si="27"/>
        <v>0</v>
      </c>
      <c r="L57" s="157">
        <f t="shared" ca="1" si="27"/>
        <v>0</v>
      </c>
      <c r="M57" s="157">
        <f t="shared" ca="1" si="27"/>
        <v>0</v>
      </c>
      <c r="O57" s="42">
        <f t="shared" si="1"/>
        <v>1</v>
      </c>
      <c r="P57" s="24">
        <v>1</v>
      </c>
    </row>
    <row r="58" spans="1:98" s="73" customFormat="1" ht="11.25" customHeight="1">
      <c r="D58" s="137"/>
      <c r="F58" s="136"/>
      <c r="G58" s="136"/>
      <c r="H58" s="136"/>
      <c r="I58" s="136"/>
      <c r="J58" s="136"/>
      <c r="K58" s="136"/>
      <c r="L58" s="136"/>
      <c r="M58" s="136"/>
      <c r="O58" s="42">
        <f t="shared" si="1"/>
        <v>0</v>
      </c>
      <c r="P58" s="24">
        <v>0</v>
      </c>
    </row>
    <row r="59" spans="1:98" s="73" customFormat="1" ht="11.25" customHeight="1">
      <c r="C59" s="73" t="s">
        <v>739</v>
      </c>
      <c r="D59" s="137"/>
      <c r="F59" s="136"/>
      <c r="G59" s="136"/>
      <c r="H59" s="136">
        <f ca="1">G61</f>
        <v>0</v>
      </c>
      <c r="I59" s="136">
        <f ca="1">I111</f>
        <v>0</v>
      </c>
      <c r="J59" s="136">
        <f t="shared" ref="J59:M59" ca="1" si="28">J111</f>
        <v>0</v>
      </c>
      <c r="K59" s="136">
        <f t="shared" ca="1" si="28"/>
        <v>0</v>
      </c>
      <c r="L59" s="136">
        <f t="shared" ca="1" si="28"/>
        <v>0</v>
      </c>
      <c r="M59" s="136">
        <f t="shared" ca="1" si="28"/>
        <v>0</v>
      </c>
      <c r="O59" s="42">
        <f t="shared" si="1"/>
        <v>1</v>
      </c>
      <c r="P59" s="24">
        <v>1</v>
      </c>
    </row>
    <row r="60" spans="1:98" s="73" customFormat="1" ht="11.25" customHeight="1">
      <c r="C60" s="129" t="s">
        <v>581</v>
      </c>
      <c r="D60" s="142"/>
      <c r="E60" s="129"/>
      <c r="F60" s="157"/>
      <c r="G60" s="157"/>
      <c r="H60" s="157">
        <f ca="1">H112</f>
        <v>0</v>
      </c>
      <c r="I60" s="157">
        <f t="shared" ref="I60:M60" ca="1" si="29">I112</f>
        <v>0</v>
      </c>
      <c r="J60" s="157">
        <f t="shared" ca="1" si="29"/>
        <v>0</v>
      </c>
      <c r="K60" s="157">
        <f t="shared" ca="1" si="29"/>
        <v>0</v>
      </c>
      <c r="L60" s="157">
        <f t="shared" ca="1" si="29"/>
        <v>0</v>
      </c>
      <c r="M60" s="157">
        <f t="shared" ca="1" si="29"/>
        <v>0</v>
      </c>
      <c r="O60" s="42">
        <f t="shared" si="1"/>
        <v>1</v>
      </c>
      <c r="P60" s="24">
        <v>1</v>
      </c>
    </row>
    <row r="61" spans="1:98" s="73" customFormat="1" ht="11.25" customHeight="1">
      <c r="C61" s="129" t="s">
        <v>740</v>
      </c>
      <c r="D61" s="142"/>
      <c r="E61" s="129"/>
      <c r="F61" s="157"/>
      <c r="G61" s="157">
        <f ca="1">G113</f>
        <v>0</v>
      </c>
      <c r="H61" s="157">
        <f ca="1">SUM(H59:H60)</f>
        <v>0</v>
      </c>
      <c r="I61" s="157">
        <f t="shared" ref="I61:M61" ca="1" si="30">SUM(I59:I60)</f>
        <v>0</v>
      </c>
      <c r="J61" s="157">
        <f t="shared" ca="1" si="30"/>
        <v>0</v>
      </c>
      <c r="K61" s="157">
        <f t="shared" ca="1" si="30"/>
        <v>0</v>
      </c>
      <c r="L61" s="157">
        <f t="shared" ca="1" si="30"/>
        <v>0</v>
      </c>
      <c r="M61" s="157">
        <f t="shared" ca="1" si="30"/>
        <v>0</v>
      </c>
      <c r="O61" s="42">
        <f t="shared" si="1"/>
        <v>1</v>
      </c>
      <c r="P61" s="24">
        <v>1</v>
      </c>
    </row>
    <row r="62" spans="1:98" s="3" customFormat="1" ht="11.25" customHeight="1">
      <c r="A62" s="117"/>
      <c r="B62" s="117"/>
      <c r="C62" s="312"/>
      <c r="D62" s="81"/>
      <c r="G62" s="38"/>
      <c r="O62" s="42">
        <f t="shared" si="1"/>
        <v>0</v>
      </c>
      <c r="P62" s="24">
        <v>0</v>
      </c>
      <c r="Q62" s="230"/>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row>
    <row r="63" spans="1:98" s="3" customFormat="1" ht="12.75" customHeight="1">
      <c r="A63" s="117"/>
      <c r="B63" s="117"/>
      <c r="C63" s="926" t="s">
        <v>741</v>
      </c>
      <c r="D63" s="927"/>
      <c r="E63" s="927"/>
      <c r="F63" s="927"/>
      <c r="G63" s="927"/>
      <c r="H63" s="927"/>
      <c r="I63" s="927"/>
      <c r="J63" s="927"/>
      <c r="K63" s="927"/>
      <c r="L63" s="927"/>
      <c r="M63" s="927"/>
      <c r="O63" s="42">
        <f t="shared" si="1"/>
        <v>1</v>
      </c>
      <c r="P63" s="24">
        <v>1</v>
      </c>
      <c r="Q63" s="230"/>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row>
    <row r="64" spans="1:98" s="3" customFormat="1" ht="11.25" customHeight="1">
      <c r="A64" s="117"/>
      <c r="B64" s="117"/>
      <c r="C64" s="312"/>
      <c r="D64" s="81"/>
      <c r="G64" s="38"/>
      <c r="H64" s="214" t="s">
        <v>565</v>
      </c>
      <c r="I64" s="214"/>
      <c r="J64" s="214"/>
      <c r="K64" s="214"/>
      <c r="L64" s="214"/>
      <c r="M64" s="214"/>
      <c r="O64" s="42">
        <f t="shared" si="1"/>
        <v>0</v>
      </c>
      <c r="P64" s="24">
        <v>0</v>
      </c>
      <c r="Q64" s="230"/>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row>
    <row r="65" spans="1:16" ht="14" thickBot="1">
      <c r="A65" s="3"/>
      <c r="B65" s="3"/>
      <c r="C65" s="213"/>
      <c r="D65" s="286"/>
      <c r="E65" s="213"/>
      <c r="F65" s="389"/>
      <c r="G65" s="85">
        <f t="shared" ref="G65:M65" si="31">G94</f>
        <v>2023</v>
      </c>
      <c r="H65" s="213">
        <f t="shared" si="31"/>
        <v>2024</v>
      </c>
      <c r="I65" s="213">
        <f t="shared" si="31"/>
        <v>2025</v>
      </c>
      <c r="J65" s="213">
        <f t="shared" si="31"/>
        <v>2026</v>
      </c>
      <c r="K65" s="213">
        <f t="shared" si="31"/>
        <v>2027</v>
      </c>
      <c r="L65" s="213">
        <f t="shared" si="31"/>
        <v>2028</v>
      </c>
      <c r="M65" s="213">
        <f t="shared" si="31"/>
        <v>2029</v>
      </c>
      <c r="O65" s="42">
        <f t="shared" si="1"/>
        <v>0</v>
      </c>
      <c r="P65" s="24">
        <v>0</v>
      </c>
    </row>
    <row r="66" spans="1:16">
      <c r="C66" s="165" t="s">
        <v>586</v>
      </c>
      <c r="F66" s="392" t="s">
        <v>633</v>
      </c>
      <c r="O66" s="42">
        <f t="shared" si="1"/>
        <v>1</v>
      </c>
      <c r="P66" s="24">
        <v>1</v>
      </c>
    </row>
    <row r="67" spans="1:16" s="73" customFormat="1" ht="11.25" customHeight="1">
      <c r="C67" s="73" t="s">
        <v>742</v>
      </c>
      <c r="D67" s="137"/>
      <c r="F67" s="391">
        <v>1</v>
      </c>
      <c r="G67" s="388"/>
      <c r="H67" s="388"/>
      <c r="I67" s="388"/>
      <c r="J67" s="388"/>
      <c r="K67" s="388"/>
      <c r="L67" s="388"/>
      <c r="M67" s="388"/>
      <c r="O67" s="42">
        <f t="shared" si="1"/>
        <v>1</v>
      </c>
      <c r="P67" s="24">
        <v>1</v>
      </c>
    </row>
    <row r="68" spans="1:16" s="73" customFormat="1" ht="11.25" customHeight="1">
      <c r="C68" s="73" t="s">
        <v>743</v>
      </c>
      <c r="D68" s="137"/>
      <c r="F68" s="301">
        <v>2</v>
      </c>
      <c r="G68" s="388"/>
      <c r="H68" s="388"/>
      <c r="I68" s="388"/>
      <c r="J68" s="388"/>
      <c r="K68" s="388"/>
      <c r="L68" s="388"/>
      <c r="M68" s="388"/>
      <c r="O68" s="42">
        <f t="shared" si="1"/>
        <v>1</v>
      </c>
      <c r="P68" s="24">
        <v>1</v>
      </c>
    </row>
    <row r="69" spans="1:16" s="73" customFormat="1" ht="11.25" customHeight="1">
      <c r="C69" s="219" t="s">
        <v>586</v>
      </c>
      <c r="D69" s="321"/>
      <c r="E69" s="219" t="s">
        <v>744</v>
      </c>
      <c r="F69" s="387">
        <f ca="1">'LBO - Assumptions'!E24</f>
        <v>0</v>
      </c>
      <c r="G69" s="390"/>
      <c r="H69" s="390">
        <f t="shared" ref="H69:M69" ca="1" si="32">OFFSET(H66,$F$69,0)</f>
        <v>0</v>
      </c>
      <c r="I69" s="390">
        <f t="shared" ca="1" si="32"/>
        <v>0</v>
      </c>
      <c r="J69" s="390">
        <f t="shared" ca="1" si="32"/>
        <v>0</v>
      </c>
      <c r="K69" s="390">
        <f t="shared" ca="1" si="32"/>
        <v>0</v>
      </c>
      <c r="L69" s="390">
        <f t="shared" ca="1" si="32"/>
        <v>0</v>
      </c>
      <c r="M69" s="390">
        <f t="shared" ca="1" si="32"/>
        <v>0</v>
      </c>
      <c r="O69" s="42">
        <f t="shared" si="1"/>
        <v>1</v>
      </c>
      <c r="P69" s="24">
        <v>1</v>
      </c>
    </row>
    <row r="70" spans="1:16" s="73" customFormat="1" ht="11.25" customHeight="1">
      <c r="D70" s="137"/>
      <c r="G70" s="326"/>
      <c r="H70" s="326"/>
      <c r="I70" s="326"/>
      <c r="J70" s="326"/>
      <c r="K70" s="326"/>
      <c r="L70" s="326"/>
      <c r="M70" s="326"/>
      <c r="O70" s="42">
        <f t="shared" si="1"/>
        <v>0</v>
      </c>
      <c r="P70" s="24">
        <v>0</v>
      </c>
    </row>
    <row r="71" spans="1:16" s="73" customFormat="1" ht="11.25" customHeight="1">
      <c r="C71" s="73" t="s">
        <v>585</v>
      </c>
      <c r="D71" s="320"/>
      <c r="E71" s="165"/>
      <c r="F71" s="325"/>
      <c r="G71" s="136"/>
      <c r="H71" s="136">
        <f>'DCF - Financials'!L11</f>
        <v>17775.445</v>
      </c>
      <c r="I71" s="136">
        <f>'DCF - Financials'!M11</f>
        <v>18733.801249</v>
      </c>
      <c r="J71" s="136">
        <f>'DCF - Financials'!N11</f>
        <v>19823.250025914</v>
      </c>
      <c r="K71" s="136">
        <f>'DCF - Financials'!O11</f>
        <v>21001.604953276186</v>
      </c>
      <c r="L71" s="136">
        <f>'DCF - Financials'!P11</f>
        <v>22353.858094888696</v>
      </c>
      <c r="M71" s="136">
        <f>'DCF - Financials'!Q11</f>
        <v>23796.719745400867</v>
      </c>
      <c r="O71" s="42">
        <f t="shared" si="1"/>
        <v>1</v>
      </c>
      <c r="P71" s="24">
        <v>1</v>
      </c>
    </row>
    <row r="72" spans="1:16" s="73" customFormat="1" ht="11.25" customHeight="1">
      <c r="C72" s="73" t="s">
        <v>745</v>
      </c>
      <c r="D72" s="320"/>
      <c r="E72" s="408" t="s">
        <v>746</v>
      </c>
      <c r="F72" s="409">
        <f ca="1">SUM(H72:M72)/SUM(H71:M71)</f>
        <v>0</v>
      </c>
      <c r="G72" s="136"/>
      <c r="H72" s="136">
        <f t="shared" ref="H72:M72" ca="1" si="33">H71*H69</f>
        <v>0</v>
      </c>
      <c r="I72" s="136">
        <f t="shared" ca="1" si="33"/>
        <v>0</v>
      </c>
      <c r="J72" s="136">
        <f t="shared" ca="1" si="33"/>
        <v>0</v>
      </c>
      <c r="K72" s="136">
        <f t="shared" ca="1" si="33"/>
        <v>0</v>
      </c>
      <c r="L72" s="136">
        <f t="shared" ca="1" si="33"/>
        <v>0</v>
      </c>
      <c r="M72" s="136">
        <f t="shared" ca="1" si="33"/>
        <v>0</v>
      </c>
      <c r="O72" s="42">
        <f t="shared" ref="O72:O135" si="34">IF(NOT(ISBLANK(C72)), 1, 0)</f>
        <v>1</v>
      </c>
      <c r="P72" s="24">
        <v>1</v>
      </c>
    </row>
    <row r="73" spans="1:16" s="73" customFormat="1" ht="11.25" customHeight="1">
      <c r="C73" s="393" t="s">
        <v>587</v>
      </c>
      <c r="D73" s="394"/>
      <c r="E73" s="393"/>
      <c r="F73" s="395"/>
      <c r="G73" s="147"/>
      <c r="H73" s="147">
        <f t="shared" ref="H73:M73" ca="1" si="35">SUM(H71:H72)</f>
        <v>17775.445</v>
      </c>
      <c r="I73" s="147">
        <f t="shared" ca="1" si="35"/>
        <v>18733.801249</v>
      </c>
      <c r="J73" s="147">
        <f t="shared" ca="1" si="35"/>
        <v>19823.250025914</v>
      </c>
      <c r="K73" s="147">
        <f t="shared" ca="1" si="35"/>
        <v>21001.604953276186</v>
      </c>
      <c r="L73" s="147">
        <f t="shared" ca="1" si="35"/>
        <v>22353.858094888696</v>
      </c>
      <c r="M73" s="147">
        <f t="shared" ca="1" si="35"/>
        <v>23796.719745400867</v>
      </c>
      <c r="O73" s="42">
        <f t="shared" si="34"/>
        <v>1</v>
      </c>
      <c r="P73" s="24">
        <v>1</v>
      </c>
    </row>
    <row r="74" spans="1:16" s="227" customFormat="1" ht="11.25" customHeight="1">
      <c r="C74" s="79" t="s">
        <v>588</v>
      </c>
      <c r="D74" s="290"/>
      <c r="F74" s="289"/>
      <c r="G74" s="289"/>
      <c r="H74" s="328"/>
      <c r="I74" s="328">
        <f ca="1">IFERROR(I73/H73-1,0)</f>
        <v>5.3914613614455265E-2</v>
      </c>
      <c r="J74" s="328">
        <f t="shared" ref="J74:M74" ca="1" si="36">IFERROR(J73/I73-1,0)</f>
        <v>5.8154176103056177E-2</v>
      </c>
      <c r="K74" s="328">
        <f t="shared" ca="1" si="36"/>
        <v>5.9443074461643652E-2</v>
      </c>
      <c r="L74" s="328">
        <f t="shared" ca="1" si="36"/>
        <v>6.4388085797298267E-2</v>
      </c>
      <c r="M74" s="328">
        <f t="shared" ca="1" si="36"/>
        <v>6.4546426142075619E-2</v>
      </c>
      <c r="O74" s="42">
        <f t="shared" si="34"/>
        <v>1</v>
      </c>
      <c r="P74" s="24">
        <v>1</v>
      </c>
    </row>
    <row r="75" spans="1:16" s="73" customFormat="1" ht="11.25" customHeight="1">
      <c r="C75" s="3"/>
      <c r="D75" s="137"/>
      <c r="F75" s="136"/>
      <c r="G75" s="136"/>
      <c r="H75" s="136"/>
      <c r="I75" s="136"/>
      <c r="J75" s="136"/>
      <c r="K75" s="136"/>
      <c r="L75" s="136"/>
      <c r="M75" s="136"/>
      <c r="O75" s="42">
        <f t="shared" si="34"/>
        <v>0</v>
      </c>
      <c r="P75" s="24">
        <v>0</v>
      </c>
    </row>
    <row r="76" spans="1:16" s="73" customFormat="1" ht="11.25" customHeight="1">
      <c r="C76" s="23" t="s">
        <v>747</v>
      </c>
      <c r="D76" s="137"/>
      <c r="F76" s="136"/>
      <c r="G76" s="136"/>
      <c r="H76" s="136"/>
      <c r="I76" s="136"/>
      <c r="J76" s="136"/>
      <c r="K76" s="136"/>
      <c r="L76" s="136"/>
      <c r="M76" s="136"/>
      <c r="O76" s="42">
        <f t="shared" si="34"/>
        <v>1</v>
      </c>
      <c r="P76" s="24">
        <v>1</v>
      </c>
    </row>
    <row r="77" spans="1:16" s="73" customFormat="1" ht="11.25" customHeight="1">
      <c r="C77" s="73" t="s">
        <v>748</v>
      </c>
      <c r="D77" s="137"/>
      <c r="F77" s="391">
        <v>1</v>
      </c>
      <c r="G77" s="388"/>
      <c r="H77" s="388"/>
      <c r="I77" s="388"/>
      <c r="J77" s="388"/>
      <c r="K77" s="388"/>
      <c r="L77" s="388"/>
      <c r="M77" s="388"/>
      <c r="O77" s="42">
        <f t="shared" si="34"/>
        <v>1</v>
      </c>
      <c r="P77" s="24">
        <v>1</v>
      </c>
    </row>
    <row r="78" spans="1:16" s="73" customFormat="1" ht="11.25" customHeight="1">
      <c r="C78" s="73" t="s">
        <v>749</v>
      </c>
      <c r="D78" s="137"/>
      <c r="F78" s="301">
        <v>2</v>
      </c>
      <c r="G78" s="388"/>
      <c r="H78" s="388"/>
      <c r="I78" s="388"/>
      <c r="J78" s="388"/>
      <c r="K78" s="388"/>
      <c r="L78" s="388"/>
      <c r="M78" s="388"/>
      <c r="O78" s="42">
        <f t="shared" si="34"/>
        <v>1</v>
      </c>
      <c r="P78" s="24">
        <v>1</v>
      </c>
    </row>
    <row r="79" spans="1:16" s="73" customFormat="1" ht="11.25" customHeight="1">
      <c r="C79" s="219" t="s">
        <v>750</v>
      </c>
      <c r="D79" s="321"/>
      <c r="E79" s="219" t="s">
        <v>744</v>
      </c>
      <c r="F79" s="387">
        <f ca="1">'LBO - Assumptions'!E25</f>
        <v>0</v>
      </c>
      <c r="G79" s="390"/>
      <c r="H79" s="390">
        <f t="shared" ref="H79:M79" ca="1" si="37">OFFSET(H76,$F$79,0)</f>
        <v>0</v>
      </c>
      <c r="I79" s="390">
        <f t="shared" ca="1" si="37"/>
        <v>0</v>
      </c>
      <c r="J79" s="390">
        <f t="shared" ca="1" si="37"/>
        <v>0</v>
      </c>
      <c r="K79" s="390">
        <f t="shared" ca="1" si="37"/>
        <v>0</v>
      </c>
      <c r="L79" s="390">
        <f t="shared" ca="1" si="37"/>
        <v>0</v>
      </c>
      <c r="M79" s="390">
        <f t="shared" ca="1" si="37"/>
        <v>0</v>
      </c>
      <c r="O79" s="42">
        <f t="shared" si="34"/>
        <v>1</v>
      </c>
      <c r="P79" s="24">
        <v>1</v>
      </c>
    </row>
    <row r="80" spans="1:16" s="73" customFormat="1" ht="11.25" customHeight="1">
      <c r="C80" s="3"/>
      <c r="D80" s="137"/>
      <c r="F80" s="136"/>
      <c r="G80" s="136"/>
      <c r="H80" s="136"/>
      <c r="I80" s="136"/>
      <c r="J80" s="136"/>
      <c r="K80" s="136"/>
      <c r="L80" s="136"/>
      <c r="M80" s="136"/>
      <c r="O80" s="42">
        <f t="shared" si="34"/>
        <v>0</v>
      </c>
      <c r="P80" s="24">
        <v>0</v>
      </c>
    </row>
    <row r="81" spans="1:16" s="73" customFormat="1" ht="11.25" customHeight="1">
      <c r="A81" s="3"/>
      <c r="C81" s="3" t="s">
        <v>751</v>
      </c>
      <c r="D81" s="137"/>
      <c r="G81" s="228"/>
      <c r="H81" s="228">
        <f>'DCF - Financials'!L54</f>
        <v>0.38333810088951431</v>
      </c>
      <c r="I81" s="228">
        <f>'DCF - Financials'!M54</f>
        <v>0.34369568986383181</v>
      </c>
      <c r="J81" s="228">
        <f>'DCF - Financials'!N54</f>
        <v>0.34927290431652824</v>
      </c>
      <c r="K81" s="228">
        <f>'DCF - Financials'!O54</f>
        <v>0.34987561179624821</v>
      </c>
      <c r="L81" s="228">
        <f>'DCF - Financials'!P54</f>
        <v>0.3546944135824569</v>
      </c>
      <c r="M81" s="228">
        <f>'DCF - Financials'!Q54</f>
        <v>0.34883036185590899</v>
      </c>
      <c r="O81" s="42">
        <f t="shared" si="34"/>
        <v>1</v>
      </c>
      <c r="P81" s="24">
        <v>1</v>
      </c>
    </row>
    <row r="82" spans="1:16" s="73" customFormat="1" ht="11.25" customHeight="1">
      <c r="C82" s="3" t="s">
        <v>752</v>
      </c>
      <c r="D82" s="137"/>
      <c r="E82" s="275" t="s">
        <v>746</v>
      </c>
      <c r="F82" s="409">
        <f ca="1">AVERAGE(H82:M82)</f>
        <v>0</v>
      </c>
      <c r="G82" s="126"/>
      <c r="H82" s="126">
        <f t="shared" ref="H82:M82" ca="1" si="38">H79</f>
        <v>0</v>
      </c>
      <c r="I82" s="126">
        <f t="shared" ca="1" si="38"/>
        <v>0</v>
      </c>
      <c r="J82" s="126">
        <f t="shared" ca="1" si="38"/>
        <v>0</v>
      </c>
      <c r="K82" s="126">
        <f t="shared" ca="1" si="38"/>
        <v>0</v>
      </c>
      <c r="L82" s="126">
        <f t="shared" ca="1" si="38"/>
        <v>0</v>
      </c>
      <c r="M82" s="126">
        <f t="shared" ca="1" si="38"/>
        <v>0</v>
      </c>
      <c r="O82" s="42">
        <f t="shared" si="34"/>
        <v>1</v>
      </c>
      <c r="P82" s="24">
        <v>1</v>
      </c>
    </row>
    <row r="83" spans="1:16" s="73" customFormat="1" ht="11.25" customHeight="1">
      <c r="C83" s="393" t="s">
        <v>753</v>
      </c>
      <c r="D83" s="394"/>
      <c r="E83" s="393"/>
      <c r="F83" s="147"/>
      <c r="G83" s="396"/>
      <c r="H83" s="396">
        <f t="shared" ref="H83:M83" ca="1" si="39">SUM(H81:H82)</f>
        <v>0.38333810088951431</v>
      </c>
      <c r="I83" s="396">
        <f t="shared" ca="1" si="39"/>
        <v>0.34369568986383181</v>
      </c>
      <c r="J83" s="396">
        <f t="shared" ca="1" si="39"/>
        <v>0.34927290431652824</v>
      </c>
      <c r="K83" s="396">
        <f t="shared" ca="1" si="39"/>
        <v>0.34987561179624821</v>
      </c>
      <c r="L83" s="396">
        <f t="shared" ca="1" si="39"/>
        <v>0.3546944135824569</v>
      </c>
      <c r="M83" s="396">
        <f t="shared" ca="1" si="39"/>
        <v>0.34883036185590899</v>
      </c>
      <c r="O83" s="42">
        <f t="shared" si="34"/>
        <v>1</v>
      </c>
      <c r="P83" s="24">
        <v>1</v>
      </c>
    </row>
    <row r="84" spans="1:16" s="73" customFormat="1" ht="11.25" customHeight="1">
      <c r="C84" s="3"/>
      <c r="D84" s="137"/>
      <c r="F84" s="327"/>
      <c r="G84" s="326"/>
      <c r="H84" s="326"/>
      <c r="I84" s="326"/>
      <c r="J84" s="326"/>
      <c r="K84" s="326"/>
      <c r="L84" s="326"/>
      <c r="M84" s="326"/>
      <c r="O84" s="42">
        <f t="shared" si="34"/>
        <v>0</v>
      </c>
      <c r="P84" s="24">
        <v>0</v>
      </c>
    </row>
    <row r="85" spans="1:16" s="73" customFormat="1" ht="11.25" customHeight="1">
      <c r="A85" s="3"/>
      <c r="C85" s="3" t="s">
        <v>589</v>
      </c>
      <c r="D85" s="137"/>
      <c r="F85" s="327"/>
      <c r="G85" s="136"/>
      <c r="H85" s="136">
        <f>'DCF - Financials'!L53</f>
        <v>6814.0053287660121</v>
      </c>
      <c r="I85" s="136">
        <f>'DCF - Financials'!M53</f>
        <v>6438.7267440469686</v>
      </c>
      <c r="J85" s="136">
        <f>'DCF - Financials'!N53</f>
        <v>6923.7241095436766</v>
      </c>
      <c r="K85" s="136">
        <f>'DCF - Financials'!O53</f>
        <v>7347.949381730622</v>
      </c>
      <c r="L85" s="136">
        <f>'DCF - Financials'!P53</f>
        <v>7928.7885882720029</v>
      </c>
      <c r="M85" s="136">
        <f>'DCF - Financials'!Q53</f>
        <v>8301.0183597718387</v>
      </c>
      <c r="O85" s="42">
        <f t="shared" si="34"/>
        <v>1</v>
      </c>
      <c r="P85" s="24">
        <v>1</v>
      </c>
    </row>
    <row r="86" spans="1:16" s="73" customFormat="1" ht="11.25" customHeight="1">
      <c r="C86" s="3" t="s">
        <v>754</v>
      </c>
      <c r="D86" s="137"/>
      <c r="F86" s="327"/>
      <c r="G86" s="136"/>
      <c r="H86" s="136">
        <f t="shared" ref="H86:M86" ca="1" si="40">H72*H81</f>
        <v>0</v>
      </c>
      <c r="I86" s="136">
        <f t="shared" ca="1" si="40"/>
        <v>0</v>
      </c>
      <c r="J86" s="136">
        <f t="shared" ca="1" si="40"/>
        <v>0</v>
      </c>
      <c r="K86" s="136">
        <f t="shared" ca="1" si="40"/>
        <v>0</v>
      </c>
      <c r="L86" s="136">
        <f t="shared" ca="1" si="40"/>
        <v>0</v>
      </c>
      <c r="M86" s="136">
        <f t="shared" ca="1" si="40"/>
        <v>0</v>
      </c>
      <c r="O86" s="42">
        <f t="shared" si="34"/>
        <v>1</v>
      </c>
      <c r="P86" s="24">
        <v>1</v>
      </c>
    </row>
    <row r="87" spans="1:16" s="73" customFormat="1" ht="11.25" customHeight="1">
      <c r="C87" s="3" t="s">
        <v>755</v>
      </c>
      <c r="D87" s="137"/>
      <c r="E87" s="137"/>
      <c r="F87" s="137"/>
      <c r="G87" s="136"/>
      <c r="H87" s="136">
        <f t="shared" ref="H87:M87" ca="1" si="41">H88-H85-H86</f>
        <v>9.0949470177292824E-13</v>
      </c>
      <c r="I87" s="136">
        <f t="shared" ca="1" si="41"/>
        <v>0</v>
      </c>
      <c r="J87" s="136">
        <f t="shared" ca="1" si="41"/>
        <v>0</v>
      </c>
      <c r="K87" s="136">
        <f t="shared" ca="1" si="41"/>
        <v>0</v>
      </c>
      <c r="L87" s="136">
        <f t="shared" ca="1" si="41"/>
        <v>0</v>
      </c>
      <c r="M87" s="136">
        <f t="shared" ca="1" si="41"/>
        <v>0</v>
      </c>
      <c r="O87" s="42">
        <f t="shared" si="34"/>
        <v>1</v>
      </c>
      <c r="P87" s="24">
        <v>1</v>
      </c>
    </row>
    <row r="88" spans="1:16" s="165" customFormat="1" ht="11.25" customHeight="1">
      <c r="C88" s="393" t="s">
        <v>591</v>
      </c>
      <c r="D88" s="394"/>
      <c r="E88" s="393"/>
      <c r="F88" s="393"/>
      <c r="G88" s="147"/>
      <c r="H88" s="147">
        <f t="shared" ref="H88:M88" ca="1" si="42">H73*H83</f>
        <v>6814.005328766013</v>
      </c>
      <c r="I88" s="147">
        <f t="shared" ca="1" si="42"/>
        <v>6438.7267440469686</v>
      </c>
      <c r="J88" s="147">
        <f t="shared" ca="1" si="42"/>
        <v>6923.7241095436766</v>
      </c>
      <c r="K88" s="147">
        <f t="shared" ca="1" si="42"/>
        <v>7347.949381730622</v>
      </c>
      <c r="L88" s="147">
        <f t="shared" ca="1" si="42"/>
        <v>7928.7885882720029</v>
      </c>
      <c r="M88" s="147">
        <f t="shared" ca="1" si="42"/>
        <v>8301.0183597718387</v>
      </c>
      <c r="O88" s="42">
        <f t="shared" si="34"/>
        <v>1</v>
      </c>
      <c r="P88" s="24">
        <v>1</v>
      </c>
    </row>
    <row r="89" spans="1:16" s="165" customFormat="1" ht="11.25" customHeight="1">
      <c r="C89" s="73" t="s">
        <v>756</v>
      </c>
      <c r="D89" s="320"/>
      <c r="F89" s="325"/>
      <c r="G89" s="136"/>
      <c r="H89" s="136">
        <f t="shared" ref="H89:M89" ca="1" si="43">SUM(H86:H87)</f>
        <v>9.0949470177292824E-13</v>
      </c>
      <c r="I89" s="136">
        <f t="shared" ca="1" si="43"/>
        <v>0</v>
      </c>
      <c r="J89" s="136">
        <f t="shared" ca="1" si="43"/>
        <v>0</v>
      </c>
      <c r="K89" s="136">
        <f t="shared" ca="1" si="43"/>
        <v>0</v>
      </c>
      <c r="L89" s="136">
        <f t="shared" ca="1" si="43"/>
        <v>0</v>
      </c>
      <c r="M89" s="136">
        <f t="shared" ca="1" si="43"/>
        <v>0</v>
      </c>
      <c r="O89" s="42">
        <f t="shared" si="34"/>
        <v>1</v>
      </c>
      <c r="P89" s="24">
        <v>1</v>
      </c>
    </row>
    <row r="90" spans="1:16" s="165" customFormat="1" ht="11.25" customHeight="1">
      <c r="D90" s="320"/>
      <c r="F90" s="325"/>
      <c r="G90" s="163"/>
      <c r="H90" s="163"/>
      <c r="I90" s="163"/>
      <c r="J90" s="163"/>
      <c r="K90" s="163"/>
      <c r="L90" s="163"/>
      <c r="M90" s="163"/>
      <c r="O90" s="42">
        <f t="shared" si="34"/>
        <v>0</v>
      </c>
      <c r="P90" s="24">
        <v>0</v>
      </c>
    </row>
    <row r="91" spans="1:16" ht="11.25" customHeight="1">
      <c r="E91" s="315"/>
      <c r="F91" s="314"/>
      <c r="G91" s="313"/>
      <c r="H91" s="313"/>
      <c r="I91" s="313"/>
      <c r="J91" s="313"/>
      <c r="K91" s="313"/>
      <c r="L91" s="313"/>
      <c r="M91" s="313"/>
      <c r="O91" s="42">
        <f t="shared" si="34"/>
        <v>0</v>
      </c>
      <c r="P91" s="24">
        <v>0</v>
      </c>
    </row>
    <row r="92" spans="1:16" s="73" customFormat="1" ht="12.75" customHeight="1">
      <c r="C92" s="926" t="s">
        <v>757</v>
      </c>
      <c r="D92" s="927"/>
      <c r="E92" s="927"/>
      <c r="F92" s="927"/>
      <c r="G92" s="927"/>
      <c r="H92" s="927"/>
      <c r="I92" s="927"/>
      <c r="J92" s="927"/>
      <c r="K92" s="927"/>
      <c r="L92" s="927"/>
      <c r="M92" s="927"/>
      <c r="O92" s="42">
        <f t="shared" si="34"/>
        <v>1</v>
      </c>
      <c r="P92" s="24">
        <v>1</v>
      </c>
    </row>
    <row r="93" spans="1:16" ht="13.5" customHeight="1">
      <c r="A93" s="117"/>
      <c r="B93" s="117"/>
      <c r="C93" s="117"/>
      <c r="D93" s="300"/>
      <c r="E93" s="117"/>
      <c r="F93" s="19"/>
      <c r="G93" s="38"/>
      <c r="H93" s="214" t="s">
        <v>565</v>
      </c>
      <c r="I93" s="214"/>
      <c r="J93" s="214"/>
      <c r="K93" s="214"/>
      <c r="L93" s="214"/>
      <c r="M93" s="214"/>
      <c r="O93" s="42">
        <f t="shared" si="34"/>
        <v>0</v>
      </c>
      <c r="P93" s="24">
        <v>0</v>
      </c>
    </row>
    <row r="94" spans="1:16" ht="14" thickBot="1">
      <c r="A94" s="3"/>
      <c r="B94" s="3"/>
      <c r="C94" s="213"/>
      <c r="D94" s="286"/>
      <c r="E94" s="213"/>
      <c r="F94" s="213"/>
      <c r="G94" s="85">
        <f>'LBO - Outputs'!J49</f>
        <v>2023</v>
      </c>
      <c r="H94" s="213">
        <f>'LBO - Outputs'!K49</f>
        <v>2024</v>
      </c>
      <c r="I94" s="213">
        <f>'LBO - Outputs'!L49</f>
        <v>2025</v>
      </c>
      <c r="J94" s="213">
        <f>'LBO - Outputs'!M49</f>
        <v>2026</v>
      </c>
      <c r="K94" s="213">
        <f>'LBO - Outputs'!N49</f>
        <v>2027</v>
      </c>
      <c r="L94" s="213">
        <f>'LBO - Outputs'!O49</f>
        <v>2028</v>
      </c>
      <c r="M94" s="213">
        <f>'LBO - Outputs'!P49</f>
        <v>2029</v>
      </c>
      <c r="O94" s="42">
        <f t="shared" si="34"/>
        <v>0</v>
      </c>
      <c r="P94" s="24">
        <v>0</v>
      </c>
    </row>
    <row r="95" spans="1:16" ht="11.25" customHeight="1">
      <c r="C95" s="165" t="str">
        <f>'LBO - Assumptions'!C50</f>
        <v>Junior Debt</v>
      </c>
      <c r="D95" s="137"/>
      <c r="E95" s="73"/>
      <c r="F95" s="73"/>
      <c r="G95" s="299"/>
      <c r="H95" s="299"/>
      <c r="I95" s="299"/>
      <c r="J95" s="299"/>
      <c r="K95" s="299"/>
      <c r="L95" s="299"/>
      <c r="M95" s="299"/>
      <c r="N95" s="97"/>
      <c r="O95" s="42">
        <f t="shared" si="34"/>
        <v>1</v>
      </c>
      <c r="P95" s="24">
        <v>1</v>
      </c>
    </row>
    <row r="96" spans="1:16" ht="11.25" customHeight="1">
      <c r="C96" s="209" t="s">
        <v>758</v>
      </c>
      <c r="D96" s="296"/>
      <c r="E96" s="298" t="str">
        <f>'LBO - Assumptions'!C50</f>
        <v>Junior Debt</v>
      </c>
      <c r="F96" s="297"/>
      <c r="G96" s="297"/>
      <c r="H96" s="297">
        <f ca="1">G98</f>
        <v>0</v>
      </c>
      <c r="I96" s="297">
        <f ca="1">H98</f>
        <v>0</v>
      </c>
      <c r="J96" s="297">
        <f ca="1">I98</f>
        <v>0</v>
      </c>
      <c r="K96" s="297">
        <f ca="1">J98</f>
        <v>0</v>
      </c>
      <c r="L96" s="297">
        <f t="shared" ref="L96:M96" ca="1" si="44">K98</f>
        <v>0</v>
      </c>
      <c r="M96" s="297">
        <f t="shared" ca="1" si="44"/>
        <v>0</v>
      </c>
      <c r="N96" s="97"/>
      <c r="O96" s="42">
        <f t="shared" si="34"/>
        <v>1</v>
      </c>
      <c r="P96" s="24">
        <v>1</v>
      </c>
    </row>
    <row r="97" spans="3:16" ht="11.25" customHeight="1">
      <c r="C97" s="96" t="s">
        <v>759</v>
      </c>
      <c r="D97" s="296"/>
      <c r="E97" s="96"/>
      <c r="F97" s="96"/>
      <c r="G97" s="97"/>
      <c r="H97" s="97">
        <f t="shared" ref="H97:M97" ca="1" si="45">VLOOKUP($E96,$C$145:$M$158,H$167,FALSE)</f>
        <v>0</v>
      </c>
      <c r="I97" s="97">
        <f t="shared" ca="1" si="45"/>
        <v>0</v>
      </c>
      <c r="J97" s="97">
        <f t="shared" ca="1" si="45"/>
        <v>0</v>
      </c>
      <c r="K97" s="97">
        <f t="shared" ca="1" si="45"/>
        <v>0</v>
      </c>
      <c r="L97" s="97">
        <f t="shared" ca="1" si="45"/>
        <v>0</v>
      </c>
      <c r="M97" s="97">
        <f t="shared" ca="1" si="45"/>
        <v>0</v>
      </c>
      <c r="N97" s="97"/>
      <c r="O97" s="42">
        <f t="shared" si="34"/>
        <v>1</v>
      </c>
      <c r="P97" s="24">
        <v>1</v>
      </c>
    </row>
    <row r="98" spans="3:16" ht="11.25" customHeight="1">
      <c r="C98" s="73" t="s">
        <v>204</v>
      </c>
      <c r="D98" s="137"/>
      <c r="E98" s="73"/>
      <c r="F98" s="136"/>
      <c r="G98" s="102">
        <f ca="1">'LBO - Assumptions'!F50</f>
        <v>0</v>
      </c>
      <c r="H98" s="102">
        <f ca="1">H96+H97</f>
        <v>0</v>
      </c>
      <c r="I98" s="102">
        <f ca="1">I96+I97</f>
        <v>0</v>
      </c>
      <c r="J98" s="102">
        <f ca="1">J96+J97</f>
        <v>0</v>
      </c>
      <c r="K98" s="102">
        <f ca="1">K96+K97</f>
        <v>0</v>
      </c>
      <c r="L98" s="102">
        <f t="shared" ref="L98:M98" ca="1" si="46">L96+L97</f>
        <v>0</v>
      </c>
      <c r="M98" s="102">
        <f t="shared" ca="1" si="46"/>
        <v>0</v>
      </c>
      <c r="N98" s="97"/>
      <c r="O98" s="42">
        <f t="shared" si="34"/>
        <v>1</v>
      </c>
      <c r="P98" s="24">
        <v>1</v>
      </c>
    </row>
    <row r="99" spans="3:16" ht="11.25" customHeight="1">
      <c r="C99" s="73"/>
      <c r="D99" s="137"/>
      <c r="E99" s="73"/>
      <c r="F99" s="136"/>
      <c r="G99" s="97"/>
      <c r="H99" s="97"/>
      <c r="I99" s="97"/>
      <c r="J99" s="97"/>
      <c r="K99" s="97"/>
      <c r="L99" s="97"/>
      <c r="M99" s="97"/>
      <c r="N99" s="97"/>
      <c r="O99" s="42">
        <f t="shared" si="34"/>
        <v>0</v>
      </c>
      <c r="P99" s="24">
        <v>0</v>
      </c>
    </row>
    <row r="100" spans="3:16" ht="11.25" customHeight="1">
      <c r="C100" s="165" t="str">
        <f>'LBO - Assumptions'!C49</f>
        <v>Senior Debt</v>
      </c>
      <c r="D100" s="137"/>
      <c r="E100" s="73"/>
      <c r="F100" s="73"/>
      <c r="G100" s="299"/>
      <c r="H100" s="299"/>
      <c r="I100" s="299"/>
      <c r="J100" s="299"/>
      <c r="K100" s="299"/>
      <c r="L100" s="299"/>
      <c r="M100" s="299"/>
      <c r="N100" s="97"/>
      <c r="O100" s="42">
        <f t="shared" si="34"/>
        <v>1</v>
      </c>
      <c r="P100" s="24">
        <v>1</v>
      </c>
    </row>
    <row r="101" spans="3:16" ht="11.25" customHeight="1">
      <c r="C101" s="209" t="s">
        <v>758</v>
      </c>
      <c r="D101" s="296"/>
      <c r="E101" s="298" t="str">
        <f>'LBO - Assumptions'!C49</f>
        <v>Senior Debt</v>
      </c>
      <c r="F101" s="297"/>
      <c r="G101" s="297"/>
      <c r="H101" s="297">
        <f ca="1">G103</f>
        <v>0</v>
      </c>
      <c r="I101" s="297">
        <f ca="1">H103</f>
        <v>0</v>
      </c>
      <c r="J101" s="297">
        <f ca="1">I103</f>
        <v>0</v>
      </c>
      <c r="K101" s="297">
        <f ca="1">J103</f>
        <v>0</v>
      </c>
      <c r="L101" s="297">
        <f t="shared" ref="L101:M101" ca="1" si="47">K103</f>
        <v>0</v>
      </c>
      <c r="M101" s="297">
        <f t="shared" ca="1" si="47"/>
        <v>0</v>
      </c>
      <c r="N101" s="97"/>
      <c r="O101" s="42">
        <f t="shared" si="34"/>
        <v>1</v>
      </c>
      <c r="P101" s="24">
        <v>1</v>
      </c>
    </row>
    <row r="102" spans="3:16" ht="11.25" customHeight="1">
      <c r="C102" s="96" t="s">
        <v>759</v>
      </c>
      <c r="D102" s="296"/>
      <c r="E102" s="96"/>
      <c r="F102" s="96"/>
      <c r="G102" s="97"/>
      <c r="H102" s="97">
        <f ca="1">VLOOKUP($E101,$C$144:$M$158,H$167,FALSE)</f>
        <v>0</v>
      </c>
      <c r="I102" s="97">
        <f t="shared" ref="I102:M102" ca="1" si="48">VLOOKUP($E101,$C$144:$M$158,I$167,FALSE)</f>
        <v>0</v>
      </c>
      <c r="J102" s="97">
        <f t="shared" ca="1" si="48"/>
        <v>0</v>
      </c>
      <c r="K102" s="97">
        <f t="shared" ca="1" si="48"/>
        <v>0</v>
      </c>
      <c r="L102" s="97">
        <f t="shared" ca="1" si="48"/>
        <v>0</v>
      </c>
      <c r="M102" s="97">
        <f t="shared" ca="1" si="48"/>
        <v>0</v>
      </c>
      <c r="N102" s="97"/>
      <c r="O102" s="42">
        <f t="shared" si="34"/>
        <v>1</v>
      </c>
      <c r="P102" s="24">
        <v>1</v>
      </c>
    </row>
    <row r="103" spans="3:16" ht="11.25" customHeight="1">
      <c r="C103" s="73" t="s">
        <v>204</v>
      </c>
      <c r="D103" s="137"/>
      <c r="E103" s="73"/>
      <c r="F103" s="136"/>
      <c r="G103" s="102">
        <f ca="1">'LBO - Assumptions'!F49</f>
        <v>0</v>
      </c>
      <c r="H103" s="102">
        <f ca="1">H101+H102</f>
        <v>0</v>
      </c>
      <c r="I103" s="102">
        <f ca="1">I101+I102</f>
        <v>0</v>
      </c>
      <c r="J103" s="102">
        <f ca="1">J101+J102</f>
        <v>0</v>
      </c>
      <c r="K103" s="102">
        <f ca="1">K101+K102</f>
        <v>0</v>
      </c>
      <c r="L103" s="102">
        <f t="shared" ref="L103:M103" ca="1" si="49">L101+L102</f>
        <v>0</v>
      </c>
      <c r="M103" s="102">
        <f t="shared" ca="1" si="49"/>
        <v>0</v>
      </c>
      <c r="N103" s="97"/>
      <c r="O103" s="42">
        <f t="shared" si="34"/>
        <v>1</v>
      </c>
      <c r="P103" s="24">
        <v>1</v>
      </c>
    </row>
    <row r="104" spans="3:16" ht="11.25" customHeight="1">
      <c r="C104" s="73"/>
      <c r="D104" s="137"/>
      <c r="E104" s="73"/>
      <c r="F104" s="136"/>
      <c r="G104" s="97"/>
      <c r="H104" s="97"/>
      <c r="I104" s="97"/>
      <c r="J104" s="97"/>
      <c r="K104" s="97"/>
      <c r="L104" s="97"/>
      <c r="M104" s="97"/>
      <c r="N104" s="97"/>
      <c r="O104" s="42">
        <f t="shared" si="34"/>
        <v>0</v>
      </c>
      <c r="P104" s="24">
        <v>0</v>
      </c>
    </row>
    <row r="105" spans="3:16" ht="11.25" customHeight="1">
      <c r="C105" s="165" t="s">
        <v>557</v>
      </c>
      <c r="D105" s="137"/>
      <c r="E105" s="73"/>
      <c r="F105" s="73"/>
      <c r="G105" s="299"/>
      <c r="H105" s="299"/>
      <c r="I105" s="299"/>
      <c r="J105" s="299"/>
      <c r="K105" s="299"/>
      <c r="L105" s="299"/>
      <c r="M105" s="299"/>
      <c r="N105" s="3"/>
      <c r="O105" s="42">
        <f t="shared" si="34"/>
        <v>1</v>
      </c>
      <c r="P105" s="24">
        <v>1</v>
      </c>
    </row>
    <row r="106" spans="3:16" ht="11.25" customHeight="1">
      <c r="C106" s="209" t="s">
        <v>758</v>
      </c>
      <c r="D106" s="296"/>
      <c r="E106" s="298" t="str">
        <f>'LBO - Assumptions'!C51</f>
        <v>Revolver</v>
      </c>
      <c r="F106" s="297"/>
      <c r="G106" s="297"/>
      <c r="H106" s="297">
        <f ca="1">G108</f>
        <v>0</v>
      </c>
      <c r="I106" s="297">
        <f ca="1">H108</f>
        <v>0</v>
      </c>
      <c r="J106" s="297">
        <f ca="1">I108</f>
        <v>0</v>
      </c>
      <c r="K106" s="297">
        <f ca="1">J108</f>
        <v>0</v>
      </c>
      <c r="L106" s="297">
        <f t="shared" ref="L106:M106" ca="1" si="50">K108</f>
        <v>0</v>
      </c>
      <c r="M106" s="297">
        <f t="shared" ca="1" si="50"/>
        <v>0</v>
      </c>
      <c r="N106" s="97"/>
      <c r="O106" s="42">
        <f t="shared" si="34"/>
        <v>1</v>
      </c>
      <c r="P106" s="24">
        <v>1</v>
      </c>
    </row>
    <row r="107" spans="3:16" ht="11.25" customHeight="1">
      <c r="C107" s="96" t="s">
        <v>759</v>
      </c>
      <c r="D107" s="296"/>
      <c r="E107" s="96"/>
      <c r="F107" s="96"/>
      <c r="G107" s="97"/>
      <c r="H107" s="97">
        <f ca="1">VLOOKUP($E106,$C$144:$M$158,H$167,FALSE)</f>
        <v>0</v>
      </c>
      <c r="I107" s="97">
        <f t="shared" ref="I107:M107" ca="1" si="51">VLOOKUP($E106,$C$144:$M$158,I$167,FALSE)</f>
        <v>0</v>
      </c>
      <c r="J107" s="97">
        <f t="shared" ca="1" si="51"/>
        <v>0</v>
      </c>
      <c r="K107" s="97">
        <f t="shared" ca="1" si="51"/>
        <v>0</v>
      </c>
      <c r="L107" s="97">
        <f t="shared" ca="1" si="51"/>
        <v>0</v>
      </c>
      <c r="M107" s="97">
        <f t="shared" ca="1" si="51"/>
        <v>0</v>
      </c>
      <c r="N107" s="136"/>
      <c r="O107" s="42">
        <f t="shared" si="34"/>
        <v>1</v>
      </c>
      <c r="P107" s="24">
        <v>1</v>
      </c>
    </row>
    <row r="108" spans="3:16" ht="11.25" customHeight="1">
      <c r="C108" s="73" t="s">
        <v>204</v>
      </c>
      <c r="D108" s="137"/>
      <c r="E108" s="73"/>
      <c r="F108" s="136"/>
      <c r="G108" s="102">
        <f ca="1">'LBO - Assumptions'!F51</f>
        <v>0</v>
      </c>
      <c r="H108" s="102">
        <f ca="1">H106+H107</f>
        <v>0</v>
      </c>
      <c r="I108" s="102">
        <f ca="1">I106+I107</f>
        <v>0</v>
      </c>
      <c r="J108" s="102">
        <f ca="1">J106+J107</f>
        <v>0</v>
      </c>
      <c r="K108" s="102">
        <f ca="1">K106+K107</f>
        <v>0</v>
      </c>
      <c r="L108" s="102">
        <f t="shared" ref="L108:M108" ca="1" si="52">L106+L107</f>
        <v>0</v>
      </c>
      <c r="M108" s="102">
        <f t="shared" ca="1" si="52"/>
        <v>0</v>
      </c>
      <c r="N108" s="136"/>
      <c r="O108" s="42">
        <f t="shared" si="34"/>
        <v>1</v>
      </c>
      <c r="P108" s="24">
        <v>1</v>
      </c>
    </row>
    <row r="109" spans="3:16" ht="11.25" customHeight="1">
      <c r="C109" s="73"/>
      <c r="D109" s="137"/>
      <c r="E109" s="73"/>
      <c r="F109" s="136"/>
      <c r="G109" s="97"/>
      <c r="H109" s="97"/>
      <c r="I109" s="97"/>
      <c r="J109" s="97"/>
      <c r="K109" s="97"/>
      <c r="L109" s="97"/>
      <c r="M109" s="97"/>
      <c r="N109" s="136"/>
      <c r="O109" s="42">
        <f t="shared" si="34"/>
        <v>0</v>
      </c>
      <c r="P109" s="24">
        <v>0</v>
      </c>
    </row>
    <row r="110" spans="3:16" ht="11.25" customHeight="1">
      <c r="C110" s="165" t="str">
        <f>'LBO - Assumptions'!C52</f>
        <v>Assumed Debt</v>
      </c>
      <c r="D110" s="137"/>
      <c r="E110" s="73"/>
      <c r="F110" s="136"/>
      <c r="G110" s="97"/>
      <c r="H110" s="97"/>
      <c r="I110" s="97"/>
      <c r="J110" s="97"/>
      <c r="K110" s="97"/>
      <c r="L110" s="97"/>
      <c r="M110" s="97"/>
      <c r="N110" s="136"/>
      <c r="O110" s="42">
        <f t="shared" si="34"/>
        <v>1</v>
      </c>
      <c r="P110" s="24">
        <v>1</v>
      </c>
    </row>
    <row r="111" spans="3:16" s="2" customFormat="1" ht="11.25" customHeight="1">
      <c r="C111" s="73" t="s">
        <v>758</v>
      </c>
      <c r="D111" s="81"/>
      <c r="E111" s="165" t="str">
        <f>'LBO - Assumptions'!C52</f>
        <v>Assumed Debt</v>
      </c>
      <c r="F111" s="97"/>
      <c r="G111" s="97"/>
      <c r="H111" s="97">
        <f ca="1">G113</f>
        <v>0</v>
      </c>
      <c r="I111" s="97">
        <f ca="1">H113</f>
        <v>0</v>
      </c>
      <c r="J111" s="97">
        <f ca="1">I113</f>
        <v>0</v>
      </c>
      <c r="K111" s="97">
        <f ca="1">J113</f>
        <v>0</v>
      </c>
      <c r="L111" s="97">
        <f t="shared" ref="L111:M111" ca="1" si="53">K113</f>
        <v>0</v>
      </c>
      <c r="M111" s="97">
        <f t="shared" ca="1" si="53"/>
        <v>0</v>
      </c>
      <c r="N111" s="97"/>
      <c r="O111" s="42">
        <f t="shared" si="34"/>
        <v>1</v>
      </c>
      <c r="P111" s="24">
        <v>1</v>
      </c>
    </row>
    <row r="112" spans="3:16" ht="11.25" customHeight="1">
      <c r="C112" s="15" t="s">
        <v>759</v>
      </c>
      <c r="D112" s="150"/>
      <c r="E112" s="15"/>
      <c r="F112" s="15"/>
      <c r="G112" s="295"/>
      <c r="H112" s="295">
        <f ca="1">VLOOKUP($E111,$C$144:$M$158,H$167,FALSE)</f>
        <v>0</v>
      </c>
      <c r="I112" s="295">
        <f t="shared" ref="I112:M112" ca="1" si="54">VLOOKUP($E111,$C$144:$M$158,I$167,FALSE)</f>
        <v>0</v>
      </c>
      <c r="J112" s="295">
        <f t="shared" ca="1" si="54"/>
        <v>0</v>
      </c>
      <c r="K112" s="295">
        <f t="shared" ca="1" si="54"/>
        <v>0</v>
      </c>
      <c r="L112" s="295">
        <f t="shared" ca="1" si="54"/>
        <v>0</v>
      </c>
      <c r="M112" s="295">
        <f t="shared" ca="1" si="54"/>
        <v>0</v>
      </c>
      <c r="N112" s="97"/>
      <c r="O112" s="42">
        <f t="shared" si="34"/>
        <v>1</v>
      </c>
      <c r="P112" s="24">
        <v>1</v>
      </c>
    </row>
    <row r="113" spans="1:16" ht="11.25" customHeight="1">
      <c r="C113" s="73" t="s">
        <v>204</v>
      </c>
      <c r="D113" s="137"/>
      <c r="E113" s="73"/>
      <c r="F113" s="136"/>
      <c r="G113" s="102">
        <f ca="1">'LBO - Assumptions'!F52</f>
        <v>0</v>
      </c>
      <c r="H113" s="102">
        <f ca="1">H111+H112</f>
        <v>0</v>
      </c>
      <c r="I113" s="102">
        <f ca="1">I111+I112</f>
        <v>0</v>
      </c>
      <c r="J113" s="102">
        <f ca="1">J111+J112</f>
        <v>0</v>
      </c>
      <c r="K113" s="102">
        <f ca="1">K111+K112</f>
        <v>0</v>
      </c>
      <c r="L113" s="102">
        <f t="shared" ref="L113:M113" ca="1" si="55">L111+L112</f>
        <v>0</v>
      </c>
      <c r="M113" s="102">
        <f t="shared" ca="1" si="55"/>
        <v>0</v>
      </c>
      <c r="N113" s="97"/>
      <c r="O113" s="42">
        <f t="shared" si="34"/>
        <v>1</v>
      </c>
      <c r="P113" s="24">
        <v>1</v>
      </c>
    </row>
    <row r="114" spans="1:16" ht="11.25" customHeight="1">
      <c r="G114" s="38"/>
      <c r="H114" s="214" t="s">
        <v>565</v>
      </c>
      <c r="I114" s="214"/>
      <c r="J114" s="214"/>
      <c r="K114" s="214"/>
      <c r="L114" s="214"/>
      <c r="M114" s="214"/>
      <c r="O114" s="42">
        <f t="shared" si="34"/>
        <v>0</v>
      </c>
      <c r="P114" s="24">
        <v>0</v>
      </c>
    </row>
    <row r="115" spans="1:16" ht="14" thickBot="1">
      <c r="A115" s="3"/>
      <c r="B115" s="3"/>
      <c r="C115" s="213" t="s">
        <v>760</v>
      </c>
      <c r="D115" s="286"/>
      <c r="E115" s="213"/>
      <c r="F115" s="213"/>
      <c r="G115" s="85">
        <f>G$94</f>
        <v>2023</v>
      </c>
      <c r="H115" s="213">
        <f>H$94</f>
        <v>2024</v>
      </c>
      <c r="I115" s="213">
        <f>I$94</f>
        <v>2025</v>
      </c>
      <c r="J115" s="213">
        <f>J$94</f>
        <v>2026</v>
      </c>
      <c r="K115" s="213">
        <f>K$94</f>
        <v>2027</v>
      </c>
      <c r="L115" s="213">
        <f t="shared" ref="L115:M115" si="56">L$94</f>
        <v>2028</v>
      </c>
      <c r="M115" s="213">
        <f t="shared" si="56"/>
        <v>2029</v>
      </c>
      <c r="O115" s="42">
        <f t="shared" si="34"/>
        <v>1</v>
      </c>
      <c r="P115" s="24">
        <v>1</v>
      </c>
    </row>
    <row r="116" spans="1:16" ht="11.25" customHeight="1">
      <c r="C116" s="73" t="str">
        <f>'LBO - Assumptions'!C49</f>
        <v>Senior Debt</v>
      </c>
      <c r="D116" s="285">
        <f>VLOOKUP(C116,'LBO - Assumptions'!$C$49:$E$52,2,FALSE)</f>
        <v>1</v>
      </c>
      <c r="E116" s="73"/>
      <c r="F116" s="136"/>
      <c r="G116" s="136"/>
      <c r="H116" s="136">
        <f t="shared" ref="H116:M116" ca="1" si="57">H103</f>
        <v>0</v>
      </c>
      <c r="I116" s="136">
        <f t="shared" ca="1" si="57"/>
        <v>0</v>
      </c>
      <c r="J116" s="136">
        <f t="shared" ca="1" si="57"/>
        <v>0</v>
      </c>
      <c r="K116" s="136">
        <f t="shared" ca="1" si="57"/>
        <v>0</v>
      </c>
      <c r="L116" s="136">
        <f t="shared" ca="1" si="57"/>
        <v>0</v>
      </c>
      <c r="M116" s="136">
        <f t="shared" ca="1" si="57"/>
        <v>0</v>
      </c>
      <c r="N116" s="136"/>
      <c r="O116" s="42">
        <f t="shared" si="34"/>
        <v>1</v>
      </c>
      <c r="P116" s="24">
        <v>1</v>
      </c>
    </row>
    <row r="117" spans="1:16" ht="11.25" customHeight="1">
      <c r="C117" s="73" t="str">
        <f>'LBO - Assumptions'!C50</f>
        <v>Junior Debt</v>
      </c>
      <c r="D117" s="285">
        <f>VLOOKUP(C117,'LBO - Assumptions'!$C$49:$E$52,2,FALSE)</f>
        <v>0</v>
      </c>
      <c r="E117" s="73"/>
      <c r="F117" s="136"/>
      <c r="G117" s="136"/>
      <c r="H117" s="136">
        <f t="shared" ref="H117:M117" ca="1" si="58">H98</f>
        <v>0</v>
      </c>
      <c r="I117" s="136">
        <f t="shared" ca="1" si="58"/>
        <v>0</v>
      </c>
      <c r="J117" s="136">
        <f t="shared" ca="1" si="58"/>
        <v>0</v>
      </c>
      <c r="K117" s="136">
        <f t="shared" ca="1" si="58"/>
        <v>0</v>
      </c>
      <c r="L117" s="136">
        <f t="shared" ca="1" si="58"/>
        <v>0</v>
      </c>
      <c r="M117" s="136">
        <f t="shared" ca="1" si="58"/>
        <v>0</v>
      </c>
      <c r="N117" s="136"/>
      <c r="O117" s="42">
        <f t="shared" si="34"/>
        <v>1</v>
      </c>
      <c r="P117" s="24">
        <v>1</v>
      </c>
    </row>
    <row r="118" spans="1:16" ht="11.25" customHeight="1">
      <c r="C118" s="73" t="str">
        <f>'LBO - Assumptions'!C51</f>
        <v>Revolver</v>
      </c>
      <c r="D118" s="285">
        <f>VLOOKUP(C118,'LBO - Assumptions'!$C$49:$E$52,2,FALSE)</f>
        <v>1</v>
      </c>
      <c r="E118" s="73"/>
      <c r="F118" s="136"/>
      <c r="G118" s="136"/>
      <c r="H118" s="136">
        <f ca="1">H108</f>
        <v>0</v>
      </c>
      <c r="I118" s="136">
        <f ca="1">I108</f>
        <v>0</v>
      </c>
      <c r="J118" s="136">
        <f ca="1">J108</f>
        <v>0</v>
      </c>
      <c r="K118" s="136">
        <f ca="1">K108</f>
        <v>0</v>
      </c>
      <c r="L118" s="136">
        <f t="shared" ref="L118:M118" ca="1" si="59">L108</f>
        <v>0</v>
      </c>
      <c r="M118" s="136">
        <f t="shared" ca="1" si="59"/>
        <v>0</v>
      </c>
      <c r="N118" s="136"/>
      <c r="O118" s="42">
        <f t="shared" si="34"/>
        <v>1</v>
      </c>
      <c r="P118" s="24">
        <v>1</v>
      </c>
    </row>
    <row r="119" spans="1:16" ht="11.25" customHeight="1">
      <c r="C119" s="209" t="str">
        <f>'LBO - Assumptions'!C52</f>
        <v>Assumed Debt</v>
      </c>
      <c r="D119" s="294">
        <f>VLOOKUP(C119,'LBO - Assumptions'!$C$49:$E$52,2,FALSE)</f>
        <v>0</v>
      </c>
      <c r="E119" s="209"/>
      <c r="F119" s="293"/>
      <c r="G119" s="293"/>
      <c r="H119" s="293">
        <f ca="1">H113</f>
        <v>0</v>
      </c>
      <c r="I119" s="293">
        <f ca="1">I113</f>
        <v>0</v>
      </c>
      <c r="J119" s="293">
        <f ca="1">J113</f>
        <v>0</v>
      </c>
      <c r="K119" s="293">
        <f ca="1">K113</f>
        <v>0</v>
      </c>
      <c r="L119" s="293">
        <f t="shared" ref="L119:M119" ca="1" si="60">L113</f>
        <v>0</v>
      </c>
      <c r="M119" s="293">
        <f t="shared" ca="1" si="60"/>
        <v>0</v>
      </c>
      <c r="N119" s="136"/>
      <c r="O119" s="42">
        <f t="shared" si="34"/>
        <v>1</v>
      </c>
      <c r="P119" s="24">
        <v>1</v>
      </c>
    </row>
    <row r="120" spans="1:16" ht="11.25" customHeight="1">
      <c r="C120" s="129" t="s">
        <v>554</v>
      </c>
      <c r="D120" s="292"/>
      <c r="E120" s="129"/>
      <c r="F120" s="129"/>
      <c r="G120" s="157"/>
      <c r="H120" s="157">
        <f ca="1">SUMIF($D$116:$D$119,1,H116:H119)</f>
        <v>0</v>
      </c>
      <c r="I120" s="157">
        <f ca="1">SUMIF($D$116:$D$119,1,I116:I119)</f>
        <v>0</v>
      </c>
      <c r="J120" s="157">
        <f ca="1">SUMIF($D$116:$D$119,1,J116:J119)</f>
        <v>0</v>
      </c>
      <c r="K120" s="157">
        <f ca="1">SUMIF($D$116:$D$119,1,K116:K119)</f>
        <v>0</v>
      </c>
      <c r="L120" s="157">
        <f t="shared" ref="L120:M120" ca="1" si="61">SUMIF($D$116:$D$119,1,L116:L119)</f>
        <v>0</v>
      </c>
      <c r="M120" s="157">
        <f t="shared" ca="1" si="61"/>
        <v>0</v>
      </c>
      <c r="N120" s="136"/>
      <c r="O120" s="42">
        <f t="shared" si="34"/>
        <v>1</v>
      </c>
      <c r="P120" s="24">
        <v>1</v>
      </c>
    </row>
    <row r="121" spans="1:16" ht="11.25" customHeight="1">
      <c r="C121" s="73" t="s">
        <v>761</v>
      </c>
      <c r="D121" s="285"/>
      <c r="E121" s="73"/>
      <c r="F121" s="73"/>
      <c r="G121" s="136"/>
      <c r="H121" s="136">
        <f ca="1">SUMIF($D$116:$D$119,0,H116:H119)</f>
        <v>0</v>
      </c>
      <c r="I121" s="136">
        <f ca="1">SUMIF($D$116:$D$119,0,I116:I119)</f>
        <v>0</v>
      </c>
      <c r="J121" s="136">
        <f ca="1">SUMIF($D$116:$D$119,0,J116:J119)</f>
        <v>0</v>
      </c>
      <c r="K121" s="136">
        <f ca="1">SUMIF($D$116:$D$119,0,K116:K119)</f>
        <v>0</v>
      </c>
      <c r="L121" s="136">
        <f t="shared" ref="L121:M121" ca="1" si="62">SUMIF($D$116:$D$119,0,L116:L119)</f>
        <v>0</v>
      </c>
      <c r="M121" s="136">
        <f t="shared" ca="1" si="62"/>
        <v>0</v>
      </c>
      <c r="N121" s="136"/>
      <c r="O121" s="42">
        <f t="shared" si="34"/>
        <v>1</v>
      </c>
      <c r="P121" s="24">
        <v>1</v>
      </c>
    </row>
    <row r="122" spans="1:16" s="164" customFormat="1" ht="11.25" customHeight="1">
      <c r="C122" s="283" t="s">
        <v>666</v>
      </c>
      <c r="D122" s="291"/>
      <c r="E122" s="283"/>
      <c r="F122" s="283"/>
      <c r="G122" s="282"/>
      <c r="H122" s="282">
        <f ca="1">SUM(H120:H121)</f>
        <v>0</v>
      </c>
      <c r="I122" s="282">
        <f ca="1">SUM(I120:I121)</f>
        <v>0</v>
      </c>
      <c r="J122" s="282">
        <f ca="1">SUM(J120:J121)</f>
        <v>0</v>
      </c>
      <c r="K122" s="282">
        <f ca="1">SUM(K120:K121)</f>
        <v>0</v>
      </c>
      <c r="L122" s="282">
        <f t="shared" ref="L122:M122" ca="1" si="63">SUM(L120:L121)</f>
        <v>0</v>
      </c>
      <c r="M122" s="282">
        <f t="shared" ca="1" si="63"/>
        <v>0</v>
      </c>
      <c r="N122" s="163"/>
      <c r="O122" s="42">
        <f t="shared" si="34"/>
        <v>1</v>
      </c>
      <c r="P122" s="24">
        <v>1</v>
      </c>
    </row>
    <row r="123" spans="1:16" ht="11.25" customHeight="1">
      <c r="C123" s="73"/>
      <c r="D123" s="290" t="s">
        <v>762</v>
      </c>
      <c r="F123" s="289"/>
      <c r="G123" s="288"/>
      <c r="H123" s="288" t="str">
        <f t="shared" ref="H123:M123" ca="1" si="64">IF(H122-(H113+H108+H103+H98)=0,"OK",H122-(H113+H108+H103+H98))</f>
        <v>OK</v>
      </c>
      <c r="I123" s="288" t="str">
        <f t="shared" ca="1" si="64"/>
        <v>OK</v>
      </c>
      <c r="J123" s="288" t="str">
        <f t="shared" ca="1" si="64"/>
        <v>OK</v>
      </c>
      <c r="K123" s="288" t="str">
        <f t="shared" ca="1" si="64"/>
        <v>OK</v>
      </c>
      <c r="L123" s="288" t="str">
        <f t="shared" ca="1" si="64"/>
        <v>OK</v>
      </c>
      <c r="M123" s="288" t="str">
        <f t="shared" ca="1" si="64"/>
        <v>OK</v>
      </c>
      <c r="N123" s="136"/>
      <c r="O123" s="42">
        <f t="shared" si="34"/>
        <v>0</v>
      </c>
      <c r="P123" s="24">
        <v>0</v>
      </c>
    </row>
    <row r="124" spans="1:16" ht="11.25" customHeight="1">
      <c r="C124" s="73"/>
      <c r="D124" s="290"/>
      <c r="E124" s="227"/>
      <c r="F124" s="289"/>
      <c r="G124" s="288"/>
      <c r="H124" s="288"/>
      <c r="I124" s="288"/>
      <c r="J124" s="288"/>
      <c r="K124" s="288"/>
      <c r="L124" s="288"/>
      <c r="M124" s="288"/>
      <c r="N124" s="136"/>
      <c r="O124" s="42">
        <f t="shared" si="34"/>
        <v>0</v>
      </c>
      <c r="P124" s="24">
        <v>0</v>
      </c>
    </row>
    <row r="125" spans="1:16" ht="14" thickBot="1">
      <c r="A125" s="3"/>
      <c r="B125" s="3"/>
      <c r="C125" s="213" t="s">
        <v>642</v>
      </c>
      <c r="D125" s="286"/>
      <c r="E125" s="213"/>
      <c r="F125" s="213"/>
      <c r="G125" s="213"/>
      <c r="H125" s="213">
        <f>H$94</f>
        <v>2024</v>
      </c>
      <c r="I125" s="213">
        <f>I$94</f>
        <v>2025</v>
      </c>
      <c r="J125" s="213">
        <f>J$94</f>
        <v>2026</v>
      </c>
      <c r="K125" s="213">
        <f>K$94</f>
        <v>2027</v>
      </c>
      <c r="L125" s="213">
        <f t="shared" ref="L125:M125" si="65">L$94</f>
        <v>2028</v>
      </c>
      <c r="M125" s="213">
        <f t="shared" si="65"/>
        <v>2029</v>
      </c>
      <c r="O125" s="42">
        <f t="shared" si="34"/>
        <v>1</v>
      </c>
      <c r="P125" s="24">
        <v>1</v>
      </c>
    </row>
    <row r="126" spans="1:16" s="73" customFormat="1" ht="11.25" customHeight="1">
      <c r="C126" s="73" t="str">
        <f>E101</f>
        <v>Senior Debt</v>
      </c>
      <c r="D126" s="403">
        <f ca="1">'LBO - Assumptions'!E18</f>
        <v>0</v>
      </c>
      <c r="F126" s="136"/>
      <c r="G126" s="287"/>
      <c r="H126" s="287">
        <f ca="1">$D$126</f>
        <v>0</v>
      </c>
      <c r="I126" s="287">
        <f t="shared" ref="I126:K129" ca="1" si="66">H126</f>
        <v>0</v>
      </c>
      <c r="J126" s="287">
        <f t="shared" ca="1" si="66"/>
        <v>0</v>
      </c>
      <c r="K126" s="287">
        <f t="shared" ca="1" si="66"/>
        <v>0</v>
      </c>
      <c r="L126" s="287">
        <f t="shared" ref="L126:M126" ca="1" si="67">K126</f>
        <v>0</v>
      </c>
      <c r="M126" s="287">
        <f t="shared" ca="1" si="67"/>
        <v>0</v>
      </c>
      <c r="N126" s="136"/>
      <c r="O126" s="42">
        <f t="shared" si="34"/>
        <v>1</v>
      </c>
      <c r="P126" s="24">
        <v>1</v>
      </c>
    </row>
    <row r="127" spans="1:16" s="73" customFormat="1" ht="11.25" customHeight="1">
      <c r="C127" s="73" t="str">
        <f>E96</f>
        <v>Junior Debt</v>
      </c>
      <c r="D127" s="403">
        <f ca="1">'LBO - Assumptions'!E19</f>
        <v>0</v>
      </c>
      <c r="F127" s="136"/>
      <c r="G127" s="287"/>
      <c r="H127" s="287">
        <f ca="1">$D$127</f>
        <v>0</v>
      </c>
      <c r="I127" s="287">
        <f t="shared" ca="1" si="66"/>
        <v>0</v>
      </c>
      <c r="J127" s="287">
        <f t="shared" ca="1" si="66"/>
        <v>0</v>
      </c>
      <c r="K127" s="287">
        <f t="shared" ca="1" si="66"/>
        <v>0</v>
      </c>
      <c r="L127" s="287">
        <f t="shared" ref="L127:M127" ca="1" si="68">K127</f>
        <v>0</v>
      </c>
      <c r="M127" s="287">
        <f t="shared" ca="1" si="68"/>
        <v>0</v>
      </c>
      <c r="N127" s="136"/>
      <c r="O127" s="42">
        <f t="shared" si="34"/>
        <v>1</v>
      </c>
      <c r="P127" s="24">
        <v>1</v>
      </c>
    </row>
    <row r="128" spans="1:16" s="73" customFormat="1" ht="11.25" customHeight="1">
      <c r="C128" s="73" t="str">
        <f>E106</f>
        <v>Revolver</v>
      </c>
      <c r="D128" s="403">
        <f ca="1">'LBO - Assumptions'!E20</f>
        <v>0</v>
      </c>
      <c r="F128" s="136"/>
      <c r="G128" s="287"/>
      <c r="H128" s="287">
        <f ca="1">$D$128</f>
        <v>0</v>
      </c>
      <c r="I128" s="287">
        <f t="shared" ca="1" si="66"/>
        <v>0</v>
      </c>
      <c r="J128" s="287">
        <f t="shared" ca="1" si="66"/>
        <v>0</v>
      </c>
      <c r="K128" s="287">
        <f t="shared" ca="1" si="66"/>
        <v>0</v>
      </c>
      <c r="L128" s="287">
        <f t="shared" ref="L128:M128" ca="1" si="69">K128</f>
        <v>0</v>
      </c>
      <c r="M128" s="287">
        <f t="shared" ca="1" si="69"/>
        <v>0</v>
      </c>
      <c r="N128" s="136"/>
      <c r="O128" s="42">
        <f t="shared" si="34"/>
        <v>1</v>
      </c>
      <c r="P128" s="24">
        <v>1</v>
      </c>
    </row>
    <row r="129" spans="1:98" s="73" customFormat="1" ht="11.25" customHeight="1">
      <c r="C129" s="73" t="str">
        <f>E111</f>
        <v>Assumed Debt</v>
      </c>
      <c r="D129" s="403">
        <f ca="1">'LBO - Assumptions'!E21</f>
        <v>0</v>
      </c>
      <c r="G129" s="287"/>
      <c r="H129" s="287">
        <f ca="1">$D$129</f>
        <v>0</v>
      </c>
      <c r="I129" s="287">
        <f t="shared" ca="1" si="66"/>
        <v>0</v>
      </c>
      <c r="J129" s="287">
        <f t="shared" ca="1" si="66"/>
        <v>0</v>
      </c>
      <c r="K129" s="287">
        <f t="shared" ca="1" si="66"/>
        <v>0</v>
      </c>
      <c r="L129" s="287">
        <f t="shared" ref="L129:M129" ca="1" si="70">K129</f>
        <v>0</v>
      </c>
      <c r="M129" s="287">
        <f t="shared" ca="1" si="70"/>
        <v>0</v>
      </c>
      <c r="N129" s="136"/>
      <c r="O129" s="42">
        <f t="shared" si="34"/>
        <v>1</v>
      </c>
      <c r="P129" s="24">
        <v>1</v>
      </c>
    </row>
    <row r="130" spans="1:98" s="73" customFormat="1" ht="11.25" customHeight="1">
      <c r="D130" s="137"/>
      <c r="F130" s="136"/>
      <c r="G130" s="136"/>
      <c r="H130" s="136"/>
      <c r="I130" s="136"/>
      <c r="J130" s="136"/>
      <c r="K130" s="136"/>
      <c r="L130" s="136"/>
      <c r="M130" s="136"/>
      <c r="N130" s="136"/>
      <c r="O130" s="42">
        <f t="shared" si="34"/>
        <v>0</v>
      </c>
      <c r="P130" s="24">
        <v>0</v>
      </c>
    </row>
    <row r="131" spans="1:98" ht="14" thickBot="1">
      <c r="A131" s="3"/>
      <c r="B131" s="3"/>
      <c r="C131" s="213" t="s">
        <v>85</v>
      </c>
      <c r="D131" s="286"/>
      <c r="E131" s="213"/>
      <c r="F131" s="213"/>
      <c r="G131" s="213"/>
      <c r="H131" s="213"/>
      <c r="I131" s="213"/>
      <c r="J131" s="213"/>
      <c r="K131" s="213"/>
      <c r="L131" s="213"/>
      <c r="M131" s="213"/>
      <c r="O131" s="42">
        <f t="shared" si="34"/>
        <v>1</v>
      </c>
      <c r="P131" s="24">
        <v>1</v>
      </c>
    </row>
    <row r="132" spans="1:98" s="73" customFormat="1" ht="11.25" customHeight="1">
      <c r="C132" s="73" t="str">
        <f>C126</f>
        <v>Senior Debt</v>
      </c>
      <c r="D132" s="285">
        <f>VLOOKUP(C132,'LBO - Assumptions'!$C$49:$E$52,2,FALSE)</f>
        <v>1</v>
      </c>
      <c r="F132" s="136"/>
      <c r="G132" s="136"/>
      <c r="H132" s="136">
        <f t="shared" ref="H132:M132" ca="1" si="71">H126*(H101)</f>
        <v>0</v>
      </c>
      <c r="I132" s="136">
        <f t="shared" ca="1" si="71"/>
        <v>0</v>
      </c>
      <c r="J132" s="136">
        <f t="shared" ca="1" si="71"/>
        <v>0</v>
      </c>
      <c r="K132" s="136">
        <f t="shared" ca="1" si="71"/>
        <v>0</v>
      </c>
      <c r="L132" s="136">
        <f t="shared" ca="1" si="71"/>
        <v>0</v>
      </c>
      <c r="M132" s="136">
        <f t="shared" ca="1" si="71"/>
        <v>0</v>
      </c>
      <c r="O132" s="42">
        <f t="shared" si="34"/>
        <v>1</v>
      </c>
      <c r="P132" s="24">
        <v>1</v>
      </c>
    </row>
    <row r="133" spans="1:98" s="73" customFormat="1" ht="11.25" customHeight="1">
      <c r="C133" s="73" t="str">
        <f>C127</f>
        <v>Junior Debt</v>
      </c>
      <c r="D133" s="285">
        <f>VLOOKUP(C133,'LBO - Assumptions'!$C$49:$E$52,2,FALSE)</f>
        <v>0</v>
      </c>
      <c r="F133" s="136"/>
      <c r="G133" s="136"/>
      <c r="H133" s="136">
        <f t="shared" ref="H133:M133" ca="1" si="72">H127*(H96)</f>
        <v>0</v>
      </c>
      <c r="I133" s="136">
        <f t="shared" ca="1" si="72"/>
        <v>0</v>
      </c>
      <c r="J133" s="136">
        <f t="shared" ca="1" si="72"/>
        <v>0</v>
      </c>
      <c r="K133" s="136">
        <f t="shared" ca="1" si="72"/>
        <v>0</v>
      </c>
      <c r="L133" s="136">
        <f t="shared" ca="1" si="72"/>
        <v>0</v>
      </c>
      <c r="M133" s="136">
        <f t="shared" ca="1" si="72"/>
        <v>0</v>
      </c>
      <c r="O133" s="42">
        <f t="shared" si="34"/>
        <v>1</v>
      </c>
      <c r="P133" s="24">
        <v>1</v>
      </c>
    </row>
    <row r="134" spans="1:98" s="73" customFormat="1" ht="11.25" customHeight="1">
      <c r="C134" s="73" t="str">
        <f>C128</f>
        <v>Revolver</v>
      </c>
      <c r="D134" s="285">
        <f>VLOOKUP(C134,'LBO - Assumptions'!$C$49:$E$52,2,FALSE)</f>
        <v>1</v>
      </c>
      <c r="F134" s="136"/>
      <c r="G134" s="136"/>
      <c r="H134" s="136">
        <f ca="1">H128*(H106)</f>
        <v>0</v>
      </c>
      <c r="I134" s="136">
        <f ca="1">I128*(I106)</f>
        <v>0</v>
      </c>
      <c r="J134" s="136">
        <f ca="1">J128*(J106)</f>
        <v>0</v>
      </c>
      <c r="K134" s="136">
        <f ca="1">K128*(K106)</f>
        <v>0</v>
      </c>
      <c r="L134" s="136">
        <f t="shared" ref="L134:M134" ca="1" si="73">L128*(L106)</f>
        <v>0</v>
      </c>
      <c r="M134" s="136">
        <f t="shared" ca="1" si="73"/>
        <v>0</v>
      </c>
      <c r="O134" s="42">
        <f t="shared" si="34"/>
        <v>1</v>
      </c>
      <c r="P134" s="24">
        <v>1</v>
      </c>
    </row>
    <row r="135" spans="1:98" s="73" customFormat="1" ht="11.25" customHeight="1">
      <c r="C135" s="73" t="str">
        <f>C129</f>
        <v>Assumed Debt</v>
      </c>
      <c r="D135" s="285">
        <f>VLOOKUP(C135,'LBO - Assumptions'!$C$49:$E$52,2,FALSE)</f>
        <v>0</v>
      </c>
      <c r="G135" s="136"/>
      <c r="H135" s="136">
        <f ca="1">(H111)*H129</f>
        <v>0</v>
      </c>
      <c r="I135" s="136">
        <f ca="1">(I111)*I129</f>
        <v>0</v>
      </c>
      <c r="J135" s="136">
        <f ca="1">(J111)*J129</f>
        <v>0</v>
      </c>
      <c r="K135" s="136">
        <f ca="1">(K111)*K129</f>
        <v>0</v>
      </c>
      <c r="L135" s="136">
        <f t="shared" ref="L135:M135" ca="1" si="74">(L111)*L129</f>
        <v>0</v>
      </c>
      <c r="M135" s="136">
        <f t="shared" ca="1" si="74"/>
        <v>0</v>
      </c>
      <c r="N135" s="136"/>
      <c r="O135" s="42">
        <f t="shared" si="34"/>
        <v>1</v>
      </c>
      <c r="P135" s="24">
        <v>1</v>
      </c>
    </row>
    <row r="136" spans="1:98" s="73" customFormat="1" ht="11.25" customHeight="1">
      <c r="C136" s="129" t="s">
        <v>763</v>
      </c>
      <c r="D136" s="142"/>
      <c r="E136" s="129"/>
      <c r="F136" s="129"/>
      <c r="G136" s="157"/>
      <c r="H136" s="157">
        <f ca="1">SUMIF($D$132:$D$135,1,H132:H135)</f>
        <v>0</v>
      </c>
      <c r="I136" s="157">
        <f ca="1">SUMIF($D$132:$D$135,1,I132:I135)</f>
        <v>0</v>
      </c>
      <c r="J136" s="157">
        <f ca="1">SUMIF($D$132:$D$135,1,J132:J135)</f>
        <v>0</v>
      </c>
      <c r="K136" s="157">
        <f ca="1">SUMIF($D$132:$D$135,1,K132:K135)</f>
        <v>0</v>
      </c>
      <c r="L136" s="157">
        <f t="shared" ref="L136:M136" ca="1" si="75">SUMIF($D$132:$D$135,1,L132:L135)</f>
        <v>0</v>
      </c>
      <c r="M136" s="157">
        <f t="shared" ca="1" si="75"/>
        <v>0</v>
      </c>
      <c r="O136" s="42">
        <f t="shared" ref="O136:O167" si="76">IF(NOT(ISBLANK(C136)), 1, 0)</f>
        <v>1</v>
      </c>
      <c r="P136" s="24">
        <v>1</v>
      </c>
    </row>
    <row r="137" spans="1:98" s="73" customFormat="1" ht="11.25" customHeight="1">
      <c r="C137" s="73" t="s">
        <v>764</v>
      </c>
      <c r="D137" s="137"/>
      <c r="G137" s="136"/>
      <c r="H137" s="136">
        <f ca="1">SUMIF($D$132:$D$135,0,H132:H135)</f>
        <v>0</v>
      </c>
      <c r="I137" s="136">
        <f ca="1">SUMIF($D$132:$D$135,0,I132:I135)</f>
        <v>0</v>
      </c>
      <c r="J137" s="136">
        <f ca="1">SUMIF($D$132:$D$135,0,J132:J135)</f>
        <v>0</v>
      </c>
      <c r="K137" s="136">
        <f ca="1">SUMIF($D$132:$D$135,0,K132:K135)</f>
        <v>0</v>
      </c>
      <c r="L137" s="136">
        <f t="shared" ref="L137:M137" ca="1" si="77">SUMIF($D$132:$D$135,0,L132:L135)</f>
        <v>0</v>
      </c>
      <c r="M137" s="136">
        <f t="shared" ca="1" si="77"/>
        <v>0</v>
      </c>
      <c r="O137" s="42">
        <f t="shared" si="76"/>
        <v>1</v>
      </c>
      <c r="P137" s="24">
        <v>1</v>
      </c>
    </row>
    <row r="138" spans="1:98" s="73" customFormat="1" ht="11.25" customHeight="1">
      <c r="C138" s="283" t="s">
        <v>765</v>
      </c>
      <c r="D138" s="284"/>
      <c r="E138" s="283"/>
      <c r="F138" s="283"/>
      <c r="G138" s="282"/>
      <c r="H138" s="282">
        <f ca="1">SUM(H132:H135)</f>
        <v>0</v>
      </c>
      <c r="I138" s="282">
        <f ca="1">SUM(I132:I135)</f>
        <v>0</v>
      </c>
      <c r="J138" s="282">
        <f ca="1">SUM(J132:J135)</f>
        <v>0</v>
      </c>
      <c r="K138" s="282">
        <f ca="1">SUM(K132:K135)</f>
        <v>0</v>
      </c>
      <c r="L138" s="282">
        <f t="shared" ref="L138:M138" ca="1" si="78">SUM(L132:L135)</f>
        <v>0</v>
      </c>
      <c r="M138" s="282">
        <f t="shared" ca="1" si="78"/>
        <v>0</v>
      </c>
      <c r="O138" s="42">
        <f t="shared" si="76"/>
        <v>1</v>
      </c>
      <c r="P138" s="24">
        <v>1</v>
      </c>
    </row>
    <row r="139" spans="1:98" s="73" customFormat="1" ht="11.25" customHeight="1">
      <c r="D139" s="137"/>
      <c r="F139" s="136"/>
      <c r="O139" s="42">
        <f t="shared" si="76"/>
        <v>0</v>
      </c>
      <c r="P139" s="24">
        <v>0</v>
      </c>
    </row>
    <row r="140" spans="1:98" s="73" customFormat="1" ht="11">
      <c r="C140" s="1" t="s">
        <v>766</v>
      </c>
      <c r="D140" s="137"/>
      <c r="F140" s="136"/>
      <c r="G140" s="136"/>
      <c r="H140" s="136"/>
      <c r="I140" s="136"/>
      <c r="J140" s="136"/>
      <c r="K140" s="136"/>
      <c r="L140" s="136"/>
      <c r="M140" s="136"/>
      <c r="O140" s="42">
        <f t="shared" si="76"/>
        <v>1</v>
      </c>
      <c r="P140" s="24">
        <v>1</v>
      </c>
    </row>
    <row r="141" spans="1:98" s="73" customFormat="1" ht="11">
      <c r="C141" s="1"/>
      <c r="D141" s="137"/>
      <c r="F141" s="136"/>
      <c r="G141" s="136"/>
      <c r="H141" s="136"/>
      <c r="I141" s="136"/>
      <c r="J141" s="136"/>
      <c r="K141" s="136"/>
      <c r="L141" s="136"/>
      <c r="M141" s="136"/>
      <c r="O141" s="42">
        <f t="shared" si="76"/>
        <v>0</v>
      </c>
      <c r="P141" s="24">
        <v>0</v>
      </c>
    </row>
    <row r="142" spans="1:98" s="73" customFormat="1" ht="12.75" customHeight="1">
      <c r="C142" s="926" t="s">
        <v>767</v>
      </c>
      <c r="D142" s="927"/>
      <c r="E142" s="927"/>
      <c r="F142" s="927"/>
      <c r="G142" s="927"/>
      <c r="H142" s="927"/>
      <c r="I142" s="927"/>
      <c r="J142" s="927"/>
      <c r="K142" s="927"/>
      <c r="L142" s="927"/>
      <c r="M142" s="927"/>
      <c r="O142" s="42">
        <f t="shared" si="76"/>
        <v>1</v>
      </c>
      <c r="P142" s="24">
        <v>1</v>
      </c>
    </row>
    <row r="143" spans="1:98" s="3" customFormat="1" ht="11.25" customHeight="1">
      <c r="A143" s="117"/>
      <c r="B143" s="117"/>
      <c r="C143" s="312"/>
      <c r="D143" s="81"/>
      <c r="G143" s="38"/>
      <c r="H143" s="214" t="s">
        <v>565</v>
      </c>
      <c r="I143" s="214"/>
      <c r="J143" s="214"/>
      <c r="K143" s="214"/>
      <c r="L143" s="214"/>
      <c r="M143" s="214"/>
      <c r="O143" s="42">
        <f t="shared" si="76"/>
        <v>0</v>
      </c>
      <c r="P143" s="24">
        <v>0</v>
      </c>
      <c r="Q143" s="230"/>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row>
    <row r="144" spans="1:98" ht="14" thickBot="1">
      <c r="A144" s="3"/>
      <c r="B144" s="3"/>
      <c r="C144" s="213"/>
      <c r="D144" s="286"/>
      <c r="E144" s="213"/>
      <c r="F144" s="213"/>
      <c r="G144" s="85">
        <f t="shared" ref="G144:M144" si="79">G94</f>
        <v>2023</v>
      </c>
      <c r="H144" s="213">
        <f t="shared" si="79"/>
        <v>2024</v>
      </c>
      <c r="I144" s="213">
        <f t="shared" si="79"/>
        <v>2025</v>
      </c>
      <c r="J144" s="213">
        <f t="shared" si="79"/>
        <v>2026</v>
      </c>
      <c r="K144" s="213">
        <f t="shared" si="79"/>
        <v>2027</v>
      </c>
      <c r="L144" s="213">
        <f t="shared" si="79"/>
        <v>2028</v>
      </c>
      <c r="M144" s="213">
        <f t="shared" si="79"/>
        <v>2029</v>
      </c>
      <c r="O144" s="42">
        <f t="shared" si="76"/>
        <v>0</v>
      </c>
      <c r="P144" s="24">
        <v>0</v>
      </c>
    </row>
    <row r="145" spans="1:20" s="73" customFormat="1" ht="11.25" customHeight="1">
      <c r="C145" s="129"/>
      <c r="D145" s="142"/>
      <c r="E145" s="303"/>
      <c r="F145" s="311" t="s">
        <v>768</v>
      </c>
      <c r="G145" s="303"/>
      <c r="H145" s="129"/>
      <c r="I145" s="129"/>
      <c r="J145" s="129"/>
      <c r="K145" s="129"/>
      <c r="L145" s="129"/>
      <c r="M145" s="129"/>
      <c r="O145" s="42">
        <f t="shared" si="76"/>
        <v>0</v>
      </c>
      <c r="P145" s="24">
        <v>0</v>
      </c>
    </row>
    <row r="146" spans="1:20" s="73" customFormat="1" ht="11.25" customHeight="1">
      <c r="C146" s="219" t="s">
        <v>769</v>
      </c>
      <c r="D146" s="142" t="s">
        <v>770</v>
      </c>
      <c r="E146" s="129"/>
      <c r="F146" s="508"/>
      <c r="G146" s="157"/>
      <c r="H146" s="157">
        <f t="shared" ref="H146:M146" ca="1" si="80">H23</f>
        <v>3063.2100893422048</v>
      </c>
      <c r="I146" s="157">
        <f t="shared" ca="1" si="80"/>
        <v>4005.2163707928285</v>
      </c>
      <c r="J146" s="157">
        <f t="shared" ca="1" si="80"/>
        <v>4083.6514930707694</v>
      </c>
      <c r="K146" s="157">
        <f t="shared" ca="1" si="80"/>
        <v>4292.3014517378488</v>
      </c>
      <c r="L146" s="157">
        <f t="shared" ca="1" si="80"/>
        <v>4654.0505874030105</v>
      </c>
      <c r="M146" s="157">
        <f t="shared" ca="1" si="80"/>
        <v>4786.8269869968572</v>
      </c>
      <c r="O146" s="42">
        <f t="shared" si="76"/>
        <v>1</v>
      </c>
      <c r="P146" s="24">
        <v>1</v>
      </c>
    </row>
    <row r="147" spans="1:20" s="73" customFormat="1" ht="11.25" customHeight="1">
      <c r="C147" s="298" t="str">
        <f>VLOOKUP(F147,$F$161:$G$164,2,FALSE)</f>
        <v>Junior Debt</v>
      </c>
      <c r="D147" s="308" t="s">
        <v>359</v>
      </c>
      <c r="E147" s="209"/>
      <c r="F147" s="307">
        <f>'LBO - Assumptions'!F76</f>
        <v>1</v>
      </c>
      <c r="G147" s="293"/>
      <c r="H147" s="293">
        <f t="shared" ref="H147:M147" ca="1" si="81">-MAX(0,MIN(H146,VLOOKUP($C$147,$E$94:$M$114,H167-2,FALSE)))</f>
        <v>0</v>
      </c>
      <c r="I147" s="293">
        <f t="shared" ca="1" si="81"/>
        <v>0</v>
      </c>
      <c r="J147" s="293">
        <f t="shared" ca="1" si="81"/>
        <v>0</v>
      </c>
      <c r="K147" s="293">
        <f t="shared" ca="1" si="81"/>
        <v>0</v>
      </c>
      <c r="L147" s="293">
        <f t="shared" ca="1" si="81"/>
        <v>0</v>
      </c>
      <c r="M147" s="293">
        <f t="shared" ca="1" si="81"/>
        <v>0</v>
      </c>
      <c r="O147" s="42">
        <f t="shared" si="76"/>
        <v>1</v>
      </c>
      <c r="P147" s="24">
        <v>1</v>
      </c>
    </row>
    <row r="148" spans="1:20" s="73" customFormat="1" ht="11.25" customHeight="1">
      <c r="C148" s="129"/>
      <c r="D148" s="129"/>
      <c r="E148" s="32"/>
      <c r="F148" s="511"/>
      <c r="G148" s="512"/>
      <c r="H148" s="129"/>
      <c r="I148" s="129"/>
      <c r="J148" s="129"/>
      <c r="K148" s="129"/>
      <c r="L148" s="129"/>
      <c r="M148" s="129"/>
      <c r="O148" s="42">
        <f t="shared" si="76"/>
        <v>0</v>
      </c>
      <c r="P148" s="24">
        <v>0</v>
      </c>
    </row>
    <row r="149" spans="1:20" s="73" customFormat="1" ht="11.25" customHeight="1">
      <c r="C149" s="219" t="s">
        <v>771</v>
      </c>
      <c r="D149" s="142" t="s">
        <v>770</v>
      </c>
      <c r="E149" s="129"/>
      <c r="F149" s="129"/>
      <c r="G149" s="157"/>
      <c r="H149" s="157">
        <f ca="1">H146+H147</f>
        <v>3063.2100893422048</v>
      </c>
      <c r="I149" s="157">
        <f t="shared" ref="I149:M149" ca="1" si="82">I146+I147</f>
        <v>4005.2163707928285</v>
      </c>
      <c r="J149" s="157">
        <f t="shared" ca="1" si="82"/>
        <v>4083.6514930707694</v>
      </c>
      <c r="K149" s="157">
        <f t="shared" ca="1" si="82"/>
        <v>4292.3014517378488</v>
      </c>
      <c r="L149" s="157">
        <f t="shared" ca="1" si="82"/>
        <v>4654.0505874030105</v>
      </c>
      <c r="M149" s="157">
        <f t="shared" ca="1" si="82"/>
        <v>4786.8269869968572</v>
      </c>
      <c r="O149" s="42">
        <f t="shared" si="76"/>
        <v>1</v>
      </c>
      <c r="P149" s="24">
        <v>1</v>
      </c>
    </row>
    <row r="150" spans="1:20" s="73" customFormat="1" ht="11.25" customHeight="1">
      <c r="C150" s="298" t="str">
        <f>VLOOKUP(F150,$F$161:$G$164,2,FALSE)</f>
        <v>Senior Debt</v>
      </c>
      <c r="D150" s="308" t="s">
        <v>772</v>
      </c>
      <c r="E150" s="209"/>
      <c r="F150" s="307">
        <f>'LBO - Assumptions'!F75</f>
        <v>2</v>
      </c>
      <c r="G150" s="293"/>
      <c r="H150" s="293">
        <f t="shared" ref="H150:M150" ca="1" si="83">-MAX(0,MIN(H149,VLOOKUP($C$150,$E$100:$M$114,H167-2,FALSE)))</f>
        <v>0</v>
      </c>
      <c r="I150" s="293">
        <f t="shared" ca="1" si="83"/>
        <v>0</v>
      </c>
      <c r="J150" s="293">
        <f t="shared" ca="1" si="83"/>
        <v>0</v>
      </c>
      <c r="K150" s="293">
        <f t="shared" ca="1" si="83"/>
        <v>0</v>
      </c>
      <c r="L150" s="293">
        <f t="shared" ca="1" si="83"/>
        <v>0</v>
      </c>
      <c r="M150" s="293">
        <f t="shared" ca="1" si="83"/>
        <v>0</v>
      </c>
      <c r="O150" s="42">
        <f t="shared" si="76"/>
        <v>1</v>
      </c>
      <c r="P150" s="24">
        <v>1</v>
      </c>
    </row>
    <row r="151" spans="1:20">
      <c r="O151" s="42">
        <f t="shared" si="76"/>
        <v>0</v>
      </c>
      <c r="P151" s="24">
        <v>0</v>
      </c>
    </row>
    <row r="152" spans="1:20" s="73" customFormat="1" ht="11.25" customHeight="1">
      <c r="C152" s="219" t="s">
        <v>773</v>
      </c>
      <c r="D152" s="142" t="s">
        <v>770</v>
      </c>
      <c r="E152" s="129"/>
      <c r="F152" s="129"/>
      <c r="G152" s="157"/>
      <c r="H152" s="157">
        <f ca="1">H146+H147+H150</f>
        <v>3063.2100893422048</v>
      </c>
      <c r="I152" s="157">
        <f t="shared" ref="I152:M152" ca="1" si="84">I146+I147+I150</f>
        <v>4005.2163707928285</v>
      </c>
      <c r="J152" s="157">
        <f t="shared" ca="1" si="84"/>
        <v>4083.6514930707694</v>
      </c>
      <c r="K152" s="157">
        <f t="shared" ca="1" si="84"/>
        <v>4292.3014517378488</v>
      </c>
      <c r="L152" s="157">
        <f t="shared" ca="1" si="84"/>
        <v>4654.0505874030105</v>
      </c>
      <c r="M152" s="157">
        <f t="shared" ca="1" si="84"/>
        <v>4786.8269869968572</v>
      </c>
      <c r="O152" s="42">
        <f t="shared" si="76"/>
        <v>1</v>
      </c>
      <c r="P152" s="24">
        <v>1</v>
      </c>
    </row>
    <row r="153" spans="1:20" s="73" customFormat="1" ht="11.25" customHeight="1">
      <c r="C153" s="165" t="str">
        <f>VLOOKUP(F153,$F$161:$G$164,2,FALSE)</f>
        <v>Revolver</v>
      </c>
      <c r="D153" s="137" t="s">
        <v>774</v>
      </c>
      <c r="F153" s="509">
        <f>'LBO - Assumptions'!F77</f>
        <v>3</v>
      </c>
      <c r="G153" s="136"/>
      <c r="H153" s="136">
        <f t="shared" ref="H153:M153" ca="1" si="85">-MAX(0,MIN(H152,VLOOKUP($C$153,$E$94:$M$114,H167-2,FALSE)))</f>
        <v>0</v>
      </c>
      <c r="I153" s="136">
        <f t="shared" ca="1" si="85"/>
        <v>0</v>
      </c>
      <c r="J153" s="136">
        <f t="shared" ca="1" si="85"/>
        <v>0</v>
      </c>
      <c r="K153" s="136">
        <f t="shared" ca="1" si="85"/>
        <v>0</v>
      </c>
      <c r="L153" s="136">
        <f t="shared" ca="1" si="85"/>
        <v>0</v>
      </c>
      <c r="M153" s="136">
        <f t="shared" ca="1" si="85"/>
        <v>0</v>
      </c>
      <c r="O153" s="42">
        <f t="shared" si="76"/>
        <v>1</v>
      </c>
      <c r="P153" s="24">
        <v>1</v>
      </c>
    </row>
    <row r="154" spans="1:20" s="73" customFormat="1" ht="11.25" customHeight="1">
      <c r="C154" s="81" t="s">
        <v>775</v>
      </c>
      <c r="D154" s="81"/>
      <c r="E154" s="3"/>
      <c r="F154" s="510">
        <f ca="1">'LBO - Assumptions'!F51</f>
        <v>0</v>
      </c>
      <c r="O154" s="42">
        <f t="shared" si="76"/>
        <v>1</v>
      </c>
      <c r="P154" s="24">
        <v>1</v>
      </c>
    </row>
    <row r="155" spans="1:20" s="73" customFormat="1" ht="11.25" customHeight="1">
      <c r="C155" s="165"/>
      <c r="D155" s="137"/>
      <c r="F155" s="310"/>
      <c r="G155" s="136"/>
      <c r="H155" s="136"/>
      <c r="I155" s="136"/>
      <c r="J155" s="136"/>
      <c r="K155" s="136"/>
      <c r="L155" s="136"/>
      <c r="M155" s="136"/>
      <c r="O155" s="42">
        <f t="shared" si="76"/>
        <v>0</v>
      </c>
      <c r="P155" s="24">
        <v>0</v>
      </c>
    </row>
    <row r="156" spans="1:20" s="73" customFormat="1" ht="11.25" customHeight="1">
      <c r="C156" s="219" t="s">
        <v>776</v>
      </c>
      <c r="D156" s="142" t="s">
        <v>770</v>
      </c>
      <c r="E156" s="129"/>
      <c r="F156" s="508"/>
      <c r="G156" s="157"/>
      <c r="H156" s="157">
        <f ca="1">H150+H153+H147+H146</f>
        <v>3063.2100893422048</v>
      </c>
      <c r="I156" s="157">
        <f t="shared" ref="I156:M156" ca="1" si="86">I150+I153+I147+I146</f>
        <v>4005.2163707928285</v>
      </c>
      <c r="J156" s="157">
        <f t="shared" ca="1" si="86"/>
        <v>4083.6514930707694</v>
      </c>
      <c r="K156" s="157">
        <f t="shared" ca="1" si="86"/>
        <v>4292.3014517378488</v>
      </c>
      <c r="L156" s="157">
        <f t="shared" ca="1" si="86"/>
        <v>4654.0505874030105</v>
      </c>
      <c r="M156" s="157">
        <f t="shared" ca="1" si="86"/>
        <v>4786.8269869968572</v>
      </c>
      <c r="O156" s="42">
        <f t="shared" si="76"/>
        <v>1</v>
      </c>
      <c r="P156" s="24">
        <v>1</v>
      </c>
      <c r="T156" s="309"/>
    </row>
    <row r="157" spans="1:20" s="73" customFormat="1" ht="11.25" customHeight="1">
      <c r="C157" s="298" t="str">
        <f>VLOOKUP(F157,$F$161:$G$164,2,FALSE)</f>
        <v>Assumed Debt</v>
      </c>
      <c r="D157" s="308" t="s">
        <v>359</v>
      </c>
      <c r="E157" s="209"/>
      <c r="F157" s="307">
        <f>'LBO - Assumptions'!F78</f>
        <v>4</v>
      </c>
      <c r="G157" s="293"/>
      <c r="H157" s="293">
        <f t="shared" ref="H157:M157" ca="1" si="87">-MAX(0,MIN(H156,VLOOKUP($C$157,$E$94:$M$114,H167-2,FALSE)))</f>
        <v>0</v>
      </c>
      <c r="I157" s="293">
        <f t="shared" ca="1" si="87"/>
        <v>0</v>
      </c>
      <c r="J157" s="293">
        <f t="shared" ca="1" si="87"/>
        <v>0</v>
      </c>
      <c r="K157" s="293">
        <f t="shared" ca="1" si="87"/>
        <v>0</v>
      </c>
      <c r="L157" s="293">
        <f t="shared" ca="1" si="87"/>
        <v>0</v>
      </c>
      <c r="M157" s="293">
        <f t="shared" ca="1" si="87"/>
        <v>0</v>
      </c>
      <c r="O157" s="42">
        <f t="shared" si="76"/>
        <v>1</v>
      </c>
      <c r="P157" s="24">
        <v>1</v>
      </c>
    </row>
    <row r="158" spans="1:20" s="73" customFormat="1" ht="11.25" customHeight="1">
      <c r="D158" s="137"/>
      <c r="O158" s="42">
        <f t="shared" si="76"/>
        <v>0</v>
      </c>
      <c r="P158" s="24">
        <v>0</v>
      </c>
    </row>
    <row r="159" spans="1:20" ht="14" thickBot="1">
      <c r="A159" s="3"/>
      <c r="B159" s="3"/>
      <c r="C159" s="213" t="s">
        <v>777</v>
      </c>
      <c r="D159" s="286"/>
      <c r="E159" s="213"/>
      <c r="F159" s="213"/>
      <c r="G159" s="213"/>
      <c r="H159" s="213"/>
      <c r="I159" s="213"/>
      <c r="J159" s="213"/>
      <c r="K159" s="213"/>
      <c r="L159" s="213"/>
      <c r="M159" s="213"/>
      <c r="O159" s="42">
        <f t="shared" si="76"/>
        <v>1</v>
      </c>
      <c r="P159" s="24">
        <v>1</v>
      </c>
    </row>
    <row r="160" spans="1:20" s="73" customFormat="1" ht="11.25" customHeight="1">
      <c r="C160" s="304" t="s">
        <v>778</v>
      </c>
      <c r="D160" s="306"/>
      <c r="E160" s="304"/>
      <c r="F160" s="305" t="s">
        <v>779</v>
      </c>
      <c r="G160" s="304" t="s">
        <v>780</v>
      </c>
      <c r="H160" s="303"/>
      <c r="I160" s="303"/>
      <c r="J160" s="303"/>
      <c r="K160" s="303"/>
      <c r="L160" s="303"/>
      <c r="M160" s="303"/>
      <c r="O160" s="42">
        <f t="shared" si="76"/>
        <v>1</v>
      </c>
      <c r="P160" s="24">
        <v>1</v>
      </c>
    </row>
    <row r="161" spans="1:98" s="73" customFormat="1" ht="11.25" customHeight="1">
      <c r="C161" s="73" t="str">
        <f>'LBO - Assumptions'!C75</f>
        <v>Senior Debt</v>
      </c>
      <c r="D161" s="137"/>
      <c r="F161" s="302">
        <f>VLOOKUP(C161,'LBO - Assumptions'!$C$75:$F$78,4,FALSE)</f>
        <v>2</v>
      </c>
      <c r="G161" s="73" t="str">
        <f>C161</f>
        <v>Senior Debt</v>
      </c>
      <c r="O161" s="42">
        <f t="shared" si="76"/>
        <v>1</v>
      </c>
      <c r="P161" s="24">
        <v>1</v>
      </c>
    </row>
    <row r="162" spans="1:98" s="73" customFormat="1" ht="11.25" customHeight="1">
      <c r="C162" s="73" t="str">
        <f>'LBO - Assumptions'!C76</f>
        <v>Junior Debt</v>
      </c>
      <c r="D162" s="137"/>
      <c r="F162" s="302">
        <f>VLOOKUP(C162,'LBO - Assumptions'!$C$75:$F$78,4,FALSE)</f>
        <v>1</v>
      </c>
      <c r="G162" s="73" t="str">
        <f>C162</f>
        <v>Junior Debt</v>
      </c>
      <c r="O162" s="42">
        <f t="shared" si="76"/>
        <v>1</v>
      </c>
      <c r="P162" s="24">
        <v>1</v>
      </c>
    </row>
    <row r="163" spans="1:98" s="73" customFormat="1" ht="11.25" customHeight="1">
      <c r="C163" s="73" t="str">
        <f>'LBO - Assumptions'!C77</f>
        <v>Revolver</v>
      </c>
      <c r="D163" s="137"/>
      <c r="F163" s="302">
        <f>VLOOKUP(C163,'LBO - Assumptions'!$C$75:$F$78,4,FALSE)</f>
        <v>3</v>
      </c>
      <c r="G163" s="73" t="str">
        <f>C163</f>
        <v>Revolver</v>
      </c>
      <c r="O163" s="42">
        <f t="shared" si="76"/>
        <v>1</v>
      </c>
      <c r="P163" s="24">
        <v>1</v>
      </c>
    </row>
    <row r="164" spans="1:98" s="73" customFormat="1" ht="11.25" customHeight="1">
      <c r="C164" s="73" t="str">
        <f>'LBO - Assumptions'!C78</f>
        <v>Assumed Debt</v>
      </c>
      <c r="D164" s="137"/>
      <c r="F164" s="301">
        <f>VLOOKUP(C164,'LBO - Assumptions'!$C$75:$F$78,4,FALSE)</f>
        <v>4</v>
      </c>
      <c r="G164" s="73" t="str">
        <f>C164</f>
        <v>Assumed Debt</v>
      </c>
      <c r="O164" s="42">
        <f t="shared" si="76"/>
        <v>1</v>
      </c>
      <c r="P164" s="24">
        <v>1</v>
      </c>
    </row>
    <row r="165" spans="1:98" s="3" customFormat="1" ht="11.25" customHeight="1">
      <c r="A165" s="117"/>
      <c r="B165" s="117"/>
      <c r="D165" s="81"/>
      <c r="O165" s="42">
        <f t="shared" si="76"/>
        <v>0</v>
      </c>
      <c r="P165" s="24">
        <v>0</v>
      </c>
      <c r="Q165" s="166"/>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row>
    <row r="166" spans="1:98" s="73" customFormat="1" ht="11">
      <c r="C166" s="1"/>
      <c r="D166" s="137"/>
      <c r="F166" s="136"/>
      <c r="G166" s="136"/>
      <c r="H166" s="136"/>
      <c r="I166" s="136"/>
      <c r="J166" s="136"/>
      <c r="K166" s="136"/>
      <c r="L166" s="136"/>
      <c r="M166" s="136"/>
      <c r="O166" s="42">
        <f t="shared" si="76"/>
        <v>0</v>
      </c>
      <c r="P166" s="24">
        <v>0</v>
      </c>
    </row>
    <row r="167" spans="1:98" s="73" customFormat="1" ht="11">
      <c r="A167" s="281" t="s">
        <v>781</v>
      </c>
      <c r="B167" s="281"/>
      <c r="C167" s="279">
        <v>1</v>
      </c>
      <c r="D167" s="280">
        <f t="shared" ref="D167:K167" si="88">C167+1</f>
        <v>2</v>
      </c>
      <c r="E167" s="279">
        <f t="shared" si="88"/>
        <v>3</v>
      </c>
      <c r="F167" s="279">
        <f t="shared" si="88"/>
        <v>4</v>
      </c>
      <c r="G167" s="279">
        <f t="shared" si="88"/>
        <v>5</v>
      </c>
      <c r="H167" s="279">
        <f t="shared" si="88"/>
        <v>6</v>
      </c>
      <c r="I167" s="279">
        <f t="shared" si="88"/>
        <v>7</v>
      </c>
      <c r="J167" s="279">
        <f t="shared" si="88"/>
        <v>8</v>
      </c>
      <c r="K167" s="279">
        <f t="shared" si="88"/>
        <v>9</v>
      </c>
      <c r="L167" s="279">
        <f t="shared" ref="L167:M167" si="89">K167+1</f>
        <v>10</v>
      </c>
      <c r="M167" s="279">
        <f t="shared" si="89"/>
        <v>11</v>
      </c>
      <c r="O167" s="42">
        <f t="shared" si="76"/>
        <v>1</v>
      </c>
      <c r="P167" s="24">
        <v>1</v>
      </c>
    </row>
    <row r="168" spans="1:98">
      <c r="F168" s="278"/>
    </row>
    <row r="169" spans="1:98" hidden="1">
      <c r="F169" s="278"/>
    </row>
    <row r="170" spans="1:98" hidden="1">
      <c r="F170" s="278"/>
    </row>
    <row r="176" spans="1:98"/>
    <row r="352"/>
    <row r="358"/>
    <row r="359"/>
    <row r="360"/>
    <row r="361"/>
    <row r="362"/>
  </sheetData>
  <conditionalFormatting sqref="G40:G43 G62">
    <cfRule type="cellIs" dxfId="10" priority="26" stopIfTrue="1" operator="equal">
      <formula>#REF!</formula>
    </cfRule>
  </conditionalFormatting>
  <conditionalFormatting sqref="G46:G50">
    <cfRule type="cellIs" dxfId="9" priority="2" stopIfTrue="1" operator="equal">
      <formula>#REF!</formula>
    </cfRule>
  </conditionalFormatting>
  <conditionalFormatting sqref="G7:H7">
    <cfRule type="cellIs" dxfId="8" priority="12" stopIfTrue="1" operator="equal">
      <formula>#REF!</formula>
    </cfRule>
  </conditionalFormatting>
  <conditionalFormatting sqref="G30:H30">
    <cfRule type="cellIs" dxfId="7" priority="5" stopIfTrue="1" operator="equal">
      <formula>#REF!</formula>
    </cfRule>
  </conditionalFormatting>
  <conditionalFormatting sqref="G44:H44">
    <cfRule type="cellIs" dxfId="6" priority="3" stopIfTrue="1" operator="equal">
      <formula>#REF!</formula>
    </cfRule>
  </conditionalFormatting>
  <conditionalFormatting sqref="G64:H64">
    <cfRule type="cellIs" dxfId="5" priority="24" stopIfTrue="1" operator="equal">
      <formula>#REF!</formula>
    </cfRule>
  </conditionalFormatting>
  <conditionalFormatting sqref="G93:H93">
    <cfRule type="cellIs" dxfId="4" priority="16" stopIfTrue="1" operator="equal">
      <formula>#REF!</formula>
    </cfRule>
  </conditionalFormatting>
  <conditionalFormatting sqref="G114:H114">
    <cfRule type="cellIs" dxfId="3" priority="18" stopIfTrue="1" operator="equal">
      <formula>#REF!</formula>
    </cfRule>
  </conditionalFormatting>
  <conditionalFormatting sqref="G143:H143">
    <cfRule type="cellIs" dxfId="2" priority="21" stopIfTrue="1" operator="equal">
      <formula>#REF!</formula>
    </cfRule>
  </conditionalFormatting>
  <conditionalFormatting sqref="O1:P1">
    <cfRule type="cellIs" dxfId="1" priority="1" operator="equal">
      <formula>"Check"</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9">
    <tabColor theme="3" tint="-0.499984740745262"/>
    <pageSetUpPr fitToPage="1"/>
  </sheetPr>
  <dimension ref="A1:XFD190"/>
  <sheetViews>
    <sheetView showGridLines="0" zoomScaleNormal="100" workbookViewId="0"/>
  </sheetViews>
  <sheetFormatPr baseColWidth="10" defaultColWidth="0" defaultRowHeight="10.5" customHeight="1" zeroHeight="1"/>
  <cols>
    <col min="1" max="1" width="2.5" style="73" customWidth="1"/>
    <col min="2" max="2" width="22.5" style="73" customWidth="1"/>
    <col min="3" max="3" width="9.83203125" style="73" customWidth="1"/>
    <col min="4" max="4" width="68" style="73" customWidth="1"/>
    <col min="5" max="5" width="2.5" style="73" customWidth="1"/>
    <col min="6" max="14" width="10.5" style="73" hidden="1" customWidth="1"/>
    <col min="15" max="15" width="9.5" style="73" hidden="1" customWidth="1"/>
    <col min="16" max="16" width="10" style="73" hidden="1" customWidth="1"/>
    <col min="17" max="17" width="9.1640625" style="73" hidden="1" customWidth="1"/>
    <col min="18" max="16384" width="0" style="73" hidden="1"/>
  </cols>
  <sheetData>
    <row r="1" spans="1:97" s="26" customFormat="1" ht="13">
      <c r="A1" s="36"/>
      <c r="B1" s="36" t="str">
        <f>'DCF - Assumptions'!$F$8&amp;" | LBO Model - Assumptions Summary"</f>
        <v>Diageo PLC | LBO Model - Assumptions Summary</v>
      </c>
      <c r="C1" s="232"/>
      <c r="D1" s="232"/>
      <c r="E1" s="232"/>
      <c r="F1" s="232"/>
      <c r="G1" s="232"/>
      <c r="H1" s="232"/>
      <c r="I1" s="232"/>
      <c r="J1" s="232"/>
      <c r="L1" s="232"/>
      <c r="M1" s="232"/>
      <c r="N1" s="232"/>
      <c r="O1" s="232"/>
      <c r="Q1" s="34" t="str">
        <f>IF(S5=S7,"OK","Check")</f>
        <v>OK</v>
      </c>
      <c r="R1" s="34" t="str">
        <f>IF(T5=T7,"OK","Check")</f>
        <v>OK</v>
      </c>
    </row>
    <row r="2" spans="1:97" s="3" customFormat="1" ht="2.25" customHeight="1">
      <c r="A2" s="117"/>
      <c r="P2" s="2"/>
      <c r="Q2" s="386"/>
      <c r="R2" s="386"/>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row>
    <row r="3" spans="1:97" s="28" customFormat="1" ht="3" customHeight="1">
      <c r="A3" s="29"/>
      <c r="P3" s="26"/>
      <c r="Q3" s="27"/>
      <c r="R3" s="27"/>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row>
    <row r="4" spans="1:97" s="166" customFormat="1" ht="11.25" customHeight="1">
      <c r="A4" s="117"/>
      <c r="B4" s="2"/>
      <c r="C4" s="2"/>
      <c r="D4" s="2"/>
      <c r="E4" s="2"/>
      <c r="F4" s="2"/>
      <c r="G4" s="2"/>
      <c r="H4" s="2"/>
      <c r="I4" s="2"/>
      <c r="J4" s="2"/>
      <c r="K4" s="2"/>
      <c r="L4" s="2"/>
      <c r="M4" s="2"/>
      <c r="N4" s="2"/>
      <c r="O4" s="2"/>
    </row>
    <row r="5" spans="1:97" ht="3" customHeight="1">
      <c r="A5" s="208"/>
      <c r="B5" s="3"/>
      <c r="C5" s="3"/>
      <c r="D5" s="3"/>
      <c r="E5" s="3"/>
      <c r="F5" s="3"/>
      <c r="G5" s="3"/>
      <c r="H5" s="3"/>
      <c r="I5" s="3"/>
      <c r="J5" s="3"/>
      <c r="K5" s="3"/>
      <c r="L5" s="3"/>
      <c r="M5" s="3"/>
      <c r="N5" s="3"/>
      <c r="O5" s="3"/>
    </row>
    <row r="6" spans="1:97" ht="15">
      <c r="A6"/>
      <c r="B6" s="926" t="s">
        <v>782</v>
      </c>
      <c r="C6" s="927"/>
      <c r="D6" s="927"/>
      <c r="E6" s="211"/>
      <c r="F6" s="211"/>
      <c r="G6" s="211"/>
      <c r="H6" s="211"/>
      <c r="I6" s="211"/>
      <c r="J6" s="211"/>
      <c r="K6" s="211"/>
      <c r="L6" s="211"/>
      <c r="M6" s="211"/>
      <c r="N6" s="211"/>
      <c r="O6" s="211"/>
    </row>
    <row r="7" spans="1:97" ht="15">
      <c r="A7"/>
      <c r="B7" s="475" t="s">
        <v>783</v>
      </c>
      <c r="C7" s="476" t="s">
        <v>784</v>
      </c>
      <c r="D7" s="477" t="s">
        <v>785</v>
      </c>
      <c r="E7" s="211"/>
      <c r="F7" s="211"/>
      <c r="G7" s="211"/>
      <c r="H7" s="211"/>
      <c r="I7" s="211"/>
      <c r="J7" s="211"/>
      <c r="K7" s="211"/>
      <c r="L7" s="211"/>
      <c r="M7" s="211"/>
      <c r="N7" s="211"/>
      <c r="O7" s="211"/>
    </row>
    <row r="8" spans="1:97" ht="23.5" customHeight="1">
      <c r="A8" s="384"/>
      <c r="B8" s="410" t="s">
        <v>583</v>
      </c>
      <c r="C8" s="471">
        <f ca="1">'LBO - Outputs'!J43</f>
        <v>0</v>
      </c>
      <c r="D8" s="411"/>
      <c r="E8" s="231"/>
      <c r="F8" s="231"/>
      <c r="G8" s="3"/>
      <c r="H8" s="266"/>
      <c r="I8" s="231"/>
      <c r="J8" s="231"/>
      <c r="K8" s="231"/>
      <c r="L8" s="231"/>
      <c r="M8" s="231"/>
      <c r="N8" s="231"/>
      <c r="O8" s="231"/>
    </row>
    <row r="9" spans="1:97" ht="23.5" customHeight="1">
      <c r="A9" s="384"/>
      <c r="B9" s="412" t="s">
        <v>786</v>
      </c>
      <c r="C9" s="472" t="str">
        <f ca="1">TEXT('LBO - Assumptions'!G75,"0.0%")&amp;" / "&amp;TEXT('LBO - Assumptions'!G76,"0.0%")</f>
        <v>0.0% / 0.0%</v>
      </c>
      <c r="D9" s="413"/>
      <c r="E9" s="6"/>
      <c r="F9" s="146"/>
      <c r="G9" s="3"/>
      <c r="H9" s="3"/>
      <c r="I9" s="3"/>
      <c r="J9" s="3"/>
      <c r="K9" s="3"/>
      <c r="L9" s="3"/>
      <c r="M9" s="6"/>
      <c r="N9" s="3"/>
      <c r="O9" s="3"/>
    </row>
    <row r="10" spans="1:97" ht="23.5" customHeight="1">
      <c r="A10" s="384"/>
      <c r="B10" s="412" t="s">
        <v>787</v>
      </c>
      <c r="C10" s="472">
        <f ca="1">'LBO - Assumptions'!E33</f>
        <v>0</v>
      </c>
      <c r="D10" s="413"/>
      <c r="E10" s="6"/>
      <c r="F10" s="146"/>
      <c r="G10" s="3"/>
      <c r="H10" s="3"/>
      <c r="I10" s="3"/>
      <c r="J10" s="3"/>
      <c r="K10" s="3"/>
      <c r="L10" s="3"/>
      <c r="M10" s="6"/>
      <c r="N10" s="3"/>
      <c r="O10" s="3"/>
    </row>
    <row r="11" spans="1:97" ht="23.5" customHeight="1">
      <c r="A11" s="384"/>
      <c r="B11" s="414" t="s">
        <v>788</v>
      </c>
      <c r="C11" s="473">
        <f ca="1">'LBO - Assumptions'!G115</f>
        <v>0</v>
      </c>
      <c r="D11" s="415"/>
      <c r="E11" s="6"/>
      <c r="F11" s="146"/>
      <c r="G11" s="3"/>
      <c r="H11" s="3"/>
      <c r="I11" s="3"/>
      <c r="J11" s="3"/>
      <c r="K11" s="3"/>
      <c r="L11" s="3"/>
      <c r="M11" s="6"/>
      <c r="N11" s="3"/>
      <c r="O11" s="3"/>
    </row>
    <row r="12" spans="1:97" ht="23.5" customHeight="1">
      <c r="A12" s="384"/>
      <c r="B12" s="412" t="s">
        <v>789</v>
      </c>
      <c r="C12" s="472">
        <f ca="1">IFERROR('LBO - Financials'!F72,0)</f>
        <v>0</v>
      </c>
      <c r="D12" s="413"/>
      <c r="E12" s="6"/>
      <c r="F12" s="146"/>
      <c r="G12" s="3"/>
      <c r="H12" s="3"/>
      <c r="I12" s="3"/>
      <c r="J12" s="3"/>
      <c r="K12" s="3"/>
      <c r="L12" s="3"/>
      <c r="M12" s="6"/>
      <c r="N12" s="3"/>
      <c r="O12" s="3"/>
    </row>
    <row r="13" spans="1:97" ht="23.5" customHeight="1">
      <c r="A13" s="384"/>
      <c r="B13" s="416" t="s">
        <v>790</v>
      </c>
      <c r="C13" s="474">
        <f ca="1">'LBO - Financials'!F82</f>
        <v>0</v>
      </c>
      <c r="D13" s="417"/>
      <c r="E13" s="231"/>
      <c r="F13" s="231"/>
      <c r="G13" s="3"/>
      <c r="H13" s="266"/>
      <c r="I13" s="231"/>
      <c r="J13" s="231"/>
      <c r="K13" s="231"/>
      <c r="L13" s="231"/>
      <c r="M13" s="231"/>
      <c r="N13" s="231"/>
      <c r="O13" s="231"/>
    </row>
    <row r="14" spans="1:97" ht="13">
      <c r="A14" s="384"/>
      <c r="B14" s="379"/>
      <c r="C14" s="383"/>
      <c r="D14" s="374"/>
      <c r="E14" s="6"/>
      <c r="F14" s="146"/>
      <c r="G14" s="3"/>
      <c r="H14" s="1"/>
      <c r="I14" s="3"/>
      <c r="J14" s="3"/>
      <c r="K14" s="3"/>
      <c r="L14" s="3"/>
      <c r="M14" s="385"/>
      <c r="N14" s="178"/>
      <c r="O14" s="146"/>
    </row>
    <row r="15" spans="1:97" ht="13" hidden="1">
      <c r="A15" s="384"/>
      <c r="B15" s="379"/>
      <c r="C15" s="383"/>
      <c r="D15" s="374"/>
      <c r="E15" s="6"/>
      <c r="F15" s="146"/>
      <c r="G15" s="3"/>
      <c r="H15" s="3"/>
      <c r="I15" s="3"/>
      <c r="J15" s="3"/>
      <c r="K15" s="3"/>
      <c r="L15" s="3"/>
      <c r="M15" s="6"/>
      <c r="N15" s="178"/>
      <c r="O15" s="146"/>
    </row>
    <row r="16" spans="1:97" ht="13" hidden="1">
      <c r="A16" s="384"/>
      <c r="B16" s="379"/>
      <c r="C16" s="383"/>
      <c r="D16" s="374"/>
      <c r="E16" s="22"/>
      <c r="F16" s="246"/>
      <c r="G16" s="3"/>
      <c r="H16" s="23"/>
      <c r="I16" s="23"/>
      <c r="J16" s="23"/>
      <c r="K16" s="23"/>
      <c r="L16" s="23"/>
      <c r="M16" s="22"/>
      <c r="N16" s="246"/>
      <c r="O16" s="146"/>
    </row>
    <row r="17" spans="1:24" ht="15" hidden="1">
      <c r="A17"/>
      <c r="B17" s="381"/>
      <c r="C17" s="381"/>
      <c r="D17" s="374"/>
      <c r="E17" s="3"/>
      <c r="F17" s="3"/>
      <c r="G17" s="3"/>
      <c r="H17" s="3"/>
      <c r="I17" s="3"/>
      <c r="J17" s="3"/>
      <c r="K17" s="3"/>
      <c r="L17" s="3"/>
      <c r="M17" s="6"/>
      <c r="N17" s="146"/>
      <c r="O17" s="146"/>
    </row>
    <row r="18" spans="1:24" ht="15" hidden="1">
      <c r="A18"/>
      <c r="B18" s="382"/>
      <c r="C18" s="382"/>
      <c r="D18" s="382"/>
      <c r="E18" s="266"/>
      <c r="F18" s="266"/>
      <c r="G18" s="266"/>
      <c r="H18" s="266"/>
      <c r="I18" s="266"/>
      <c r="J18" s="266"/>
      <c r="K18" s="266"/>
      <c r="L18" s="266"/>
      <c r="M18" s="266"/>
      <c r="N18" s="266"/>
      <c r="O18" s="266"/>
    </row>
    <row r="19" spans="1:24" ht="15" hidden="1">
      <c r="A19"/>
      <c r="B19" s="381"/>
      <c r="C19" s="374"/>
      <c r="D19" s="374"/>
      <c r="E19" s="3"/>
      <c r="F19" s="3"/>
      <c r="G19" s="3"/>
      <c r="H19" s="3"/>
      <c r="I19" s="6"/>
      <c r="J19" s="6"/>
      <c r="K19" s="6"/>
      <c r="L19" s="6"/>
      <c r="M19" s="6"/>
      <c r="N19" s="6"/>
      <c r="O19" s="6"/>
    </row>
    <row r="20" spans="1:24" ht="15" hidden="1">
      <c r="A20"/>
      <c r="B20" s="379"/>
      <c r="C20" s="380"/>
      <c r="D20" s="374"/>
      <c r="E20" s="3"/>
      <c r="F20" s="3"/>
      <c r="G20" s="3"/>
      <c r="H20" s="3"/>
      <c r="I20" s="6"/>
      <c r="J20" s="6"/>
      <c r="K20" s="6"/>
      <c r="L20" s="6"/>
      <c r="M20" s="6"/>
      <c r="N20" s="6"/>
      <c r="O20" s="6"/>
    </row>
    <row r="21" spans="1:24" ht="15" hidden="1">
      <c r="A21"/>
      <c r="B21" s="379"/>
      <c r="C21" s="377"/>
      <c r="D21" s="374"/>
      <c r="E21" s="3"/>
      <c r="F21" s="3"/>
      <c r="G21" s="3"/>
      <c r="H21" s="3"/>
      <c r="I21" s="6"/>
      <c r="J21" s="6"/>
      <c r="K21" s="6"/>
      <c r="L21" s="6"/>
      <c r="M21" s="6"/>
      <c r="N21" s="6"/>
      <c r="O21" s="6"/>
    </row>
    <row r="22" spans="1:24" ht="15" hidden="1">
      <c r="A22"/>
      <c r="B22" s="379"/>
      <c r="C22" s="378"/>
      <c r="D22" s="374"/>
      <c r="E22" s="3"/>
      <c r="F22" s="3"/>
      <c r="G22" s="3"/>
      <c r="H22" s="3"/>
      <c r="I22" s="6"/>
      <c r="J22" s="6"/>
      <c r="K22" s="6"/>
      <c r="L22" s="6"/>
      <c r="M22" s="6"/>
      <c r="N22" s="6"/>
      <c r="O22" s="6"/>
    </row>
    <row r="23" spans="1:24" ht="15" hidden="1">
      <c r="A23"/>
      <c r="B23" s="376"/>
      <c r="C23" s="377"/>
      <c r="D23" s="374"/>
      <c r="E23" s="23"/>
      <c r="F23" s="23"/>
      <c r="G23" s="23"/>
      <c r="H23" s="23"/>
      <c r="I23" s="22"/>
      <c r="J23" s="22"/>
      <c r="K23" s="22"/>
      <c r="L23" s="22"/>
      <c r="M23" s="22"/>
      <c r="N23" s="22"/>
      <c r="O23" s="22"/>
    </row>
    <row r="24" spans="1:24" ht="13.5" hidden="1" customHeight="1">
      <c r="A24"/>
      <c r="B24" s="376"/>
      <c r="C24" s="375"/>
      <c r="D24" s="374"/>
      <c r="E24" s="23"/>
      <c r="F24" s="23"/>
      <c r="G24" s="23"/>
      <c r="H24" s="23"/>
      <c r="I24" s="22"/>
      <c r="J24" s="22"/>
      <c r="K24" s="22"/>
      <c r="L24" s="22"/>
      <c r="M24" s="22"/>
      <c r="N24" s="22"/>
      <c r="O24" s="22"/>
    </row>
    <row r="25" spans="1:24" ht="15" hidden="1">
      <c r="A25"/>
      <c r="B25"/>
      <c r="C25"/>
      <c r="D25"/>
      <c r="E25" s="1"/>
      <c r="F25" s="23"/>
      <c r="G25" s="23"/>
      <c r="H25" s="23"/>
      <c r="I25" s="22"/>
      <c r="J25" s="223"/>
      <c r="K25" s="223"/>
      <c r="L25" s="223"/>
      <c r="M25" s="223"/>
      <c r="N25" s="223"/>
      <c r="O25" s="223"/>
    </row>
    <row r="26" spans="1:24" ht="15" hidden="1">
      <c r="A26"/>
      <c r="B26"/>
      <c r="C26"/>
      <c r="D26"/>
      <c r="E26" s="1"/>
      <c r="F26" s="23"/>
      <c r="G26" s="23"/>
      <c r="H26" s="23"/>
      <c r="I26" s="22"/>
      <c r="J26" s="223"/>
      <c r="K26" s="223"/>
      <c r="L26" s="223"/>
      <c r="M26" s="223"/>
      <c r="N26" s="223"/>
      <c r="O26" s="223"/>
    </row>
    <row r="27" spans="1:24" ht="11" hidden="1">
      <c r="A27" s="208"/>
      <c r="B27" s="1"/>
      <c r="C27" s="23"/>
      <c r="D27" s="23"/>
      <c r="E27" s="1"/>
      <c r="F27" s="23"/>
      <c r="G27" s="23"/>
      <c r="H27" s="23"/>
      <c r="I27" s="223"/>
      <c r="J27" s="223"/>
      <c r="K27" s="223"/>
      <c r="L27" s="223"/>
      <c r="M27" s="223"/>
      <c r="N27" s="223"/>
      <c r="O27" s="223"/>
    </row>
    <row r="28" spans="1:24" ht="11" hidden="1">
      <c r="A28" s="208"/>
      <c r="B28" s="1"/>
      <c r="C28" s="23"/>
      <c r="D28" s="23"/>
      <c r="E28" s="1"/>
      <c r="F28" s="23"/>
      <c r="G28" s="23"/>
      <c r="H28" s="23"/>
      <c r="I28" s="223"/>
      <c r="J28" s="223"/>
      <c r="K28" s="223"/>
      <c r="L28" s="223"/>
      <c r="M28" s="223"/>
      <c r="N28" s="223"/>
      <c r="O28" s="223"/>
    </row>
    <row r="29" spans="1:24" ht="11" hidden="1">
      <c r="A29" s="208"/>
      <c r="B29" s="23"/>
      <c r="C29" s="23"/>
      <c r="D29" s="23"/>
      <c r="E29" s="23"/>
      <c r="F29" s="23"/>
      <c r="G29" s="23"/>
      <c r="H29" s="23"/>
      <c r="I29" s="22"/>
      <c r="J29" s="222"/>
      <c r="K29" s="222"/>
      <c r="L29" s="222"/>
      <c r="M29" s="222"/>
      <c r="N29" s="222"/>
      <c r="O29" s="222"/>
    </row>
    <row r="30" spans="1:24" ht="11.25" hidden="1" customHeight="1">
      <c r="A30" s="208"/>
      <c r="B30" s="266"/>
      <c r="C30" s="266"/>
      <c r="D30" s="266"/>
      <c r="E30" s="266"/>
      <c r="F30" s="266"/>
      <c r="G30" s="266"/>
      <c r="H30" s="266"/>
      <c r="I30" s="266"/>
      <c r="J30" s="266"/>
      <c r="K30" s="266"/>
      <c r="L30" s="266"/>
      <c r="M30" s="266"/>
      <c r="N30" s="266"/>
      <c r="O30" s="266"/>
    </row>
    <row r="31" spans="1:24" ht="11.25" hidden="1" customHeight="1">
      <c r="A31" s="208"/>
      <c r="B31" s="3"/>
      <c r="C31" s="23"/>
      <c r="D31" s="23"/>
      <c r="E31" s="23"/>
      <c r="F31" s="23"/>
      <c r="G31" s="23"/>
      <c r="H31" s="3"/>
      <c r="I31" s="6"/>
      <c r="J31" s="6"/>
      <c r="K31" s="6"/>
      <c r="L31" s="6"/>
      <c r="M31" s="6"/>
      <c r="N31" s="6"/>
      <c r="O31" s="22"/>
      <c r="Q31"/>
      <c r="R31"/>
      <c r="S31"/>
      <c r="T31"/>
      <c r="U31"/>
      <c r="V31"/>
      <c r="W31"/>
      <c r="X31"/>
    </row>
    <row r="32" spans="1:24" ht="11.25" hidden="1" customHeight="1">
      <c r="A32" s="208"/>
      <c r="B32" s="3"/>
      <c r="C32" s="23"/>
      <c r="D32" s="23"/>
      <c r="E32" s="23"/>
      <c r="F32" s="23"/>
      <c r="G32" s="23"/>
      <c r="H32" s="3"/>
      <c r="I32" s="6"/>
      <c r="J32" s="6"/>
      <c r="K32" s="6"/>
      <c r="L32" s="6"/>
      <c r="M32" s="6"/>
      <c r="N32" s="6"/>
      <c r="O32" s="6"/>
      <c r="Q32"/>
      <c r="R32"/>
      <c r="S32"/>
      <c r="T32"/>
      <c r="U32"/>
      <c r="V32"/>
      <c r="W32"/>
      <c r="X32"/>
    </row>
    <row r="33" spans="1:24" ht="11.25" hidden="1" customHeight="1">
      <c r="A33" s="208"/>
      <c r="B33" s="3"/>
      <c r="C33" s="3"/>
      <c r="D33" s="3"/>
      <c r="E33" s="3"/>
      <c r="F33" s="3"/>
      <c r="G33" s="3"/>
      <c r="H33" s="3"/>
      <c r="I33" s="6"/>
      <c r="J33" s="6"/>
      <c r="K33" s="6"/>
      <c r="L33" s="6"/>
      <c r="M33" s="6"/>
      <c r="N33" s="6"/>
      <c r="O33" s="6"/>
      <c r="Q33"/>
      <c r="R33"/>
      <c r="S33"/>
      <c r="T33"/>
      <c r="U33"/>
      <c r="V33"/>
      <c r="W33"/>
      <c r="X33"/>
    </row>
    <row r="34" spans="1:24" ht="11.25" hidden="1" customHeight="1">
      <c r="A34" s="208"/>
      <c r="B34" s="3"/>
      <c r="C34" s="3"/>
      <c r="D34" s="3"/>
      <c r="E34" s="3"/>
      <c r="F34" s="3"/>
      <c r="G34" s="3"/>
      <c r="H34" s="3"/>
      <c r="I34" s="6"/>
      <c r="J34" s="6"/>
      <c r="K34" s="6"/>
      <c r="L34" s="6"/>
      <c r="M34" s="6"/>
      <c r="N34" s="6"/>
      <c r="O34" s="6"/>
      <c r="Q34"/>
      <c r="R34"/>
      <c r="S34"/>
      <c r="T34"/>
      <c r="U34"/>
      <c r="V34"/>
      <c r="W34"/>
      <c r="X34"/>
    </row>
    <row r="35" spans="1:24" ht="11.25" hidden="1" customHeight="1">
      <c r="A35" s="208"/>
      <c r="B35" s="3"/>
      <c r="C35" s="3"/>
      <c r="D35" s="3"/>
      <c r="E35" s="3"/>
      <c r="F35" s="3"/>
      <c r="G35" s="3"/>
      <c r="H35" s="3"/>
      <c r="I35" s="6"/>
      <c r="J35" s="6"/>
      <c r="K35" s="6"/>
      <c r="L35" s="6"/>
      <c r="M35" s="6"/>
      <c r="N35" s="6"/>
      <c r="O35" s="6"/>
      <c r="Q35"/>
      <c r="R35"/>
      <c r="S35"/>
      <c r="T35"/>
      <c r="U35"/>
      <c r="V35"/>
      <c r="W35"/>
      <c r="X35"/>
    </row>
    <row r="36" spans="1:24" ht="11.25" hidden="1" customHeight="1" collapsed="1">
      <c r="A36" s="208"/>
      <c r="B36" s="23"/>
      <c r="C36" s="221"/>
      <c r="D36" s="221"/>
      <c r="E36" s="221"/>
      <c r="F36" s="23"/>
      <c r="G36" s="23"/>
      <c r="H36" s="220"/>
      <c r="I36" s="22"/>
      <c r="J36" s="22"/>
      <c r="K36" s="22"/>
      <c r="L36" s="22"/>
      <c r="M36" s="22"/>
      <c r="N36" s="22"/>
      <c r="O36" s="22"/>
      <c r="Q36"/>
      <c r="R36"/>
      <c r="S36"/>
      <c r="T36"/>
      <c r="U36"/>
      <c r="V36"/>
      <c r="W36"/>
      <c r="X36"/>
    </row>
    <row r="37" spans="1:24" s="3" customFormat="1" ht="11.25" hidden="1" customHeight="1">
      <c r="A37" s="37"/>
      <c r="B37" s="23"/>
      <c r="C37" s="221"/>
      <c r="D37" s="221"/>
      <c r="E37" s="221"/>
      <c r="F37" s="23"/>
      <c r="G37" s="23"/>
      <c r="H37" s="220"/>
      <c r="I37" s="22"/>
      <c r="J37" s="22"/>
      <c r="K37" s="22"/>
      <c r="L37" s="22"/>
      <c r="M37" s="22"/>
      <c r="N37" s="22"/>
      <c r="O37" s="22"/>
      <c r="Q37"/>
      <c r="R37"/>
      <c r="S37"/>
      <c r="T37"/>
      <c r="U37"/>
      <c r="V37"/>
      <c r="W37"/>
      <c r="X37"/>
    </row>
    <row r="38" spans="1:24" ht="11.25" hidden="1" customHeight="1">
      <c r="A38" s="208"/>
      <c r="B38" s="212"/>
      <c r="C38" s="211"/>
      <c r="D38" s="211"/>
      <c r="E38" s="211"/>
      <c r="F38" s="211"/>
      <c r="G38" s="211"/>
      <c r="H38" s="211"/>
      <c r="I38" s="211"/>
      <c r="J38" s="211"/>
      <c r="K38" s="211"/>
      <c r="L38" s="211"/>
      <c r="M38" s="211"/>
      <c r="N38" s="211"/>
      <c r="O38" s="3"/>
      <c r="Q38"/>
      <c r="R38"/>
      <c r="S38"/>
      <c r="T38"/>
      <c r="U38"/>
      <c r="V38"/>
      <c r="W38"/>
      <c r="X38"/>
    </row>
    <row r="39" spans="1:24" ht="11.25" hidden="1" customHeight="1">
      <c r="A39" s="208"/>
      <c r="B39" s="23"/>
      <c r="C39" s="23"/>
      <c r="D39" s="23"/>
      <c r="E39" s="23"/>
      <c r="F39" s="23"/>
      <c r="G39" s="23"/>
      <c r="H39" s="22"/>
      <c r="I39" s="22"/>
      <c r="J39" s="22"/>
      <c r="K39" s="22"/>
      <c r="L39" s="22"/>
      <c r="M39" s="22"/>
      <c r="N39" s="22"/>
      <c r="O39" s="3"/>
      <c r="Q39"/>
      <c r="R39"/>
      <c r="S39"/>
      <c r="T39"/>
      <c r="U39"/>
      <c r="V39"/>
      <c r="W39"/>
      <c r="X39"/>
    </row>
    <row r="40" spans="1:24" s="2" customFormat="1" ht="16.5" hidden="1" customHeight="1">
      <c r="B40" s="19"/>
      <c r="C40" s="19"/>
      <c r="D40" s="19"/>
      <c r="E40" s="19"/>
      <c r="F40" s="19"/>
      <c r="G40" s="19"/>
      <c r="H40" s="19"/>
      <c r="I40" s="19"/>
      <c r="J40" s="21"/>
      <c r="K40" s="21"/>
      <c r="L40" s="21"/>
      <c r="M40" s="21"/>
      <c r="N40" s="21"/>
      <c r="Q40"/>
      <c r="R40"/>
      <c r="S40"/>
      <c r="T40"/>
      <c r="U40"/>
      <c r="V40"/>
      <c r="W40"/>
      <c r="X40"/>
    </row>
    <row r="41" spans="1:24" s="2" customFormat="1" ht="16.5" hidden="1" customHeight="1">
      <c r="B41" s="266"/>
      <c r="C41" s="231"/>
      <c r="D41" s="231"/>
      <c r="E41" s="231"/>
      <c r="F41" s="231"/>
      <c r="G41" s="231"/>
      <c r="H41" s="231"/>
      <c r="I41" s="362"/>
      <c r="J41" s="362"/>
      <c r="K41" s="362"/>
      <c r="L41" s="362"/>
      <c r="M41" s="362"/>
      <c r="N41" s="362"/>
      <c r="Q41"/>
      <c r="R41"/>
      <c r="S41"/>
      <c r="T41"/>
      <c r="U41"/>
      <c r="V41"/>
      <c r="W41"/>
      <c r="X41"/>
    </row>
    <row r="42" spans="1:24" s="2" customFormat="1" ht="16.5" hidden="1" customHeight="1">
      <c r="B42" s="3"/>
      <c r="C42" s="3"/>
      <c r="D42" s="3"/>
      <c r="E42" s="6"/>
      <c r="F42" s="6"/>
      <c r="G42" s="6"/>
      <c r="H42" s="6"/>
      <c r="I42" s="6"/>
      <c r="J42" s="6"/>
      <c r="K42" s="6"/>
      <c r="L42" s="6"/>
      <c r="M42" s="6"/>
      <c r="N42" s="6"/>
      <c r="Q42"/>
      <c r="R42"/>
      <c r="S42"/>
      <c r="T42"/>
      <c r="U42"/>
      <c r="V42"/>
      <c r="W42"/>
      <c r="X42"/>
    </row>
    <row r="43" spans="1:24" s="2" customFormat="1" ht="16.5" hidden="1" customHeight="1">
      <c r="B43" s="3"/>
      <c r="C43" s="3"/>
      <c r="D43" s="3"/>
      <c r="E43" s="6"/>
      <c r="F43" s="6"/>
      <c r="G43" s="6"/>
      <c r="H43" s="6"/>
      <c r="I43" s="6"/>
      <c r="J43" s="6"/>
      <c r="K43" s="6"/>
      <c r="L43" s="6"/>
      <c r="M43" s="6"/>
      <c r="N43" s="6"/>
    </row>
    <row r="44" spans="1:24" s="2" customFormat="1" ht="16.5" hidden="1" customHeight="1">
      <c r="B44" s="23"/>
      <c r="C44" s="23"/>
      <c r="D44" s="23"/>
      <c r="E44" s="22"/>
      <c r="F44" s="22"/>
      <c r="G44" s="22"/>
      <c r="H44" s="22"/>
      <c r="I44" s="22"/>
      <c r="J44" s="22"/>
      <c r="K44" s="22"/>
      <c r="L44" s="22"/>
      <c r="M44" s="22"/>
      <c r="N44" s="22"/>
    </row>
    <row r="45" spans="1:24" s="2" customFormat="1" ht="16.5" hidden="1" customHeight="1">
      <c r="B45" s="1"/>
      <c r="C45" s="373"/>
      <c r="D45" s="373"/>
      <c r="E45" s="372"/>
      <c r="F45" s="372"/>
      <c r="G45" s="372"/>
      <c r="H45" s="372"/>
      <c r="I45" s="372"/>
      <c r="J45" s="372"/>
      <c r="K45" s="372"/>
      <c r="L45" s="372"/>
      <c r="M45" s="372"/>
      <c r="N45" s="372"/>
    </row>
    <row r="46" spans="1:24" s="2" customFormat="1" ht="16.5" hidden="1" customHeight="1">
      <c r="B46" s="3"/>
      <c r="C46" s="3"/>
      <c r="D46" s="3"/>
      <c r="E46" s="6"/>
      <c r="F46" s="6"/>
      <c r="G46" s="6"/>
      <c r="H46" s="6"/>
      <c r="I46" s="6"/>
      <c r="J46" s="6"/>
      <c r="K46" s="6"/>
      <c r="L46" s="6"/>
      <c r="M46" s="6"/>
      <c r="N46" s="6"/>
    </row>
    <row r="47" spans="1:24" s="2" customFormat="1" ht="16.5" hidden="1" customHeight="1">
      <c r="B47" s="3"/>
      <c r="C47" s="3"/>
      <c r="D47" s="3"/>
      <c r="E47" s="6"/>
      <c r="F47" s="6"/>
      <c r="G47" s="6"/>
      <c r="H47" s="6"/>
      <c r="I47" s="6"/>
      <c r="J47" s="6"/>
      <c r="K47" s="6"/>
      <c r="L47" s="6"/>
      <c r="M47" s="6"/>
      <c r="N47" s="6"/>
    </row>
    <row r="48" spans="1:24" s="2" customFormat="1" ht="16.5" hidden="1" customHeight="1">
      <c r="B48" s="3"/>
      <c r="C48" s="3"/>
      <c r="D48" s="3"/>
      <c r="E48" s="6"/>
      <c r="F48" s="6"/>
      <c r="G48" s="6"/>
      <c r="H48" s="6"/>
      <c r="I48" s="6"/>
      <c r="J48" s="6"/>
      <c r="K48" s="6"/>
      <c r="L48" s="6"/>
      <c r="M48" s="6"/>
      <c r="N48" s="6"/>
    </row>
    <row r="49" spans="2:14" s="2" customFormat="1" ht="16.5" hidden="1" customHeight="1">
      <c r="B49" s="23"/>
      <c r="C49" s="23"/>
      <c r="D49" s="23"/>
      <c r="E49" s="22"/>
      <c r="F49" s="22"/>
      <c r="G49" s="22"/>
      <c r="H49" s="22"/>
      <c r="I49" s="22"/>
      <c r="J49" s="22"/>
      <c r="K49" s="22"/>
      <c r="L49" s="22"/>
      <c r="M49" s="22"/>
      <c r="N49" s="22"/>
    </row>
    <row r="50" spans="2:14" s="2" customFormat="1" ht="16.5" hidden="1" customHeight="1">
      <c r="B50" s="3"/>
      <c r="C50" s="3"/>
      <c r="D50" s="3"/>
      <c r="E50" s="6"/>
      <c r="F50" s="6"/>
      <c r="G50" s="6"/>
      <c r="H50" s="6"/>
      <c r="I50" s="6"/>
      <c r="J50" s="6"/>
      <c r="K50" s="6"/>
      <c r="L50" s="6"/>
      <c r="M50" s="6"/>
      <c r="N50" s="6"/>
    </row>
    <row r="51" spans="2:14" s="2" customFormat="1" ht="16.5" hidden="1" customHeight="1">
      <c r="B51" s="23"/>
      <c r="C51" s="22"/>
      <c r="D51" s="22"/>
      <c r="E51" s="22"/>
      <c r="F51" s="22"/>
      <c r="G51" s="22"/>
      <c r="H51" s="22"/>
      <c r="I51" s="22"/>
      <c r="J51" s="22"/>
      <c r="K51" s="22"/>
      <c r="L51" s="22"/>
      <c r="M51" s="22"/>
      <c r="N51" s="22"/>
    </row>
    <row r="52" spans="2:14" s="2" customFormat="1" ht="16.5" hidden="1" customHeight="1">
      <c r="B52" s="1"/>
      <c r="C52" s="373"/>
      <c r="D52" s="373"/>
      <c r="E52" s="372"/>
      <c r="F52" s="372"/>
      <c r="G52" s="372"/>
      <c r="H52" s="372"/>
      <c r="I52" s="372"/>
      <c r="J52" s="372"/>
      <c r="K52" s="372"/>
      <c r="L52" s="372"/>
      <c r="M52" s="372"/>
      <c r="N52" s="372"/>
    </row>
    <row r="53" spans="2:14" s="2" customFormat="1" ht="16.5" hidden="1" customHeight="1">
      <c r="B53" s="1"/>
      <c r="C53" s="373"/>
      <c r="D53" s="373"/>
      <c r="E53" s="372"/>
      <c r="F53" s="372"/>
      <c r="G53" s="372"/>
      <c r="H53" s="372"/>
      <c r="I53" s="372"/>
      <c r="J53" s="372"/>
      <c r="K53" s="372"/>
      <c r="L53" s="372"/>
      <c r="M53" s="372"/>
      <c r="N53" s="372"/>
    </row>
    <row r="54" spans="2:14" s="2" customFormat="1" ht="13" hidden="1">
      <c r="B54" s="1"/>
      <c r="C54" s="367"/>
      <c r="D54" s="367"/>
      <c r="E54" s="371"/>
      <c r="F54" s="371"/>
      <c r="G54" s="371"/>
      <c r="H54" s="371"/>
      <c r="I54" s="371"/>
      <c r="J54" s="371"/>
      <c r="K54" s="371"/>
      <c r="L54" s="371"/>
      <c r="M54" s="371"/>
      <c r="N54" s="371"/>
    </row>
    <row r="55" spans="2:14" s="2" customFormat="1" ht="13" hidden="1">
      <c r="B55" s="3"/>
      <c r="C55" s="3"/>
      <c r="D55" s="3"/>
      <c r="E55" s="6"/>
      <c r="F55" s="6"/>
      <c r="G55" s="6"/>
      <c r="H55" s="6"/>
      <c r="I55" s="6"/>
      <c r="J55" s="6"/>
      <c r="K55" s="6"/>
      <c r="L55" s="6"/>
      <c r="M55" s="6"/>
      <c r="N55" s="6"/>
    </row>
    <row r="56" spans="2:14" s="2" customFormat="1" ht="13" hidden="1">
      <c r="B56" s="3"/>
      <c r="C56" s="3"/>
      <c r="D56" s="3"/>
      <c r="E56" s="6"/>
      <c r="F56" s="6"/>
      <c r="G56" s="6"/>
      <c r="H56" s="6"/>
      <c r="I56" s="6"/>
      <c r="J56" s="6"/>
      <c r="K56" s="6"/>
      <c r="L56" s="6"/>
      <c r="M56" s="6"/>
      <c r="N56" s="6"/>
    </row>
    <row r="57" spans="2:14" s="2" customFormat="1" ht="13" hidden="1" collapsed="1">
      <c r="B57" s="3"/>
      <c r="C57" s="3"/>
      <c r="D57" s="3"/>
      <c r="E57" s="6"/>
      <c r="F57" s="6"/>
      <c r="G57" s="6"/>
      <c r="H57" s="6"/>
      <c r="I57" s="6"/>
      <c r="J57" s="6"/>
      <c r="K57" s="6"/>
      <c r="L57" s="6"/>
      <c r="M57" s="6"/>
      <c r="N57" s="6"/>
    </row>
    <row r="58" spans="2:14" s="2" customFormat="1" ht="11.25" hidden="1" customHeight="1">
      <c r="B58" s="3"/>
      <c r="C58" s="3"/>
      <c r="D58" s="3"/>
      <c r="E58" s="6"/>
      <c r="F58" s="6"/>
      <c r="G58" s="6"/>
      <c r="H58" s="6"/>
      <c r="I58" s="6"/>
      <c r="J58" s="6"/>
      <c r="K58" s="6"/>
      <c r="L58" s="6"/>
      <c r="M58" s="6"/>
      <c r="N58" s="6"/>
    </row>
    <row r="59" spans="2:14" s="2" customFormat="1" ht="11.25" hidden="1" customHeight="1">
      <c r="B59" s="1"/>
      <c r="C59" s="3"/>
      <c r="D59" s="3"/>
      <c r="E59" s="370"/>
      <c r="F59" s="370"/>
      <c r="G59" s="370"/>
      <c r="H59" s="370"/>
      <c r="I59" s="370"/>
      <c r="J59" s="370"/>
      <c r="K59" s="370"/>
      <c r="L59" s="370"/>
      <c r="M59" s="370"/>
      <c r="N59" s="370"/>
    </row>
    <row r="60" spans="2:14" s="2" customFormat="1" ht="4.5" hidden="1" customHeight="1">
      <c r="B60" s="3"/>
      <c r="C60" s="3"/>
      <c r="D60" s="3"/>
      <c r="E60" s="6"/>
      <c r="F60" s="6"/>
      <c r="G60" s="6"/>
      <c r="H60" s="6"/>
      <c r="I60" s="6"/>
      <c r="J60" s="6"/>
      <c r="K60" s="6"/>
      <c r="L60" s="6"/>
      <c r="M60" s="6"/>
      <c r="N60" s="6"/>
    </row>
    <row r="61" spans="2:14" s="2" customFormat="1" ht="11.25" hidden="1" customHeight="1">
      <c r="B61" s="3"/>
      <c r="C61" s="3"/>
      <c r="D61" s="3"/>
      <c r="E61" s="6"/>
      <c r="F61" s="6"/>
      <c r="G61" s="6"/>
      <c r="H61" s="6"/>
      <c r="I61" s="6"/>
      <c r="J61" s="6"/>
      <c r="K61" s="6"/>
      <c r="L61" s="6"/>
      <c r="M61" s="6"/>
      <c r="N61" s="6"/>
    </row>
    <row r="62" spans="2:14" s="2" customFormat="1" ht="11.25" hidden="1" customHeight="1">
      <c r="B62" s="1"/>
      <c r="C62" s="3"/>
      <c r="D62" s="3"/>
      <c r="E62" s="370"/>
      <c r="F62" s="370"/>
      <c r="G62" s="370"/>
      <c r="H62" s="370"/>
      <c r="I62" s="370"/>
      <c r="J62" s="370"/>
      <c r="K62" s="370"/>
      <c r="L62" s="370"/>
      <c r="M62" s="370"/>
      <c r="N62" s="370"/>
    </row>
    <row r="63" spans="2:14" s="2" customFormat="1" ht="4.5" hidden="1" customHeight="1">
      <c r="B63" s="1"/>
      <c r="C63" s="3"/>
      <c r="D63" s="3"/>
      <c r="E63" s="369"/>
      <c r="F63" s="369"/>
      <c r="G63" s="369"/>
      <c r="H63" s="369"/>
      <c r="I63" s="369"/>
      <c r="J63" s="369"/>
      <c r="K63" s="369"/>
      <c r="L63" s="369"/>
      <c r="M63" s="369"/>
      <c r="N63" s="369"/>
    </row>
    <row r="64" spans="2:14" s="2" customFormat="1" ht="11.25" hidden="1" customHeight="1">
      <c r="B64" s="3"/>
      <c r="C64" s="3"/>
      <c r="D64" s="3"/>
      <c r="E64" s="6"/>
      <c r="F64" s="6"/>
      <c r="G64" s="6"/>
      <c r="H64" s="6"/>
      <c r="I64" s="6"/>
      <c r="J64" s="6"/>
      <c r="K64" s="6"/>
      <c r="L64" s="6"/>
      <c r="M64" s="6"/>
      <c r="N64" s="6"/>
    </row>
    <row r="65" spans="1:17" s="2" customFormat="1" ht="11.25" hidden="1" customHeight="1">
      <c r="B65" s="3"/>
      <c r="C65" s="3"/>
      <c r="D65" s="3"/>
      <c r="E65" s="6"/>
      <c r="F65" s="6"/>
      <c r="G65" s="6"/>
      <c r="H65" s="6"/>
      <c r="I65" s="6"/>
      <c r="J65" s="6"/>
      <c r="K65" s="6"/>
      <c r="L65" s="6"/>
      <c r="M65" s="6"/>
      <c r="N65" s="6"/>
    </row>
    <row r="66" spans="1:17" s="2" customFormat="1" ht="11.25" hidden="1" customHeight="1">
      <c r="B66" s="3"/>
      <c r="C66" s="3"/>
      <c r="D66" s="3"/>
      <c r="E66" s="6"/>
      <c r="F66" s="6"/>
      <c r="G66" s="6"/>
      <c r="H66" s="6"/>
      <c r="I66" s="6"/>
      <c r="J66" s="6"/>
      <c r="K66" s="6"/>
      <c r="L66" s="6"/>
      <c r="M66" s="6"/>
      <c r="N66" s="6"/>
    </row>
    <row r="67" spans="1:17" ht="11.25" hidden="1" customHeight="1">
      <c r="A67" s="208"/>
      <c r="B67" s="23"/>
      <c r="C67" s="22"/>
      <c r="D67" s="22"/>
      <c r="E67" s="22"/>
      <c r="F67" s="22"/>
      <c r="G67" s="22"/>
      <c r="H67" s="22"/>
      <c r="I67" s="22"/>
      <c r="J67" s="22"/>
      <c r="K67" s="22"/>
      <c r="L67" s="22"/>
      <c r="M67" s="22"/>
      <c r="N67" s="22"/>
      <c r="O67" s="3"/>
    </row>
    <row r="68" spans="1:17" ht="11.25" hidden="1" customHeight="1">
      <c r="A68" s="208"/>
      <c r="B68" s="3"/>
      <c r="C68" s="6"/>
      <c r="D68" s="6"/>
      <c r="E68" s="6"/>
      <c r="F68" s="6"/>
      <c r="G68" s="6"/>
      <c r="H68" s="6"/>
      <c r="I68" s="6"/>
      <c r="J68" s="6"/>
      <c r="K68" s="6"/>
      <c r="L68" s="6"/>
      <c r="M68" s="6"/>
      <c r="N68" s="6"/>
      <c r="O68" s="3"/>
    </row>
    <row r="69" spans="1:17" ht="11.25" hidden="1" customHeight="1">
      <c r="A69" s="208"/>
      <c r="B69" s="3"/>
      <c r="C69" s="6"/>
      <c r="D69" s="6"/>
      <c r="E69" s="6"/>
      <c r="F69" s="6"/>
      <c r="G69" s="6"/>
      <c r="H69" s="6"/>
      <c r="I69" s="6"/>
      <c r="J69" s="6"/>
      <c r="K69" s="6"/>
      <c r="L69" s="6"/>
      <c r="M69" s="6"/>
      <c r="N69" s="6"/>
      <c r="O69" s="3"/>
    </row>
    <row r="70" spans="1:17" ht="11.25" hidden="1" customHeight="1">
      <c r="A70" s="208"/>
      <c r="B70" s="3"/>
      <c r="C70" s="6"/>
      <c r="D70" s="6"/>
      <c r="E70" s="6"/>
      <c r="F70" s="6"/>
      <c r="G70" s="6"/>
      <c r="H70" s="6"/>
      <c r="I70" s="6"/>
      <c r="J70" s="6"/>
      <c r="K70" s="6"/>
      <c r="L70" s="6"/>
      <c r="M70" s="6"/>
      <c r="N70" s="6"/>
      <c r="O70" s="3"/>
    </row>
    <row r="71" spans="1:17" ht="11.25" hidden="1" customHeight="1">
      <c r="A71" s="208"/>
      <c r="B71" s="3"/>
      <c r="C71" s="6"/>
      <c r="D71" s="6"/>
      <c r="E71" s="6"/>
      <c r="F71" s="6"/>
      <c r="G71" s="6"/>
      <c r="H71" s="6"/>
      <c r="I71" s="6"/>
      <c r="J71" s="6"/>
      <c r="K71" s="6"/>
      <c r="L71" s="6"/>
      <c r="M71" s="6"/>
      <c r="N71" s="6"/>
      <c r="O71" s="3"/>
    </row>
    <row r="72" spans="1:17" ht="11.25" hidden="1" customHeight="1">
      <c r="A72" s="208"/>
      <c r="B72" s="23"/>
      <c r="C72" s="22"/>
      <c r="D72" s="22"/>
      <c r="E72" s="22"/>
      <c r="F72" s="22"/>
      <c r="G72" s="22"/>
      <c r="H72" s="22"/>
      <c r="I72" s="22"/>
      <c r="J72" s="22"/>
      <c r="K72" s="22"/>
      <c r="L72" s="22"/>
      <c r="M72" s="22"/>
      <c r="N72" s="22"/>
      <c r="O72" s="3"/>
      <c r="Q72" s="18"/>
    </row>
    <row r="73" spans="1:17" ht="11.25" hidden="1" customHeight="1">
      <c r="A73" s="208"/>
      <c r="B73" s="1"/>
      <c r="C73" s="367"/>
      <c r="D73" s="367"/>
      <c r="E73" s="368"/>
      <c r="F73" s="368"/>
      <c r="G73" s="368"/>
      <c r="H73" s="368"/>
      <c r="I73" s="368"/>
      <c r="J73" s="368"/>
      <c r="K73" s="368"/>
      <c r="L73" s="368"/>
      <c r="M73" s="368"/>
      <c r="N73" s="368"/>
      <c r="O73" s="3"/>
    </row>
    <row r="74" spans="1:17" ht="11.25" hidden="1" customHeight="1">
      <c r="A74" s="208"/>
      <c r="B74" s="1"/>
      <c r="C74" s="367"/>
      <c r="D74" s="367"/>
      <c r="E74" s="368"/>
      <c r="F74" s="368"/>
      <c r="G74" s="368"/>
      <c r="H74" s="368"/>
      <c r="I74" s="368"/>
      <c r="J74" s="368"/>
      <c r="K74" s="368"/>
      <c r="L74" s="368"/>
      <c r="M74" s="368"/>
      <c r="N74" s="368"/>
      <c r="O74" s="3"/>
    </row>
    <row r="75" spans="1:17" ht="11.25" hidden="1" customHeight="1">
      <c r="A75" s="208"/>
      <c r="B75" s="1"/>
      <c r="C75" s="367"/>
      <c r="D75" s="367"/>
      <c r="E75" s="366"/>
      <c r="F75" s="366"/>
      <c r="G75" s="366"/>
      <c r="H75" s="366"/>
      <c r="I75" s="366"/>
      <c r="J75" s="366"/>
      <c r="K75" s="366"/>
      <c r="L75" s="366"/>
      <c r="M75" s="366"/>
      <c r="N75" s="366"/>
      <c r="O75" s="3"/>
    </row>
    <row r="76" spans="1:17" ht="11" hidden="1">
      <c r="A76" s="208"/>
      <c r="B76" s="1"/>
      <c r="C76" s="367"/>
      <c r="D76" s="367"/>
      <c r="E76" s="366"/>
      <c r="F76" s="366"/>
      <c r="G76" s="366"/>
      <c r="H76" s="366"/>
      <c r="I76" s="366"/>
      <c r="J76" s="366"/>
      <c r="K76" s="366"/>
      <c r="L76" s="366"/>
      <c r="M76" s="366"/>
      <c r="N76" s="366"/>
      <c r="O76" s="3"/>
    </row>
    <row r="77" spans="1:17" ht="4.5" hidden="1" customHeight="1">
      <c r="A77" s="208"/>
      <c r="B77" s="365"/>
      <c r="C77" s="3"/>
      <c r="D77" s="3"/>
      <c r="E77" s="3"/>
      <c r="F77" s="3"/>
      <c r="G77" s="3"/>
      <c r="H77" s="3"/>
      <c r="I77" s="3"/>
      <c r="J77" s="3"/>
      <c r="K77" s="3"/>
      <c r="L77" s="3"/>
      <c r="M77" s="3"/>
      <c r="N77" s="3"/>
      <c r="O77" s="3"/>
    </row>
    <row r="78" spans="1:17" ht="11" hidden="1">
      <c r="A78" s="208"/>
      <c r="B78" s="3"/>
      <c r="C78" s="6"/>
      <c r="D78" s="6"/>
      <c r="E78" s="6"/>
      <c r="F78" s="6"/>
      <c r="G78" s="6"/>
      <c r="H78" s="6"/>
      <c r="I78" s="6"/>
      <c r="J78" s="6"/>
      <c r="K78" s="6"/>
      <c r="L78" s="6"/>
      <c r="M78" s="6"/>
      <c r="N78" s="6"/>
      <c r="O78" s="3"/>
    </row>
    <row r="79" spans="1:17" ht="11" hidden="1">
      <c r="A79" s="208"/>
      <c r="B79" s="3"/>
      <c r="C79" s="6"/>
      <c r="D79" s="6"/>
      <c r="E79" s="6"/>
      <c r="F79" s="6"/>
      <c r="G79" s="6"/>
      <c r="H79" s="6"/>
      <c r="I79" s="6"/>
      <c r="J79" s="6"/>
      <c r="K79" s="6"/>
      <c r="L79" s="6"/>
      <c r="M79" s="6"/>
      <c r="N79" s="6"/>
      <c r="O79" s="3"/>
    </row>
    <row r="80" spans="1:17" ht="11" hidden="1">
      <c r="A80" s="208"/>
      <c r="B80" s="3"/>
      <c r="C80" s="6"/>
      <c r="D80" s="6"/>
      <c r="E80" s="6"/>
      <c r="F80" s="6"/>
      <c r="G80" s="6"/>
      <c r="H80" s="6"/>
      <c r="I80" s="6"/>
      <c r="J80" s="6"/>
      <c r="K80" s="6"/>
      <c r="L80" s="6"/>
      <c r="M80" s="6"/>
      <c r="N80" s="6"/>
      <c r="O80" s="3"/>
    </row>
    <row r="81" spans="1:15" ht="11" hidden="1">
      <c r="A81" s="208"/>
      <c r="B81" s="3"/>
      <c r="C81" s="6"/>
      <c r="D81" s="6"/>
      <c r="E81" s="6"/>
      <c r="F81" s="6"/>
      <c r="G81" s="6"/>
      <c r="H81" s="6"/>
      <c r="I81" s="6"/>
      <c r="J81" s="6"/>
      <c r="K81" s="6"/>
      <c r="L81" s="6"/>
      <c r="M81" s="6"/>
      <c r="N81" s="6"/>
      <c r="O81" s="3"/>
    </row>
    <row r="82" spans="1:15" s="165" customFormat="1" ht="11" hidden="1">
      <c r="A82" s="208"/>
      <c r="B82" s="23"/>
      <c r="C82" s="22"/>
      <c r="D82" s="22"/>
      <c r="E82" s="22"/>
      <c r="F82" s="22"/>
      <c r="G82" s="22"/>
      <c r="H82" s="22"/>
      <c r="I82" s="22"/>
      <c r="J82" s="22"/>
      <c r="K82" s="22"/>
      <c r="L82" s="22"/>
      <c r="M82" s="22"/>
      <c r="N82" s="22"/>
      <c r="O82" s="23"/>
    </row>
    <row r="83" spans="1:15" ht="11" hidden="1">
      <c r="A83" s="208"/>
      <c r="B83" s="3"/>
      <c r="C83" s="6"/>
      <c r="D83" s="6"/>
      <c r="E83" s="6"/>
      <c r="F83" s="6"/>
      <c r="G83" s="6"/>
      <c r="H83" s="6"/>
      <c r="I83" s="6"/>
      <c r="J83" s="6"/>
      <c r="K83" s="6"/>
      <c r="L83" s="6"/>
      <c r="M83" s="6"/>
      <c r="N83" s="6"/>
      <c r="O83" s="3"/>
    </row>
    <row r="84" spans="1:15" ht="11" hidden="1">
      <c r="A84" s="208"/>
      <c r="B84" s="3"/>
      <c r="C84" s="6"/>
      <c r="D84" s="6"/>
      <c r="E84" s="6"/>
      <c r="F84" s="6"/>
      <c r="G84" s="6"/>
      <c r="H84" s="6"/>
      <c r="I84" s="6"/>
      <c r="J84" s="6"/>
      <c r="K84" s="6"/>
      <c r="L84" s="6"/>
      <c r="M84" s="6"/>
      <c r="N84" s="6"/>
      <c r="O84" s="3"/>
    </row>
    <row r="85" spans="1:15" ht="11" hidden="1">
      <c r="A85" s="208"/>
      <c r="B85" s="23"/>
      <c r="C85" s="22"/>
      <c r="D85" s="22"/>
      <c r="E85" s="22"/>
      <c r="F85" s="22"/>
      <c r="G85" s="22"/>
      <c r="H85" s="22"/>
      <c r="I85" s="22"/>
      <c r="J85" s="22"/>
      <c r="K85" s="22"/>
      <c r="L85" s="22"/>
      <c r="M85" s="22"/>
      <c r="N85" s="22"/>
      <c r="O85" s="3"/>
    </row>
    <row r="86" spans="1:15" ht="11" hidden="1">
      <c r="A86" s="208"/>
      <c r="B86" s="365"/>
      <c r="C86" s="3"/>
      <c r="D86" s="3"/>
      <c r="E86" s="3"/>
      <c r="F86" s="3"/>
      <c r="G86" s="3"/>
      <c r="H86" s="3"/>
      <c r="I86" s="3"/>
      <c r="J86" s="3"/>
      <c r="K86" s="3"/>
      <c r="L86" s="3"/>
      <c r="M86" s="3"/>
      <c r="N86" s="3"/>
      <c r="O86" s="3"/>
    </row>
    <row r="87" spans="1:15" ht="11" hidden="1">
      <c r="A87" s="208"/>
      <c r="B87" s="3"/>
      <c r="C87" s="6"/>
      <c r="D87" s="6"/>
      <c r="E87" s="6"/>
      <c r="F87" s="6"/>
      <c r="G87" s="3"/>
      <c r="H87" s="6"/>
      <c r="I87" s="6"/>
      <c r="J87" s="6"/>
      <c r="K87" s="6"/>
      <c r="L87" s="6"/>
      <c r="M87" s="6"/>
      <c r="N87" s="6"/>
      <c r="O87" s="3"/>
    </row>
    <row r="88" spans="1:15" ht="11" hidden="1">
      <c r="A88" s="208"/>
      <c r="B88" s="3"/>
      <c r="C88" s="6"/>
      <c r="D88" s="6"/>
      <c r="E88" s="6"/>
      <c r="F88" s="6"/>
      <c r="G88" s="3"/>
      <c r="H88" s="6"/>
      <c r="I88" s="6"/>
      <c r="J88" s="6"/>
      <c r="K88" s="6"/>
      <c r="L88" s="6"/>
      <c r="M88" s="6"/>
      <c r="N88" s="6"/>
      <c r="O88" s="3"/>
    </row>
    <row r="89" spans="1:15" ht="11" hidden="1">
      <c r="A89" s="208"/>
      <c r="B89" s="3"/>
      <c r="C89" s="6"/>
      <c r="D89" s="6"/>
      <c r="E89" s="6"/>
      <c r="F89" s="6"/>
      <c r="G89" s="3"/>
      <c r="H89" s="6"/>
      <c r="I89" s="6"/>
      <c r="J89" s="6"/>
      <c r="K89" s="6"/>
      <c r="L89" s="6"/>
      <c r="M89" s="6"/>
      <c r="N89" s="6"/>
      <c r="O89" s="3"/>
    </row>
    <row r="90" spans="1:15" ht="11" hidden="1">
      <c r="A90" s="208"/>
      <c r="B90" s="3"/>
      <c r="C90" s="6"/>
      <c r="D90" s="6"/>
      <c r="E90" s="6"/>
      <c r="F90" s="6"/>
      <c r="G90" s="3"/>
      <c r="H90" s="6"/>
      <c r="I90" s="6"/>
      <c r="J90" s="6"/>
      <c r="K90" s="6"/>
      <c r="L90" s="6"/>
      <c r="M90" s="6"/>
      <c r="N90" s="6"/>
      <c r="O90" s="3"/>
    </row>
    <row r="91" spans="1:15" ht="11" hidden="1">
      <c r="A91" s="208"/>
      <c r="B91" s="3"/>
      <c r="C91" s="6"/>
      <c r="D91" s="6"/>
      <c r="E91" s="6"/>
      <c r="F91" s="6"/>
      <c r="G91" s="3"/>
      <c r="H91" s="6"/>
      <c r="I91" s="6"/>
      <c r="J91" s="6"/>
      <c r="K91" s="6"/>
      <c r="L91" s="6"/>
      <c r="M91" s="6"/>
      <c r="N91" s="6"/>
      <c r="O91" s="3"/>
    </row>
    <row r="92" spans="1:15" ht="11" hidden="1">
      <c r="A92" s="208"/>
      <c r="B92" s="3"/>
      <c r="C92" s="6"/>
      <c r="D92" s="6"/>
      <c r="E92" s="6"/>
      <c r="F92" s="6"/>
      <c r="G92" s="3"/>
      <c r="H92" s="6"/>
      <c r="I92" s="6"/>
      <c r="J92" s="6"/>
      <c r="K92" s="6"/>
      <c r="L92" s="6"/>
      <c r="M92" s="6"/>
      <c r="N92" s="6"/>
      <c r="O92" s="3"/>
    </row>
    <row r="93" spans="1:15" ht="11" hidden="1">
      <c r="A93" s="208"/>
      <c r="B93" s="3"/>
      <c r="C93" s="6"/>
      <c r="D93" s="6"/>
      <c r="E93" s="6"/>
      <c r="F93" s="6"/>
      <c r="G93" s="3"/>
      <c r="H93" s="6"/>
      <c r="I93" s="6"/>
      <c r="J93" s="6"/>
      <c r="K93" s="6"/>
      <c r="L93" s="6"/>
      <c r="M93" s="6"/>
      <c r="N93" s="6"/>
      <c r="O93" s="3"/>
    </row>
    <row r="94" spans="1:15" ht="11" hidden="1">
      <c r="A94" s="208"/>
      <c r="B94" s="3"/>
      <c r="C94" s="6"/>
      <c r="D94" s="6"/>
      <c r="E94" s="6"/>
      <c r="F94" s="6"/>
      <c r="G94" s="6"/>
      <c r="H94" s="6"/>
      <c r="I94" s="6"/>
      <c r="J94" s="6"/>
      <c r="K94" s="6"/>
      <c r="L94" s="6"/>
      <c r="M94" s="6"/>
      <c r="N94" s="6"/>
      <c r="O94" s="3"/>
    </row>
    <row r="95" spans="1:15" ht="11" hidden="1">
      <c r="A95" s="208"/>
      <c r="B95" s="23"/>
      <c r="C95" s="22"/>
      <c r="D95" s="22"/>
      <c r="E95" s="22"/>
      <c r="F95" s="22"/>
      <c r="G95" s="22"/>
      <c r="H95" s="22"/>
      <c r="I95" s="22"/>
      <c r="J95" s="22"/>
      <c r="K95" s="22"/>
      <c r="L95" s="22"/>
      <c r="M95" s="22"/>
      <c r="N95" s="22"/>
      <c r="O95" s="3"/>
    </row>
    <row r="96" spans="1:15" ht="11" hidden="1">
      <c r="A96" s="208"/>
      <c r="B96" s="365"/>
      <c r="C96" s="3"/>
      <c r="D96" s="3"/>
      <c r="E96" s="3"/>
      <c r="F96" s="3"/>
      <c r="G96" s="3"/>
      <c r="H96" s="3"/>
      <c r="I96" s="3"/>
      <c r="J96" s="3"/>
      <c r="K96" s="3"/>
      <c r="L96" s="3"/>
      <c r="M96" s="3"/>
      <c r="N96" s="3"/>
      <c r="O96" s="3"/>
    </row>
    <row r="97" spans="1:15" ht="11" hidden="1">
      <c r="A97" s="208"/>
      <c r="B97" s="3"/>
      <c r="C97" s="22"/>
      <c r="D97" s="22"/>
      <c r="E97" s="22"/>
      <c r="F97" s="22"/>
      <c r="G97" s="6"/>
      <c r="H97" s="6"/>
      <c r="I97" s="6"/>
      <c r="J97" s="22"/>
      <c r="K97" s="22"/>
      <c r="L97" s="22"/>
      <c r="M97" s="22"/>
      <c r="N97" s="22"/>
      <c r="O97" s="3"/>
    </row>
    <row r="98" spans="1:15" ht="11" hidden="1">
      <c r="A98" s="208"/>
      <c r="B98" s="3"/>
      <c r="C98" s="22"/>
      <c r="D98" s="22"/>
      <c r="E98" s="22"/>
      <c r="F98" s="22"/>
      <c r="G98" s="6"/>
      <c r="H98" s="6"/>
      <c r="I98" s="6"/>
      <c r="J98" s="6"/>
      <c r="K98" s="6"/>
      <c r="L98" s="6"/>
      <c r="M98" s="6"/>
      <c r="N98" s="6"/>
      <c r="O98" s="3"/>
    </row>
    <row r="99" spans="1:15" ht="11" hidden="1">
      <c r="A99" s="208"/>
      <c r="B99" s="3"/>
      <c r="C99" s="22"/>
      <c r="D99" s="22"/>
      <c r="E99" s="22"/>
      <c r="F99" s="22"/>
      <c r="G99" s="22"/>
      <c r="H99" s="6"/>
      <c r="I99" s="6"/>
      <c r="J99" s="6"/>
      <c r="K99" s="6"/>
      <c r="L99" s="6"/>
      <c r="M99" s="6"/>
      <c r="N99" s="6"/>
      <c r="O99" s="3"/>
    </row>
    <row r="100" spans="1:15" ht="11" hidden="1">
      <c r="A100" s="208"/>
      <c r="B100" s="3"/>
      <c r="C100" s="22"/>
      <c r="D100" s="22"/>
      <c r="E100" s="22"/>
      <c r="F100" s="22"/>
      <c r="G100" s="22"/>
      <c r="H100" s="6"/>
      <c r="I100" s="6"/>
      <c r="J100" s="6"/>
      <c r="K100" s="6"/>
      <c r="L100" s="6"/>
      <c r="M100" s="6"/>
      <c r="N100" s="6"/>
      <c r="O100" s="3"/>
    </row>
    <row r="101" spans="1:15" ht="11" hidden="1">
      <c r="A101" s="208"/>
      <c r="B101" s="3"/>
      <c r="C101" s="22"/>
      <c r="D101" s="22"/>
      <c r="E101" s="22"/>
      <c r="F101" s="22"/>
      <c r="G101" s="22"/>
      <c r="H101" s="6"/>
      <c r="I101" s="6"/>
      <c r="J101" s="6"/>
      <c r="K101" s="6"/>
      <c r="L101" s="6"/>
      <c r="M101" s="6"/>
      <c r="N101" s="6"/>
      <c r="O101" s="3"/>
    </row>
    <row r="102" spans="1:15" ht="11" hidden="1">
      <c r="A102" s="208"/>
      <c r="B102" s="23"/>
      <c r="C102" s="364"/>
      <c r="D102" s="22"/>
      <c r="E102" s="22"/>
      <c r="F102" s="22"/>
      <c r="G102" s="22"/>
      <c r="H102" s="22"/>
      <c r="I102" s="22"/>
      <c r="J102" s="22"/>
      <c r="K102" s="22"/>
      <c r="L102" s="22"/>
      <c r="M102" s="22"/>
      <c r="N102" s="22"/>
      <c r="O102" s="3"/>
    </row>
    <row r="103" spans="1:15" ht="4.5" hidden="1" customHeight="1">
      <c r="A103" s="208"/>
      <c r="B103" s="23"/>
      <c r="C103" s="23"/>
      <c r="D103" s="23"/>
      <c r="E103" s="23"/>
      <c r="F103" s="23"/>
      <c r="G103" s="23"/>
      <c r="H103" s="22"/>
      <c r="I103" s="22"/>
      <c r="J103" s="22"/>
      <c r="K103" s="22"/>
      <c r="L103" s="22"/>
      <c r="M103" s="22"/>
      <c r="N103" s="22"/>
      <c r="O103" s="3"/>
    </row>
    <row r="104" spans="1:15" s="215" customFormat="1" ht="11" hidden="1">
      <c r="A104" s="216"/>
      <c r="B104" s="363"/>
      <c r="C104" s="363"/>
      <c r="D104" s="363"/>
      <c r="E104" s="363"/>
      <c r="F104" s="363"/>
      <c r="G104" s="363"/>
      <c r="H104" s="363"/>
      <c r="I104" s="363"/>
      <c r="J104" s="363"/>
      <c r="K104" s="363"/>
      <c r="L104" s="363"/>
      <c r="M104" s="363"/>
      <c r="N104" s="363"/>
      <c r="O104" s="363"/>
    </row>
    <row r="105" spans="1:15" ht="13" hidden="1">
      <c r="A105" s="208"/>
      <c r="B105" s="212"/>
      <c r="C105" s="211"/>
      <c r="D105" s="211"/>
      <c r="E105" s="211"/>
      <c r="F105" s="211"/>
      <c r="G105" s="211"/>
      <c r="H105" s="211"/>
      <c r="I105" s="211"/>
      <c r="J105" s="211"/>
      <c r="K105" s="211"/>
      <c r="L105" s="211"/>
      <c r="M105" s="211"/>
      <c r="N105" s="211"/>
      <c r="O105" s="3"/>
    </row>
    <row r="106" spans="1:15" ht="15" hidden="1" customHeight="1">
      <c r="A106" s="208"/>
      <c r="B106" s="23"/>
      <c r="C106" s="3"/>
      <c r="D106" s="3"/>
      <c r="E106" s="3"/>
      <c r="F106" s="3"/>
      <c r="G106" s="3"/>
      <c r="H106" s="3"/>
      <c r="I106" s="3"/>
      <c r="J106" s="21"/>
      <c r="K106" s="21"/>
      <c r="L106" s="21"/>
      <c r="M106" s="21"/>
      <c r="N106" s="21"/>
      <c r="O106" s="3"/>
    </row>
    <row r="107" spans="1:15" s="2" customFormat="1" ht="13" hidden="1">
      <c r="B107" s="266"/>
      <c r="C107" s="231"/>
      <c r="D107" s="231"/>
      <c r="E107" s="231"/>
      <c r="F107" s="231"/>
      <c r="G107" s="231"/>
      <c r="H107" s="231"/>
      <c r="I107" s="362"/>
      <c r="J107" s="362"/>
      <c r="K107" s="362"/>
      <c r="L107" s="362"/>
      <c r="M107" s="362"/>
      <c r="N107" s="362"/>
    </row>
    <row r="108" spans="1:15" s="3" customFormat="1" ht="13" hidden="1">
      <c r="A108" s="37"/>
      <c r="B108" s="212"/>
      <c r="C108" s="211"/>
      <c r="D108" s="211"/>
      <c r="E108" s="211"/>
      <c r="F108" s="211"/>
      <c r="G108" s="211"/>
      <c r="H108" s="211"/>
      <c r="I108" s="211"/>
      <c r="J108" s="211"/>
      <c r="K108" s="211"/>
      <c r="L108" s="211"/>
      <c r="M108" s="211"/>
      <c r="N108" s="211"/>
    </row>
    <row r="109" spans="1:15" ht="11" hidden="1">
      <c r="B109" s="23"/>
      <c r="C109" s="3"/>
      <c r="D109" s="3"/>
      <c r="E109" s="3"/>
      <c r="F109" s="3"/>
      <c r="G109" s="3"/>
      <c r="H109" s="3"/>
      <c r="I109" s="3"/>
      <c r="J109" s="3"/>
      <c r="K109" s="3"/>
      <c r="L109" s="3"/>
      <c r="M109" s="3"/>
      <c r="N109" s="3"/>
      <c r="O109" s="3"/>
    </row>
    <row r="110" spans="1:15" ht="11" hidden="1">
      <c r="B110" s="3"/>
      <c r="C110" s="3"/>
      <c r="D110" s="3"/>
      <c r="E110" s="3"/>
      <c r="F110" s="3"/>
      <c r="G110" s="3"/>
      <c r="H110" s="3"/>
      <c r="I110" s="6"/>
      <c r="J110" s="6"/>
      <c r="K110" s="6"/>
      <c r="L110" s="6"/>
      <c r="M110" s="6"/>
      <c r="N110" s="6"/>
      <c r="O110" s="3"/>
    </row>
    <row r="111" spans="1:15" ht="11" hidden="1">
      <c r="B111" s="3"/>
      <c r="C111" s="3"/>
      <c r="D111" s="3"/>
      <c r="E111" s="3"/>
      <c r="F111" s="3"/>
      <c r="G111" s="3"/>
      <c r="H111" s="3"/>
      <c r="I111" s="3"/>
      <c r="J111" s="6"/>
      <c r="K111" s="6"/>
      <c r="L111" s="6"/>
      <c r="M111" s="6"/>
      <c r="N111" s="6"/>
      <c r="O111" s="3"/>
    </row>
    <row r="112" spans="1:15" ht="11" hidden="1">
      <c r="B112" s="3"/>
      <c r="C112" s="3"/>
      <c r="D112" s="3"/>
      <c r="E112" s="3"/>
      <c r="F112" s="3"/>
      <c r="G112" s="3"/>
      <c r="H112" s="3"/>
      <c r="I112" s="3"/>
      <c r="J112" s="6"/>
      <c r="K112" s="6"/>
      <c r="L112" s="6"/>
      <c r="M112" s="6"/>
      <c r="N112" s="6"/>
      <c r="O112" s="3"/>
    </row>
    <row r="113" spans="2:15" ht="11" hidden="1">
      <c r="B113" s="3"/>
      <c r="C113" s="3"/>
      <c r="D113" s="3"/>
      <c r="E113" s="3"/>
      <c r="F113" s="3"/>
      <c r="G113" s="3"/>
      <c r="H113" s="3"/>
      <c r="I113" s="3"/>
      <c r="J113" s="6"/>
      <c r="K113" s="6"/>
      <c r="L113" s="6"/>
      <c r="M113" s="6"/>
      <c r="N113" s="6"/>
      <c r="O113" s="3"/>
    </row>
    <row r="114" spans="2:15" ht="11" hidden="1">
      <c r="B114" s="3"/>
      <c r="C114" s="3"/>
      <c r="D114" s="3"/>
      <c r="E114" s="3"/>
      <c r="F114" s="3"/>
      <c r="G114" s="3"/>
      <c r="H114" s="3"/>
      <c r="I114" s="3"/>
      <c r="J114" s="6"/>
      <c r="K114" s="6"/>
      <c r="L114" s="6"/>
      <c r="M114" s="6"/>
      <c r="N114" s="6"/>
      <c r="O114" s="3"/>
    </row>
    <row r="115" spans="2:15" ht="11" hidden="1">
      <c r="B115" s="3"/>
      <c r="C115" s="3"/>
      <c r="D115" s="3"/>
      <c r="E115" s="3"/>
      <c r="F115" s="3"/>
      <c r="G115" s="3"/>
      <c r="H115" s="3"/>
      <c r="I115" s="3"/>
      <c r="J115" s="3"/>
      <c r="K115" s="3"/>
      <c r="L115" s="3"/>
      <c r="M115" s="3"/>
      <c r="N115" s="3"/>
      <c r="O115" s="3"/>
    </row>
    <row r="116" spans="2:15" ht="11" hidden="1">
      <c r="B116" s="23"/>
      <c r="C116" s="3"/>
      <c r="D116" s="3"/>
      <c r="E116" s="3"/>
      <c r="F116" s="3"/>
      <c r="G116" s="3"/>
      <c r="H116" s="3"/>
      <c r="I116" s="3"/>
      <c r="J116" s="3"/>
      <c r="K116" s="3"/>
      <c r="L116" s="3"/>
      <c r="M116" s="3"/>
      <c r="N116" s="3"/>
      <c r="O116" s="3"/>
    </row>
    <row r="117" spans="2:15" ht="11" hidden="1">
      <c r="B117" s="3"/>
      <c r="C117" s="3"/>
      <c r="D117" s="3"/>
      <c r="E117" s="3"/>
      <c r="F117" s="3"/>
      <c r="G117" s="3"/>
      <c r="H117" s="3"/>
      <c r="I117" s="3"/>
      <c r="J117" s="6"/>
      <c r="K117" s="6"/>
      <c r="L117" s="6"/>
      <c r="M117" s="6"/>
      <c r="N117" s="6"/>
      <c r="O117" s="3"/>
    </row>
    <row r="118" spans="2:15" ht="11" hidden="1">
      <c r="B118" s="3"/>
      <c r="C118" s="3"/>
      <c r="D118" s="3"/>
      <c r="E118" s="3"/>
      <c r="F118" s="3"/>
      <c r="G118" s="3"/>
      <c r="H118" s="3"/>
      <c r="I118" s="3"/>
      <c r="J118" s="6"/>
      <c r="K118" s="6"/>
      <c r="L118" s="6"/>
      <c r="M118" s="6"/>
      <c r="N118" s="6"/>
      <c r="O118" s="3"/>
    </row>
    <row r="119" spans="2:15" ht="11" hidden="1">
      <c r="B119" s="3"/>
      <c r="C119" s="3"/>
      <c r="D119" s="3"/>
      <c r="E119" s="3"/>
      <c r="F119" s="3"/>
      <c r="G119" s="3"/>
      <c r="H119" s="3"/>
      <c r="I119" s="3"/>
      <c r="J119" s="6"/>
      <c r="K119" s="6"/>
      <c r="L119" s="6"/>
      <c r="M119" s="6"/>
      <c r="N119" s="6"/>
      <c r="O119" s="3"/>
    </row>
    <row r="120" spans="2:15" ht="11" hidden="1">
      <c r="B120" s="3"/>
      <c r="C120" s="3"/>
      <c r="D120" s="3"/>
      <c r="E120" s="3"/>
      <c r="F120" s="3"/>
      <c r="G120" s="3"/>
      <c r="H120" s="3"/>
      <c r="I120" s="3"/>
      <c r="J120" s="6"/>
      <c r="K120" s="6"/>
      <c r="L120" s="6"/>
      <c r="M120" s="6"/>
      <c r="N120" s="6"/>
      <c r="O120" s="3"/>
    </row>
    <row r="121" spans="2:15" ht="11" hidden="1">
      <c r="B121" s="3"/>
      <c r="C121" s="3"/>
      <c r="D121" s="3"/>
      <c r="E121" s="3"/>
      <c r="F121" s="3"/>
      <c r="G121" s="3"/>
      <c r="H121" s="3"/>
      <c r="I121" s="3"/>
      <c r="J121" s="6"/>
      <c r="K121" s="6"/>
      <c r="L121" s="6"/>
      <c r="M121" s="6"/>
      <c r="N121" s="6"/>
      <c r="O121" s="3"/>
    </row>
    <row r="122" spans="2:15" ht="11" hidden="1">
      <c r="B122" s="3"/>
      <c r="C122" s="3"/>
      <c r="D122" s="3"/>
      <c r="E122" s="3"/>
      <c r="F122" s="3"/>
      <c r="G122" s="3"/>
      <c r="H122" s="3"/>
      <c r="I122" s="3"/>
      <c r="J122" s="3"/>
      <c r="K122" s="3"/>
      <c r="L122" s="3"/>
      <c r="M122" s="3"/>
      <c r="N122" s="3"/>
      <c r="O122" s="3"/>
    </row>
    <row r="123" spans="2:15" ht="11" hidden="1">
      <c r="B123" s="23"/>
      <c r="C123" s="3"/>
      <c r="D123" s="3"/>
      <c r="E123" s="3"/>
      <c r="F123" s="3"/>
      <c r="G123" s="3"/>
      <c r="H123" s="3"/>
      <c r="I123" s="3"/>
      <c r="J123" s="3"/>
      <c r="K123" s="3"/>
      <c r="L123" s="3"/>
      <c r="M123" s="3"/>
      <c r="N123" s="3"/>
      <c r="O123" s="3"/>
    </row>
    <row r="124" spans="2:15" ht="11" hidden="1">
      <c r="B124" s="3"/>
      <c r="C124" s="3"/>
      <c r="D124" s="3"/>
      <c r="E124" s="3"/>
      <c r="F124" s="3"/>
      <c r="G124" s="3"/>
      <c r="H124" s="3"/>
      <c r="I124" s="3"/>
      <c r="J124" s="6"/>
      <c r="K124" s="6"/>
      <c r="L124" s="6"/>
      <c r="M124" s="6"/>
      <c r="N124" s="6"/>
      <c r="O124" s="3"/>
    </row>
    <row r="125" spans="2:15" ht="11" hidden="1">
      <c r="B125" s="3"/>
      <c r="C125" s="3"/>
      <c r="D125" s="3"/>
      <c r="E125" s="3"/>
      <c r="F125" s="3"/>
      <c r="G125" s="3"/>
      <c r="H125" s="3"/>
      <c r="I125" s="3"/>
      <c r="J125" s="6"/>
      <c r="K125" s="6"/>
      <c r="L125" s="6"/>
      <c r="M125" s="6"/>
      <c r="N125" s="6"/>
      <c r="O125" s="3"/>
    </row>
    <row r="126" spans="2:15" ht="11" hidden="1">
      <c r="B126" s="3"/>
      <c r="C126" s="3"/>
      <c r="D126" s="3"/>
      <c r="E126" s="3"/>
      <c r="F126" s="3"/>
      <c r="G126" s="3"/>
      <c r="H126" s="3"/>
      <c r="I126" s="3"/>
      <c r="J126" s="6"/>
      <c r="K126" s="6"/>
      <c r="L126" s="6"/>
      <c r="M126" s="6"/>
      <c r="N126" s="6"/>
      <c r="O126" s="3"/>
    </row>
    <row r="127" spans="2:15" ht="11" hidden="1">
      <c r="B127" s="3"/>
      <c r="C127" s="3"/>
      <c r="D127" s="3"/>
      <c r="E127" s="3"/>
      <c r="F127" s="3"/>
      <c r="G127" s="3"/>
      <c r="H127" s="3"/>
      <c r="I127" s="3"/>
      <c r="J127" s="6"/>
      <c r="K127" s="6"/>
      <c r="L127" s="6"/>
      <c r="M127" s="6"/>
      <c r="N127" s="6"/>
      <c r="O127" s="3"/>
    </row>
    <row r="128" spans="2:15" ht="11" hidden="1">
      <c r="B128" s="3"/>
      <c r="C128" s="3"/>
      <c r="D128" s="3"/>
      <c r="E128" s="3"/>
      <c r="F128" s="3"/>
      <c r="G128" s="3"/>
      <c r="H128" s="3"/>
      <c r="I128" s="3"/>
      <c r="J128" s="6"/>
      <c r="K128" s="6"/>
      <c r="L128" s="6"/>
      <c r="M128" s="6"/>
      <c r="N128" s="6"/>
      <c r="O128" s="3"/>
    </row>
    <row r="129" spans="1:24 16384:16384" ht="11" hidden="1">
      <c r="B129" s="3"/>
      <c r="C129" s="3"/>
      <c r="D129" s="3"/>
      <c r="E129" s="3"/>
      <c r="F129" s="3"/>
      <c r="G129" s="3"/>
      <c r="H129" s="3"/>
      <c r="I129" s="3"/>
      <c r="J129" s="3"/>
      <c r="K129" s="3"/>
      <c r="L129" s="3"/>
      <c r="M129" s="3"/>
      <c r="N129" s="3"/>
      <c r="O129" s="3"/>
    </row>
    <row r="130" spans="1:24 16384:16384" ht="11" hidden="1">
      <c r="B130" s="23"/>
      <c r="C130" s="3"/>
      <c r="D130" s="3"/>
      <c r="E130" s="3"/>
      <c r="F130" s="3"/>
      <c r="G130" s="3"/>
      <c r="H130" s="3"/>
      <c r="I130" s="3"/>
      <c r="J130" s="3"/>
      <c r="K130" s="3"/>
      <c r="L130" s="3"/>
      <c r="M130" s="3"/>
      <c r="N130" s="3"/>
      <c r="O130" s="3"/>
    </row>
    <row r="131" spans="1:24 16384:16384" ht="11" hidden="1">
      <c r="B131" s="3"/>
      <c r="C131" s="3"/>
      <c r="D131" s="3"/>
      <c r="E131" s="3"/>
      <c r="F131" s="3"/>
      <c r="G131" s="3"/>
      <c r="H131" s="3"/>
      <c r="I131" s="6"/>
      <c r="J131" s="6"/>
      <c r="K131" s="6"/>
      <c r="L131" s="6"/>
      <c r="M131" s="6"/>
      <c r="N131" s="6"/>
      <c r="O131" s="3"/>
    </row>
    <row r="132" spans="1:24 16384:16384" ht="11" hidden="1">
      <c r="B132" s="3"/>
      <c r="C132" s="3"/>
      <c r="D132" s="3"/>
      <c r="E132" s="3"/>
      <c r="F132" s="3"/>
      <c r="G132" s="3"/>
      <c r="H132" s="3"/>
      <c r="I132" s="6"/>
      <c r="J132" s="6"/>
      <c r="K132" s="6"/>
      <c r="L132" s="6"/>
      <c r="M132" s="6"/>
      <c r="N132" s="6"/>
      <c r="O132" s="3"/>
    </row>
    <row r="133" spans="1:24 16384:16384" ht="11" hidden="1">
      <c r="B133" s="3"/>
      <c r="C133" s="3"/>
      <c r="D133" s="3"/>
      <c r="E133" s="3"/>
      <c r="F133" s="3"/>
      <c r="G133" s="3"/>
      <c r="H133" s="3"/>
      <c r="I133" s="6"/>
      <c r="J133" s="6"/>
      <c r="K133" s="6"/>
      <c r="L133" s="6"/>
      <c r="M133" s="6"/>
      <c r="N133" s="6"/>
      <c r="O133" s="3"/>
    </row>
    <row r="134" spans="1:24 16384:16384" ht="11" hidden="1">
      <c r="B134" s="3"/>
      <c r="C134" s="3"/>
      <c r="D134" s="3"/>
      <c r="E134" s="3"/>
      <c r="F134" s="3"/>
      <c r="G134" s="3"/>
      <c r="H134" s="3"/>
      <c r="I134" s="6"/>
      <c r="J134" s="6"/>
      <c r="K134" s="6"/>
      <c r="L134" s="6"/>
      <c r="M134" s="6"/>
      <c r="N134" s="6"/>
      <c r="O134" s="3"/>
    </row>
    <row r="135" spans="1:24 16384:16384" ht="11" hidden="1">
      <c r="B135" s="3"/>
      <c r="C135" s="3"/>
      <c r="D135" s="3"/>
      <c r="E135" s="3"/>
      <c r="F135" s="3"/>
      <c r="G135" s="3"/>
      <c r="H135" s="3"/>
      <c r="I135" s="3"/>
      <c r="J135" s="6"/>
      <c r="K135" s="6"/>
      <c r="L135" s="6"/>
      <c r="M135" s="6"/>
      <c r="N135" s="6"/>
      <c r="O135" s="3"/>
    </row>
    <row r="136" spans="1:24 16384:16384" ht="11" hidden="1">
      <c r="A136" s="208"/>
      <c r="B136" s="3"/>
      <c r="C136" s="3"/>
      <c r="D136" s="3"/>
      <c r="E136" s="3"/>
      <c r="F136" s="3"/>
      <c r="G136" s="3"/>
      <c r="H136" s="3"/>
      <c r="I136" s="3"/>
      <c r="J136" s="3"/>
      <c r="K136" s="3"/>
      <c r="L136" s="3"/>
      <c r="M136" s="3"/>
      <c r="N136" s="3"/>
      <c r="O136" s="3"/>
    </row>
    <row r="137" spans="1:24 16384:16384" ht="11" hidden="1">
      <c r="A137" s="208"/>
      <c r="B137" s="3"/>
      <c r="C137" s="3"/>
      <c r="D137" s="3"/>
      <c r="E137" s="3"/>
      <c r="F137" s="3"/>
      <c r="G137" s="3"/>
      <c r="H137" s="3"/>
      <c r="I137" s="3"/>
      <c r="J137" s="3"/>
      <c r="K137" s="3"/>
      <c r="L137" s="3"/>
      <c r="M137" s="3"/>
      <c r="N137" s="3"/>
      <c r="O137" s="3"/>
    </row>
    <row r="138" spans="1:24 16384:16384" ht="11" hidden="1">
      <c r="A138" s="208"/>
      <c r="B138" s="23"/>
      <c r="C138" s="3"/>
      <c r="D138" s="3"/>
      <c r="E138" s="3"/>
      <c r="F138" s="3"/>
      <c r="G138" s="3"/>
      <c r="H138" s="3"/>
      <c r="I138" s="3"/>
      <c r="J138" s="3"/>
      <c r="K138" s="3"/>
      <c r="L138" s="3"/>
      <c r="M138" s="3"/>
      <c r="N138" s="3"/>
      <c r="O138" s="3"/>
    </row>
    <row r="139" spans="1:24 16384:16384" ht="11" hidden="1">
      <c r="A139" s="208"/>
      <c r="B139" s="3"/>
      <c r="C139" s="3"/>
      <c r="D139" s="3"/>
      <c r="E139" s="361"/>
      <c r="F139" s="3"/>
      <c r="G139" s="3"/>
      <c r="H139" s="3"/>
      <c r="I139" s="3"/>
      <c r="J139" s="3"/>
      <c r="K139" s="3"/>
      <c r="L139" s="3"/>
      <c r="M139" s="3"/>
      <c r="N139" s="3"/>
      <c r="O139" s="3"/>
    </row>
    <row r="140" spans="1:24 16384:16384" ht="11.25" hidden="1" customHeight="1">
      <c r="A140" s="208"/>
      <c r="B140" s="23"/>
      <c r="C140" s="221"/>
      <c r="D140" s="221"/>
      <c r="E140" s="220"/>
      <c r="F140" s="23"/>
      <c r="G140" s="23"/>
      <c r="H140" s="22"/>
      <c r="I140" s="22"/>
      <c r="J140" s="22"/>
      <c r="K140" s="22"/>
      <c r="L140" s="22"/>
      <c r="M140" s="22"/>
      <c r="N140" s="22"/>
      <c r="O140" s="3"/>
      <c r="Q140"/>
      <c r="R140"/>
      <c r="S140"/>
      <c r="T140"/>
      <c r="U140"/>
      <c r="V140"/>
      <c r="W140"/>
      <c r="X140"/>
    </row>
    <row r="141" spans="1:24 16384:16384" ht="11.25" hidden="1" customHeight="1">
      <c r="A141" s="37"/>
      <c r="B141" s="266"/>
      <c r="C141" s="266"/>
      <c r="D141" s="266"/>
      <c r="E141" s="266"/>
      <c r="F141" s="266"/>
      <c r="G141" s="266"/>
      <c r="H141" s="266"/>
      <c r="I141" s="266"/>
      <c r="J141" s="266"/>
      <c r="K141" s="266"/>
      <c r="L141" s="266"/>
      <c r="M141" s="266"/>
      <c r="N141" s="266"/>
      <c r="O141" s="266"/>
      <c r="Q141"/>
      <c r="R141"/>
      <c r="S141"/>
      <c r="T141"/>
      <c r="U141"/>
      <c r="V141"/>
      <c r="W141"/>
      <c r="X141"/>
    </row>
    <row r="142" spans="1:24 16384:16384" ht="11.25" hidden="1" customHeight="1">
      <c r="A142" s="208"/>
      <c r="B142" s="23"/>
      <c r="C142" s="351"/>
      <c r="D142" s="351"/>
      <c r="E142" s="310"/>
      <c r="F142" s="333"/>
      <c r="G142" s="333"/>
      <c r="H142" s="351"/>
      <c r="I142" s="351"/>
      <c r="J142" s="351"/>
      <c r="K142" s="360"/>
      <c r="L142" s="360"/>
      <c r="M142" s="360"/>
      <c r="N142" s="360"/>
      <c r="O142" s="360"/>
      <c r="Q142"/>
      <c r="R142"/>
      <c r="S142"/>
      <c r="T142"/>
      <c r="U142"/>
      <c r="V142"/>
      <c r="W142"/>
      <c r="X142"/>
    </row>
    <row r="143" spans="1:24 16384:16384" ht="11.25" hidden="1" customHeight="1">
      <c r="A143" s="208"/>
      <c r="B143" s="23"/>
      <c r="C143" s="351"/>
      <c r="D143" s="351"/>
      <c r="E143" s="351"/>
      <c r="F143" s="333"/>
      <c r="G143" s="333"/>
      <c r="H143" s="351"/>
      <c r="I143" s="351"/>
      <c r="J143" s="351"/>
      <c r="K143" s="335"/>
      <c r="L143" s="335"/>
      <c r="M143" s="335"/>
      <c r="N143" s="335"/>
      <c r="O143" s="335"/>
      <c r="Q143"/>
      <c r="R143"/>
      <c r="S143"/>
      <c r="T143"/>
      <c r="U143"/>
      <c r="V143"/>
      <c r="W143"/>
      <c r="X143"/>
    </row>
    <row r="144" spans="1:24 16384:16384" ht="11.25" hidden="1" customHeight="1">
      <c r="A144" s="208"/>
      <c r="B144" s="3"/>
      <c r="C144" s="350"/>
      <c r="D144" s="344"/>
      <c r="E144" s="348"/>
      <c r="F144" s="345"/>
      <c r="G144" s="345"/>
      <c r="H144" s="345"/>
      <c r="I144" s="345"/>
      <c r="J144" s="348"/>
      <c r="K144" s="359"/>
      <c r="L144" s="359"/>
      <c r="M144" s="359"/>
      <c r="N144" s="344"/>
      <c r="O144" s="356"/>
      <c r="Q144"/>
      <c r="R144"/>
      <c r="S144"/>
      <c r="T144"/>
      <c r="U144"/>
      <c r="V144"/>
      <c r="W144"/>
      <c r="X144"/>
      <c r="XFD144" s="309"/>
    </row>
    <row r="145" spans="1:24" ht="11.25" hidden="1" customHeight="1">
      <c r="A145" s="208"/>
      <c r="B145" s="3"/>
      <c r="C145" s="350"/>
      <c r="D145" s="344"/>
      <c r="E145" s="348"/>
      <c r="F145" s="345"/>
      <c r="G145" s="345"/>
      <c r="H145" s="345"/>
      <c r="I145" s="344"/>
      <c r="J145" s="348"/>
      <c r="K145" s="359"/>
      <c r="L145" s="359"/>
      <c r="M145" s="359"/>
      <c r="N145" s="344"/>
      <c r="O145" s="356"/>
      <c r="Q145"/>
      <c r="R145"/>
      <c r="S145"/>
      <c r="T145"/>
      <c r="U145"/>
      <c r="V145"/>
      <c r="W145"/>
      <c r="X145"/>
    </row>
    <row r="146" spans="1:24" ht="11.25" hidden="1" customHeight="1">
      <c r="A146" s="208"/>
      <c r="B146" s="3"/>
      <c r="C146" s="342"/>
      <c r="D146" s="310"/>
      <c r="E146" s="358"/>
      <c r="F146" s="345"/>
      <c r="G146" s="345"/>
      <c r="H146" s="345"/>
      <c r="I146" s="344"/>
      <c r="J146" s="343"/>
      <c r="K146" s="356"/>
      <c r="L146" s="356"/>
      <c r="M146" s="356"/>
      <c r="N146" s="356"/>
      <c r="O146" s="356"/>
      <c r="Q146"/>
      <c r="R146"/>
      <c r="S146"/>
      <c r="T146"/>
      <c r="U146"/>
      <c r="V146"/>
      <c r="W146"/>
      <c r="X146"/>
    </row>
    <row r="147" spans="1:24" ht="11.25" hidden="1" customHeight="1">
      <c r="A147" s="208"/>
      <c r="B147" s="3"/>
      <c r="C147" s="13"/>
      <c r="D147" s="310"/>
      <c r="E147" s="358"/>
      <c r="F147" s="357"/>
      <c r="G147" s="3"/>
      <c r="H147" s="341"/>
      <c r="I147" s="3"/>
      <c r="J147" s="343"/>
      <c r="K147" s="356"/>
      <c r="L147" s="310"/>
      <c r="M147" s="356"/>
      <c r="N147" s="356"/>
      <c r="O147" s="356"/>
      <c r="Q147"/>
      <c r="R147"/>
      <c r="S147"/>
      <c r="T147"/>
      <c r="U147"/>
      <c r="V147"/>
      <c r="W147"/>
      <c r="X147"/>
    </row>
    <row r="148" spans="1:24" ht="11.25" hidden="1" customHeight="1">
      <c r="A148" s="208"/>
      <c r="B148" s="23"/>
      <c r="C148" s="339"/>
      <c r="D148" s="355"/>
      <c r="E148" s="331"/>
      <c r="F148" s="332"/>
      <c r="G148" s="332"/>
      <c r="H148" s="332"/>
      <c r="I148" s="332"/>
      <c r="J148" s="331"/>
      <c r="K148" s="354"/>
      <c r="L148" s="354"/>
      <c r="M148" s="354"/>
      <c r="N148" s="354"/>
      <c r="O148" s="354"/>
      <c r="Q148"/>
      <c r="R148"/>
      <c r="S148"/>
      <c r="T148"/>
      <c r="U148"/>
      <c r="V148"/>
      <c r="W148"/>
      <c r="X148"/>
    </row>
    <row r="149" spans="1:24" ht="11.25" hidden="1" customHeight="1">
      <c r="A149" s="208"/>
      <c r="B149" s="23"/>
      <c r="C149" s="221"/>
      <c r="D149" s="221"/>
      <c r="E149" s="221"/>
      <c r="F149" s="333"/>
      <c r="G149" s="335"/>
      <c r="H149" s="331"/>
      <c r="I149" s="334"/>
      <c r="J149" s="334"/>
      <c r="K149" s="331"/>
      <c r="L149" s="333"/>
      <c r="M149" s="333"/>
      <c r="N149" s="332"/>
      <c r="O149" s="331"/>
      <c r="Q149"/>
      <c r="R149"/>
      <c r="S149"/>
      <c r="T149"/>
      <c r="U149"/>
      <c r="V149"/>
      <c r="W149"/>
      <c r="X149"/>
    </row>
    <row r="150" spans="1:24" ht="11.25" hidden="1" customHeight="1">
      <c r="A150" s="208"/>
      <c r="B150" s="266"/>
      <c r="C150" s="266"/>
      <c r="D150" s="266"/>
      <c r="E150" s="266"/>
      <c r="F150" s="266"/>
      <c r="G150" s="266"/>
      <c r="H150" s="266"/>
      <c r="I150" s="266"/>
      <c r="J150" s="266"/>
      <c r="K150" s="266"/>
      <c r="L150" s="266"/>
      <c r="M150" s="266"/>
      <c r="N150" s="266"/>
      <c r="O150" s="266"/>
      <c r="Q150"/>
      <c r="R150"/>
      <c r="S150"/>
      <c r="T150"/>
      <c r="U150"/>
      <c r="V150"/>
      <c r="W150"/>
      <c r="X150"/>
    </row>
    <row r="151" spans="1:24" ht="11.25" hidden="1" customHeight="1">
      <c r="A151" s="208"/>
      <c r="B151" s="23"/>
      <c r="C151" s="310"/>
      <c r="D151" s="351"/>
      <c r="E151" s="353"/>
      <c r="F151" s="352"/>
      <c r="G151" s="3"/>
      <c r="H151" s="331"/>
      <c r="I151" s="3"/>
      <c r="J151" s="3"/>
      <c r="K151" s="3"/>
      <c r="L151" s="3"/>
      <c r="M151" s="3"/>
      <c r="N151" s="3"/>
      <c r="O151" s="3"/>
      <c r="Q151"/>
      <c r="R151"/>
      <c r="S151"/>
      <c r="T151"/>
      <c r="U151"/>
      <c r="V151"/>
      <c r="W151"/>
      <c r="X151"/>
    </row>
    <row r="152" spans="1:24" ht="11.25" hidden="1" customHeight="1">
      <c r="A152" s="208"/>
      <c r="B152" s="23"/>
      <c r="C152" s="351"/>
      <c r="D152" s="351"/>
      <c r="E152" s="333"/>
      <c r="F152" s="332"/>
      <c r="G152" s="332"/>
      <c r="H152" s="331"/>
      <c r="I152" s="23"/>
      <c r="J152" s="23"/>
      <c r="K152" s="23"/>
      <c r="L152" s="23"/>
      <c r="M152" s="23"/>
      <c r="N152" s="23"/>
      <c r="O152" s="3"/>
      <c r="Q152"/>
      <c r="R152"/>
      <c r="S152"/>
      <c r="T152"/>
      <c r="U152"/>
      <c r="V152"/>
      <c r="W152"/>
      <c r="X152"/>
    </row>
    <row r="153" spans="1:24" ht="11.25" hidden="1" customHeight="1">
      <c r="A153" s="208"/>
      <c r="B153" s="3"/>
      <c r="C153" s="350"/>
      <c r="D153" s="349"/>
      <c r="E153" s="345"/>
      <c r="F153" s="345"/>
      <c r="G153" s="344"/>
      <c r="H153" s="348"/>
      <c r="I153" s="347"/>
      <c r="J153" s="347"/>
      <c r="K153" s="346"/>
      <c r="L153" s="3"/>
      <c r="M153" s="3"/>
      <c r="N153" s="3"/>
      <c r="O153" s="3"/>
      <c r="Q153"/>
      <c r="R153"/>
      <c r="S153"/>
      <c r="T153"/>
      <c r="U153"/>
      <c r="V153"/>
      <c r="W153"/>
      <c r="X153"/>
    </row>
    <row r="154" spans="1:24" ht="11.25" hidden="1" customHeight="1">
      <c r="A154" s="208"/>
      <c r="B154" s="3"/>
      <c r="C154" s="350"/>
      <c r="D154" s="349"/>
      <c r="E154" s="345"/>
      <c r="F154" s="345"/>
      <c r="G154" s="344"/>
      <c r="H154" s="348"/>
      <c r="I154" s="347"/>
      <c r="J154" s="347"/>
      <c r="K154" s="347"/>
      <c r="L154" s="3"/>
      <c r="M154" s="3"/>
      <c r="N154" s="3"/>
      <c r="O154" s="3"/>
      <c r="Q154"/>
      <c r="R154"/>
      <c r="S154"/>
      <c r="T154"/>
      <c r="U154"/>
      <c r="V154"/>
      <c r="W154"/>
      <c r="X154"/>
    </row>
    <row r="155" spans="1:24" ht="11.25" hidden="1" customHeight="1">
      <c r="A155" s="208"/>
      <c r="B155" s="3"/>
      <c r="C155" s="350"/>
      <c r="D155" s="349"/>
      <c r="E155" s="345"/>
      <c r="F155" s="345"/>
      <c r="G155" s="344"/>
      <c r="H155" s="348"/>
      <c r="I155" s="347"/>
      <c r="J155" s="347"/>
      <c r="K155" s="346"/>
      <c r="L155" s="3"/>
      <c r="M155" s="3"/>
      <c r="N155" s="3"/>
      <c r="O155" s="3"/>
      <c r="Q155"/>
      <c r="R155"/>
      <c r="S155"/>
      <c r="T155"/>
      <c r="U155"/>
      <c r="V155"/>
      <c r="W155"/>
      <c r="X155"/>
    </row>
    <row r="156" spans="1:24" ht="11.25" hidden="1" customHeight="1">
      <c r="A156" s="208"/>
      <c r="B156" s="3"/>
      <c r="C156" s="342"/>
      <c r="D156" s="340"/>
      <c r="E156" s="345"/>
      <c r="F156" s="345"/>
      <c r="G156" s="344"/>
      <c r="H156" s="343"/>
      <c r="I156" s="3"/>
      <c r="J156" s="3"/>
      <c r="K156" s="3"/>
      <c r="L156" s="3"/>
      <c r="M156" s="3"/>
      <c r="N156" s="3"/>
      <c r="O156" s="3"/>
      <c r="Q156"/>
      <c r="R156"/>
      <c r="S156"/>
      <c r="T156"/>
      <c r="U156"/>
      <c r="V156"/>
      <c r="W156"/>
      <c r="X156"/>
    </row>
    <row r="157" spans="1:24" ht="11.25" hidden="1" customHeight="1">
      <c r="A157" s="208"/>
      <c r="B157" s="3"/>
      <c r="C157" s="3"/>
      <c r="D157" s="342"/>
      <c r="E157" s="340"/>
      <c r="F157" s="341"/>
      <c r="G157" s="341"/>
      <c r="H157" s="341"/>
      <c r="I157" s="340"/>
      <c r="J157" s="3"/>
      <c r="K157" s="3"/>
      <c r="L157" s="3"/>
      <c r="M157" s="3"/>
      <c r="N157" s="3"/>
      <c r="O157" s="3"/>
      <c r="Q157"/>
      <c r="R157"/>
      <c r="S157"/>
      <c r="T157"/>
      <c r="U157"/>
      <c r="V157"/>
      <c r="W157"/>
      <c r="X157"/>
    </row>
    <row r="158" spans="1:24" ht="11.25" hidden="1" customHeight="1">
      <c r="A158" s="208"/>
      <c r="B158" s="23"/>
      <c r="C158" s="339"/>
      <c r="D158" s="333"/>
      <c r="E158" s="338"/>
      <c r="F158" s="332"/>
      <c r="G158" s="332"/>
      <c r="H158" s="337"/>
      <c r="I158" s="331"/>
      <c r="J158" s="336"/>
      <c r="K158" s="336"/>
      <c r="L158" s="336"/>
      <c r="M158" s="331"/>
      <c r="N158" s="331"/>
      <c r="O158" s="331"/>
      <c r="Q158"/>
      <c r="R158"/>
      <c r="S158"/>
      <c r="T158"/>
      <c r="U158"/>
      <c r="V158"/>
      <c r="W158"/>
      <c r="X158"/>
    </row>
    <row r="159" spans="1:24" ht="11.25" hidden="1" customHeight="1">
      <c r="A159" s="208"/>
      <c r="B159" s="23"/>
      <c r="C159" s="221"/>
      <c r="D159" s="221"/>
      <c r="E159" s="333"/>
      <c r="F159" s="335"/>
      <c r="G159" s="331"/>
      <c r="H159" s="334"/>
      <c r="I159" s="334"/>
      <c r="J159" s="331"/>
      <c r="K159" s="333"/>
      <c r="L159" s="333"/>
      <c r="M159" s="332"/>
      <c r="N159" s="331"/>
      <c r="O159" s="3"/>
      <c r="Q159"/>
      <c r="R159"/>
      <c r="S159"/>
      <c r="T159"/>
      <c r="U159"/>
      <c r="V159"/>
      <c r="W159"/>
      <c r="X159"/>
    </row>
    <row r="160" spans="1:24" ht="11" hidden="1" collapsed="1">
      <c r="B160" s="3"/>
      <c r="C160" s="3"/>
      <c r="D160" s="3"/>
      <c r="E160" s="3"/>
      <c r="F160" s="3"/>
      <c r="G160" s="3"/>
      <c r="H160" s="3"/>
      <c r="I160" s="3"/>
      <c r="J160" s="3"/>
      <c r="K160" s="3"/>
      <c r="L160" s="3"/>
      <c r="M160" s="3"/>
      <c r="N160" s="3"/>
      <c r="O160" s="3"/>
    </row>
    <row r="161" spans="2:15" ht="11" hidden="1">
      <c r="B161" s="3"/>
      <c r="C161" s="3"/>
      <c r="D161" s="3"/>
      <c r="E161" s="3"/>
      <c r="F161" s="3"/>
      <c r="G161" s="3"/>
      <c r="H161" s="3"/>
      <c r="I161" s="3"/>
      <c r="J161" s="3"/>
      <c r="K161" s="3"/>
      <c r="L161" s="3"/>
      <c r="M161" s="3"/>
      <c r="N161" s="3"/>
      <c r="O161" s="3"/>
    </row>
    <row r="162" spans="2:15" ht="11" hidden="1">
      <c r="B162" s="3"/>
      <c r="C162" s="3"/>
      <c r="D162" s="3"/>
      <c r="E162" s="3"/>
      <c r="F162" s="3"/>
      <c r="G162" s="3"/>
      <c r="H162" s="3"/>
      <c r="I162" s="3"/>
      <c r="J162" s="3"/>
      <c r="K162" s="3"/>
      <c r="L162" s="3"/>
      <c r="M162" s="3"/>
      <c r="N162" s="3"/>
      <c r="O162" s="3"/>
    </row>
    <row r="163" spans="2:15" ht="11" hidden="1">
      <c r="B163" s="3"/>
      <c r="C163" s="3"/>
      <c r="D163" s="3"/>
      <c r="E163" s="3"/>
      <c r="F163" s="3"/>
      <c r="G163" s="3"/>
      <c r="H163" s="3"/>
      <c r="I163" s="3"/>
      <c r="J163" s="3"/>
      <c r="K163" s="3"/>
      <c r="L163" s="3"/>
      <c r="M163" s="3"/>
      <c r="N163" s="3"/>
      <c r="O163" s="3"/>
    </row>
    <row r="164" spans="2:15" ht="11" hidden="1">
      <c r="B164" s="3"/>
      <c r="C164" s="3"/>
      <c r="D164" s="3"/>
      <c r="E164" s="3"/>
      <c r="F164" s="3"/>
      <c r="G164" s="3"/>
      <c r="H164" s="3"/>
      <c r="I164" s="3"/>
      <c r="J164" s="3"/>
      <c r="K164" s="3"/>
      <c r="L164" s="3"/>
      <c r="M164" s="3"/>
      <c r="N164" s="3"/>
      <c r="O164" s="3"/>
    </row>
    <row r="165" spans="2:15" ht="11" hidden="1">
      <c r="B165" s="3"/>
      <c r="C165" s="3"/>
      <c r="D165" s="3"/>
      <c r="E165" s="3"/>
      <c r="F165" s="3"/>
      <c r="G165" s="3"/>
      <c r="H165" s="3"/>
      <c r="I165" s="3"/>
      <c r="J165" s="3"/>
      <c r="K165" s="3"/>
      <c r="L165" s="3"/>
      <c r="M165" s="3"/>
      <c r="N165" s="3"/>
      <c r="O165" s="3"/>
    </row>
    <row r="166" spans="2:15" ht="11" hidden="1">
      <c r="B166" s="3"/>
      <c r="C166" s="3"/>
      <c r="D166" s="3"/>
      <c r="E166" s="3"/>
      <c r="F166" s="3"/>
      <c r="G166" s="3"/>
      <c r="H166" s="3"/>
      <c r="I166" s="3"/>
      <c r="J166" s="3"/>
      <c r="K166" s="3"/>
      <c r="L166" s="3"/>
      <c r="M166" s="3"/>
      <c r="N166" s="3"/>
      <c r="O166" s="3"/>
    </row>
    <row r="167" spans="2:15" ht="11" hidden="1">
      <c r="B167" s="3"/>
      <c r="C167" s="3"/>
      <c r="D167" s="3"/>
      <c r="E167" s="3"/>
      <c r="F167" s="3"/>
      <c r="G167" s="3"/>
      <c r="H167" s="3"/>
      <c r="I167" s="3"/>
      <c r="J167" s="3"/>
      <c r="K167" s="3"/>
      <c r="L167" s="3"/>
      <c r="M167" s="3"/>
      <c r="N167" s="3"/>
      <c r="O167" s="3"/>
    </row>
    <row r="168" spans="2:15" ht="11" hidden="1">
      <c r="B168" s="3"/>
      <c r="C168" s="3"/>
      <c r="D168" s="3"/>
      <c r="E168" s="3"/>
      <c r="F168" s="3"/>
      <c r="G168" s="3"/>
      <c r="H168" s="3"/>
      <c r="I168" s="3"/>
      <c r="J168" s="3"/>
      <c r="K168" s="3"/>
      <c r="L168" s="3"/>
      <c r="M168" s="3"/>
      <c r="N168" s="3"/>
      <c r="O168" s="3"/>
    </row>
    <row r="169" spans="2:15" ht="11" hidden="1">
      <c r="B169" s="3"/>
      <c r="C169" s="3"/>
      <c r="D169" s="3"/>
      <c r="E169" s="3"/>
      <c r="F169" s="3"/>
      <c r="G169" s="3"/>
      <c r="H169" s="3"/>
      <c r="I169" s="3"/>
      <c r="J169" s="3"/>
      <c r="K169" s="3"/>
      <c r="L169" s="3"/>
      <c r="M169" s="3"/>
      <c r="N169" s="3"/>
      <c r="O169" s="3"/>
    </row>
    <row r="170" spans="2:15" ht="11" hidden="1">
      <c r="B170" s="3"/>
      <c r="C170" s="3"/>
      <c r="D170" s="3"/>
      <c r="E170" s="3"/>
      <c r="F170" s="3"/>
      <c r="G170" s="3"/>
      <c r="H170" s="3"/>
      <c r="I170" s="3"/>
      <c r="J170" s="3"/>
      <c r="K170" s="3"/>
      <c r="L170" s="3"/>
      <c r="M170" s="3"/>
      <c r="N170" s="3"/>
      <c r="O170" s="3"/>
    </row>
    <row r="171" spans="2:15" ht="11" hidden="1">
      <c r="B171" s="3"/>
      <c r="C171" s="3"/>
      <c r="D171" s="3"/>
      <c r="E171" s="3"/>
      <c r="F171" s="3"/>
      <c r="G171" s="3"/>
      <c r="H171" s="3"/>
      <c r="I171" s="3"/>
      <c r="J171" s="3"/>
      <c r="K171" s="3"/>
      <c r="L171" s="3"/>
      <c r="M171" s="3"/>
      <c r="N171" s="3"/>
      <c r="O171" s="3"/>
    </row>
    <row r="172" spans="2:15" ht="11" hidden="1">
      <c r="B172" s="3"/>
      <c r="C172" s="3"/>
      <c r="D172" s="3"/>
      <c r="E172" s="3"/>
      <c r="F172" s="3"/>
      <c r="G172" s="3"/>
      <c r="H172" s="3"/>
      <c r="I172" s="3"/>
      <c r="J172" s="3"/>
      <c r="K172" s="3"/>
      <c r="L172" s="3"/>
      <c r="M172" s="3"/>
      <c r="N172" s="3"/>
      <c r="O172" s="3"/>
    </row>
    <row r="173" spans="2:15" ht="11" hidden="1"/>
    <row r="174" spans="2:15" ht="11" hidden="1"/>
    <row r="175" spans="2:15" ht="11" hidden="1"/>
    <row r="176" spans="2:15" ht="11" hidden="1"/>
    <row r="177" ht="11" hidden="1"/>
    <row r="178" ht="11" hidden="1"/>
    <row r="179" ht="11" hidden="1"/>
    <row r="180" ht="11" hidden="1"/>
    <row r="181" ht="11" hidden="1"/>
    <row r="182" ht="11" hidden="1"/>
    <row r="183" ht="11" hidden="1"/>
    <row r="184" ht="11" hidden="1"/>
    <row r="185" ht="11" hidden="1"/>
    <row r="186" ht="11" hidden="1"/>
    <row r="187" ht="11" hidden="1"/>
    <row r="188" ht="11" hidden="1"/>
    <row r="189" ht="11" hidden="1"/>
    <row r="190" ht="11" hidden="1"/>
  </sheetData>
  <conditionalFormatting sqref="Q1:R1">
    <cfRule type="cellIs" dxfId="0" priority="1" operator="equal">
      <formula>"Check"</formula>
    </cfRule>
  </conditionalFormatting>
  <pageMargins left="0.70866141732283472" right="0.70866141732283472" top="0.74803149606299213" bottom="0.74803149606299213" header="0.31496062992125984" footer="0.3149606299212598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2ab0ea5c-e90c-4fe0-9f45-3831bb29b8e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664AAD31D96F14E9E50C17B1F702264" ma:contentTypeVersion="13" ma:contentTypeDescription="Create a new document." ma:contentTypeScope="" ma:versionID="d8106b3b930c95988bfb5d7c12996a27">
  <xsd:schema xmlns:xsd="http://www.w3.org/2001/XMLSchema" xmlns:xs="http://www.w3.org/2001/XMLSchema" xmlns:p="http://schemas.microsoft.com/office/2006/metadata/properties" xmlns:ns3="052e2be1-aa1b-4c26-8da2-581ae3c19337" xmlns:ns4="2ab0ea5c-e90c-4fe0-9f45-3831bb29b8e0" targetNamespace="http://schemas.microsoft.com/office/2006/metadata/properties" ma:root="true" ma:fieldsID="eb69f92d437781b8920467a25176f535" ns3:_="" ns4:_="">
    <xsd:import namespace="052e2be1-aa1b-4c26-8da2-581ae3c19337"/>
    <xsd:import namespace="2ab0ea5c-e90c-4fe0-9f45-3831bb29b8e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LengthInSeconds" minOccurs="0"/>
                <xsd:element ref="ns4:MediaServiceAutoTags" minOccurs="0"/>
                <xsd:element ref="ns4:MediaServiceGenerationTime" minOccurs="0"/>
                <xsd:element ref="ns4:MediaServiceEventHashCode" minOccurs="0"/>
                <xsd:element ref="ns4:MediaServiceOCR" minOccurs="0"/>
                <xsd:element ref="ns4:_activity"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2e2be1-aa1b-4c26-8da2-581ae3c1933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ab0ea5c-e90c-4fe0-9f45-3831bb29b8e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_activity" ma:index="19" nillable="true" ma:displayName="_activity" ma:hidden="true" ma:internalName="_activity">
      <xsd:simpleType>
        <xsd:restriction base="dms:Note"/>
      </xsd:simpleType>
    </xsd:element>
    <xsd:element name="MediaServiceLocation" ma:index="20" nillable="true" ma:displayName="Location" ma:indexed="true"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1D44E00-154A-4B69-9A4C-35D5BB108EC3}">
  <ds:schemaRefs>
    <ds:schemaRef ds:uri="http://schemas.microsoft.com/sharepoint/v3/contenttype/forms"/>
  </ds:schemaRefs>
</ds:datastoreItem>
</file>

<file path=customXml/itemProps2.xml><?xml version="1.0" encoding="utf-8"?>
<ds:datastoreItem xmlns:ds="http://schemas.openxmlformats.org/officeDocument/2006/customXml" ds:itemID="{F64412A2-EC90-49B5-9E81-083F681AA40E}">
  <ds:schemaRefs>
    <ds:schemaRef ds:uri="2ab0ea5c-e90c-4fe0-9f45-3831bb29b8e0"/>
    <ds:schemaRef ds:uri="http://schemas.microsoft.com/office/2006/metadata/properties"/>
    <ds:schemaRef ds:uri="http://schemas.microsoft.com/office/2006/documentManagement/types"/>
    <ds:schemaRef ds:uri="http://www.w3.org/XML/1998/namespace"/>
    <ds:schemaRef ds:uri="http://purl.org/dc/elements/1.1/"/>
    <ds:schemaRef ds:uri="http://purl.org/dc/dcmitype/"/>
    <ds:schemaRef ds:uri="http://purl.org/dc/terms/"/>
    <ds:schemaRef ds:uri="http://schemas.microsoft.com/office/infopath/2007/PartnerControls"/>
    <ds:schemaRef ds:uri="http://schemas.openxmlformats.org/package/2006/metadata/core-properties"/>
    <ds:schemaRef ds:uri="052e2be1-aa1b-4c26-8da2-581ae3c19337"/>
  </ds:schemaRefs>
</ds:datastoreItem>
</file>

<file path=customXml/itemProps3.xml><?xml version="1.0" encoding="utf-8"?>
<ds:datastoreItem xmlns:ds="http://schemas.openxmlformats.org/officeDocument/2006/customXml" ds:itemID="{E10DC767-D77D-47BF-9A62-1DB42772E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52e2be1-aa1b-4c26-8da2-581ae3c19337"/>
    <ds:schemaRef ds:uri="2ab0ea5c-e90c-4fe0-9f45-3831bb29b8e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Cover Sheet</vt:lpstr>
      <vt:lpstr>DCF - Outputs</vt:lpstr>
      <vt:lpstr>DCF - Assumptions</vt:lpstr>
      <vt:lpstr>DCF - Financials</vt:lpstr>
      <vt:lpstr>DCF - Capital Structure</vt:lpstr>
      <vt:lpstr>DCF - Valuation</vt:lpstr>
      <vt:lpstr>Associates &amp; Joint Ventures</vt:lpstr>
      <vt:lpstr>DCF - Assumptions Document</vt:lpstr>
      <vt:lpstr>Comps - Selection</vt:lpstr>
      <vt:lpstr>Comps - Outputs</vt:lpstr>
      <vt:lpstr>Comps - Dataset</vt:lpstr>
      <vt:lpstr>Precedents - Selection</vt:lpstr>
      <vt:lpstr>Precedents - Dataset</vt:lpstr>
      <vt:lpstr>LBO - Outputs</vt:lpstr>
      <vt:lpstr>LBO - Assumptions</vt:lpstr>
      <vt:lpstr>LBO - Financials</vt:lpstr>
      <vt:lpstr>LBO - Assumptions Document</vt:lpstr>
      <vt:lpstr>'Cover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NIBC</dc:creator>
  <cp:keywords/>
  <dc:description/>
  <cp:lastModifiedBy>Microsoft Office User</cp:lastModifiedBy>
  <cp:revision/>
  <dcterms:created xsi:type="dcterms:W3CDTF">2018-11-30T19:25:49Z</dcterms:created>
  <dcterms:modified xsi:type="dcterms:W3CDTF">2024-01-09T12:16:58Z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0x0101008664AAD31D96F14E9E50C17B1F702264</vt:lpwstr>
  </property>
</Properties>
</file>