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defaultThemeVersion="124226"/>
  <xr:revisionPtr revIDLastSave="0" documentId="13_ncr:1_{8DD88732-396D-4ED0-9A57-720486ECA03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1" sheetId="2" r:id="rId1"/>
    <sheet name="11" sheetId="1" r:id="rId2"/>
    <sheet name="7777" sheetId="3" r:id="rId3"/>
  </sheets>
  <definedNames>
    <definedName name="_xlnm._FilterDatabase" localSheetId="1" hidden="1">'11'!$A$1:$N$372</definedName>
    <definedName name="_xlnm._FilterDatabase" localSheetId="2" hidden="1">'7777'!$B$1:$B$314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7" i="1"/>
  <c r="G13" i="1" l="1"/>
  <c r="D12" i="1"/>
  <c r="C11" i="1"/>
  <c r="D11" i="1" s="1"/>
  <c r="E9" i="1"/>
  <c r="E13" i="1" s="1"/>
  <c r="E10" i="1"/>
  <c r="E8" i="1"/>
  <c r="C7" i="1"/>
  <c r="D7" i="1" s="1"/>
  <c r="K7" i="1"/>
  <c r="F13" i="1" l="1"/>
  <c r="I9" i="1" s="1"/>
  <c r="I16" i="1"/>
  <c r="G16" i="1"/>
  <c r="E29" i="1"/>
  <c r="F29" i="1" s="1"/>
  <c r="E28" i="1"/>
  <c r="F28" i="1" s="1"/>
  <c r="G32" i="1"/>
  <c r="E31" i="1"/>
  <c r="F31" i="1" s="1"/>
  <c r="E30" i="1"/>
  <c r="F30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G49" i="1"/>
  <c r="I35" i="1"/>
  <c r="G35" i="1"/>
  <c r="E45" i="1"/>
  <c r="F45" i="1" s="1"/>
  <c r="E44" i="1"/>
  <c r="F44" i="1" s="1"/>
  <c r="E48" i="1"/>
  <c r="F48" i="1" s="1"/>
  <c r="E47" i="1"/>
  <c r="F47" i="1" s="1"/>
  <c r="E46" i="1"/>
  <c r="F46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I12" i="1" l="1"/>
  <c r="I10" i="1"/>
  <c r="I11" i="1"/>
  <c r="I8" i="1"/>
  <c r="I7" i="1"/>
  <c r="K18" i="1"/>
  <c r="K37" i="1"/>
  <c r="E32" i="1"/>
  <c r="F32" i="1"/>
  <c r="I31" i="1" s="1"/>
  <c r="F49" i="1"/>
  <c r="I47" i="1" s="1"/>
  <c r="E49" i="1"/>
  <c r="G310" i="1"/>
  <c r="I45" i="1" l="1"/>
  <c r="I39" i="1"/>
  <c r="I40" i="1"/>
  <c r="I37" i="1"/>
  <c r="I43" i="1"/>
  <c r="I44" i="1"/>
  <c r="I38" i="1"/>
  <c r="I48" i="1"/>
  <c r="I46" i="1"/>
  <c r="I24" i="1"/>
  <c r="I27" i="1"/>
  <c r="I30" i="1"/>
  <c r="I20" i="1"/>
  <c r="I23" i="1"/>
  <c r="I22" i="1"/>
  <c r="I25" i="1"/>
  <c r="I26" i="1"/>
  <c r="I19" i="1"/>
  <c r="I18" i="1"/>
  <c r="I41" i="1"/>
  <c r="I42" i="1"/>
  <c r="I29" i="1"/>
  <c r="I28" i="1"/>
  <c r="I21" i="1"/>
  <c r="F316" i="1"/>
  <c r="F317" i="1"/>
  <c r="F318" i="1"/>
  <c r="C316" i="1"/>
  <c r="D316" i="1" s="1"/>
  <c r="C317" i="1"/>
  <c r="D317" i="1" s="1"/>
  <c r="C318" i="1"/>
  <c r="D318" i="1" s="1"/>
  <c r="I310" i="1"/>
  <c r="G323" i="1"/>
  <c r="K312" i="1" s="1"/>
  <c r="E322" i="1"/>
  <c r="F322" i="1" s="1"/>
  <c r="E321" i="1"/>
  <c r="F321" i="1" s="1"/>
  <c r="E320" i="1"/>
  <c r="F320" i="1" s="1"/>
  <c r="E319" i="1"/>
  <c r="F319" i="1" s="1"/>
  <c r="E315" i="1"/>
  <c r="F315" i="1" s="1"/>
  <c r="E314" i="1"/>
  <c r="F314" i="1" s="1"/>
  <c r="E313" i="1"/>
  <c r="F313" i="1" s="1"/>
  <c r="E312" i="1"/>
  <c r="F312" i="1" s="1"/>
  <c r="G52" i="1"/>
  <c r="G64" i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I52" i="1"/>
  <c r="I32" i="1" l="1"/>
  <c r="J18" i="1" s="1"/>
  <c r="I49" i="1"/>
  <c r="J37" i="1" s="1"/>
  <c r="E323" i="1"/>
  <c r="K54" i="1"/>
  <c r="F64" i="1"/>
  <c r="I58" i="1" s="1"/>
  <c r="E64" i="1"/>
  <c r="G308" i="1"/>
  <c r="H308" i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I289" i="1"/>
  <c r="G289" i="1"/>
  <c r="K291" i="1" s="1"/>
  <c r="G80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69" i="1"/>
  <c r="F69" i="1" s="1"/>
  <c r="I67" i="1"/>
  <c r="G67" i="1"/>
  <c r="G276" i="1"/>
  <c r="G287" i="1" s="1"/>
  <c r="E273" i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72" i="1"/>
  <c r="F272" i="1" s="1"/>
  <c r="I270" i="1"/>
  <c r="E266" i="1"/>
  <c r="F266" i="1" s="1"/>
  <c r="F323" i="1" l="1"/>
  <c r="I59" i="1"/>
  <c r="I54" i="1"/>
  <c r="I63" i="1"/>
  <c r="I57" i="1"/>
  <c r="I62" i="1"/>
  <c r="I56" i="1"/>
  <c r="I61" i="1"/>
  <c r="I55" i="1"/>
  <c r="I60" i="1"/>
  <c r="E287" i="1"/>
  <c r="F80" i="1"/>
  <c r="I71" i="1" s="1"/>
  <c r="F273" i="1"/>
  <c r="E80" i="1"/>
  <c r="K69" i="1"/>
  <c r="K273" i="1"/>
  <c r="E260" i="1"/>
  <c r="F260" i="1" s="1"/>
  <c r="G256" i="1"/>
  <c r="K247" i="1" s="1"/>
  <c r="F251" i="1"/>
  <c r="F252" i="1"/>
  <c r="F253" i="1"/>
  <c r="F254" i="1"/>
  <c r="F255" i="1"/>
  <c r="D251" i="1"/>
  <c r="G220" i="1"/>
  <c r="G237" i="1"/>
  <c r="I220" i="1"/>
  <c r="I203" i="1"/>
  <c r="G203" i="1"/>
  <c r="E200" i="1"/>
  <c r="F200" i="1" s="1"/>
  <c r="E199" i="1"/>
  <c r="E195" i="1"/>
  <c r="G195" i="1"/>
  <c r="K188" i="1" s="1"/>
  <c r="F189" i="1"/>
  <c r="F190" i="1"/>
  <c r="F191" i="1"/>
  <c r="F192" i="1"/>
  <c r="F193" i="1"/>
  <c r="F194" i="1"/>
  <c r="F188" i="1"/>
  <c r="D189" i="1"/>
  <c r="D190" i="1"/>
  <c r="D191" i="1"/>
  <c r="D192" i="1"/>
  <c r="D193" i="1"/>
  <c r="D194" i="1"/>
  <c r="D188" i="1"/>
  <c r="D183" i="1"/>
  <c r="D182" i="1"/>
  <c r="E184" i="1"/>
  <c r="F183" i="1"/>
  <c r="F182" i="1"/>
  <c r="E176" i="1"/>
  <c r="F176" i="1" s="1"/>
  <c r="E170" i="1"/>
  <c r="F170" i="1" s="1"/>
  <c r="E164" i="1"/>
  <c r="E165" i="1"/>
  <c r="F165" i="1" s="1"/>
  <c r="E163" i="1"/>
  <c r="F163" i="1" s="1"/>
  <c r="F151" i="1"/>
  <c r="F152" i="1"/>
  <c r="F158" i="1"/>
  <c r="F150" i="1"/>
  <c r="G159" i="1"/>
  <c r="K150" i="1" s="1"/>
  <c r="D158" i="1"/>
  <c r="E157" i="1"/>
  <c r="D157" i="1" s="1"/>
  <c r="D152" i="1"/>
  <c r="D151" i="1"/>
  <c r="D150" i="1"/>
  <c r="E153" i="1"/>
  <c r="F153" i="1" s="1"/>
  <c r="E154" i="1"/>
  <c r="E155" i="1"/>
  <c r="F155" i="1" s="1"/>
  <c r="E156" i="1"/>
  <c r="F156" i="1" s="1"/>
  <c r="E145" i="1"/>
  <c r="F145" i="1" s="1"/>
  <c r="E144" i="1"/>
  <c r="I121" i="1"/>
  <c r="G140" i="1"/>
  <c r="G121" i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23" i="1"/>
  <c r="F123" i="1" s="1"/>
  <c r="E117" i="1"/>
  <c r="F117" i="1" s="1"/>
  <c r="I312" i="1" l="1"/>
  <c r="I315" i="1"/>
  <c r="I320" i="1"/>
  <c r="I314" i="1"/>
  <c r="I319" i="1"/>
  <c r="I313" i="1"/>
  <c r="I318" i="1"/>
  <c r="I317" i="1"/>
  <c r="I322" i="1"/>
  <c r="I316" i="1"/>
  <c r="I321" i="1"/>
  <c r="I64" i="1"/>
  <c r="J54" i="1" s="1"/>
  <c r="I70" i="1"/>
  <c r="I72" i="1"/>
  <c r="I76" i="1"/>
  <c r="I78" i="1"/>
  <c r="I69" i="1"/>
  <c r="I79" i="1"/>
  <c r="I77" i="1"/>
  <c r="I74" i="1"/>
  <c r="I75" i="1"/>
  <c r="I73" i="1"/>
  <c r="F287" i="1"/>
  <c r="I273" i="1" s="1"/>
  <c r="E201" i="1"/>
  <c r="K223" i="1"/>
  <c r="E146" i="1"/>
  <c r="F144" i="1"/>
  <c r="F146" i="1" s="1"/>
  <c r="I145" i="1" s="1"/>
  <c r="E159" i="1"/>
  <c r="F195" i="1"/>
  <c r="I191" i="1" s="1"/>
  <c r="F157" i="1"/>
  <c r="E166" i="1"/>
  <c r="F199" i="1"/>
  <c r="F201" i="1" s="1"/>
  <c r="I200" i="1" s="1"/>
  <c r="F184" i="1"/>
  <c r="I182" i="1" s="1"/>
  <c r="K124" i="1"/>
  <c r="F154" i="1"/>
  <c r="F164" i="1"/>
  <c r="F140" i="1"/>
  <c r="I134" i="1" s="1"/>
  <c r="E140" i="1"/>
  <c r="G83" i="1"/>
  <c r="K84" i="1" s="1"/>
  <c r="I183" i="1" l="1"/>
  <c r="I184" i="1" s="1"/>
  <c r="J182" i="1" s="1"/>
  <c r="I282" i="1"/>
  <c r="I80" i="1"/>
  <c r="J69" i="1" s="1"/>
  <c r="I272" i="1"/>
  <c r="I281" i="1"/>
  <c r="I280" i="1"/>
  <c r="I274" i="1"/>
  <c r="I283" i="1"/>
  <c r="I284" i="1"/>
  <c r="I278" i="1"/>
  <c r="I276" i="1"/>
  <c r="I279" i="1"/>
  <c r="I285" i="1"/>
  <c r="I286" i="1"/>
  <c r="I277" i="1"/>
  <c r="I275" i="1"/>
  <c r="I139" i="1"/>
  <c r="I138" i="1"/>
  <c r="F159" i="1"/>
  <c r="I132" i="1"/>
  <c r="I144" i="1"/>
  <c r="I146" i="1" s="1"/>
  <c r="J144" i="1" s="1"/>
  <c r="I133" i="1"/>
  <c r="I192" i="1"/>
  <c r="I190" i="1"/>
  <c r="I127" i="1"/>
  <c r="I135" i="1"/>
  <c r="I129" i="1"/>
  <c r="I126" i="1"/>
  <c r="I188" i="1"/>
  <c r="I199" i="1"/>
  <c r="I201" i="1" s="1"/>
  <c r="J199" i="1" s="1"/>
  <c r="I193" i="1"/>
  <c r="I136" i="1"/>
  <c r="I189" i="1"/>
  <c r="I194" i="1"/>
  <c r="F166" i="1"/>
  <c r="I124" i="1"/>
  <c r="I123" i="1"/>
  <c r="I137" i="1"/>
  <c r="I130" i="1"/>
  <c r="I131" i="1"/>
  <c r="I128" i="1"/>
  <c r="I125" i="1"/>
  <c r="I113" i="1"/>
  <c r="J111" i="1" s="1"/>
  <c r="G113" i="1"/>
  <c r="K111" i="1" s="1"/>
  <c r="E112" i="1"/>
  <c r="F112" i="1" s="1"/>
  <c r="E111" i="1"/>
  <c r="F111" i="1" s="1"/>
  <c r="E105" i="1"/>
  <c r="F105" i="1" s="1"/>
  <c r="I153" i="1" l="1"/>
  <c r="I287" i="1"/>
  <c r="J273" i="1" s="1"/>
  <c r="I150" i="1"/>
  <c r="I151" i="1"/>
  <c r="I154" i="1"/>
  <c r="I157" i="1"/>
  <c r="I152" i="1"/>
  <c r="I156" i="1"/>
  <c r="I158" i="1"/>
  <c r="I155" i="1"/>
  <c r="I195" i="1"/>
  <c r="J188" i="1" s="1"/>
  <c r="I165" i="1"/>
  <c r="I163" i="1"/>
  <c r="I140" i="1"/>
  <c r="J124" i="1" s="1"/>
  <c r="I164" i="1"/>
  <c r="F113" i="1"/>
  <c r="E113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5" i="1"/>
  <c r="G100" i="1"/>
  <c r="E100" i="1"/>
  <c r="I84" i="1"/>
  <c r="I13" i="1" l="1"/>
  <c r="J7" i="1" s="1"/>
  <c r="I159" i="1"/>
  <c r="J150" i="1" s="1"/>
  <c r="I166" i="1"/>
  <c r="J163" i="1" s="1"/>
  <c r="F100" i="1"/>
  <c r="I98" i="1" s="1"/>
  <c r="E241" i="1"/>
  <c r="F241" i="1" s="1"/>
  <c r="D235" i="1"/>
  <c r="D234" i="1"/>
  <c r="D233" i="1"/>
  <c r="F233" i="1"/>
  <c r="F234" i="1"/>
  <c r="F235" i="1"/>
  <c r="E236" i="1"/>
  <c r="F236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22" i="1"/>
  <c r="F222" i="1" s="1"/>
  <c r="E206" i="1"/>
  <c r="F206" i="1" s="1"/>
  <c r="E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05" i="1"/>
  <c r="F205" i="1" s="1"/>
  <c r="I90" i="1" l="1"/>
  <c r="F237" i="1"/>
  <c r="I92" i="1"/>
  <c r="I99" i="1"/>
  <c r="I93" i="1"/>
  <c r="I97" i="1"/>
  <c r="I91" i="1"/>
  <c r="I96" i="1"/>
  <c r="I85" i="1"/>
  <c r="I95" i="1"/>
  <c r="I86" i="1"/>
  <c r="I94" i="1"/>
  <c r="I87" i="1"/>
  <c r="I88" i="1"/>
  <c r="I89" i="1"/>
  <c r="E218" i="1"/>
  <c r="F207" i="1"/>
  <c r="F218" i="1" s="1"/>
  <c r="E237" i="1"/>
  <c r="D253" i="1"/>
  <c r="D254" i="1"/>
  <c r="D255" i="1"/>
  <c r="D252" i="1"/>
  <c r="E248" i="1"/>
  <c r="F248" i="1" s="1"/>
  <c r="E249" i="1"/>
  <c r="F249" i="1" s="1"/>
  <c r="E250" i="1"/>
  <c r="F250" i="1" s="1"/>
  <c r="E247" i="1"/>
  <c r="I228" i="1" l="1"/>
  <c r="F247" i="1"/>
  <c r="F256" i="1" s="1"/>
  <c r="I249" i="1" s="1"/>
  <c r="E256" i="1"/>
  <c r="I230" i="1"/>
  <c r="I235" i="1"/>
  <c r="I231" i="1"/>
  <c r="I222" i="1"/>
  <c r="I232" i="1"/>
  <c r="I233" i="1"/>
  <c r="I234" i="1"/>
  <c r="I225" i="1"/>
  <c r="I236" i="1"/>
  <c r="I223" i="1"/>
  <c r="I224" i="1"/>
  <c r="I229" i="1"/>
  <c r="I226" i="1"/>
  <c r="I227" i="1"/>
  <c r="G218" i="1"/>
  <c r="K206" i="1" s="1"/>
  <c r="I100" i="1"/>
  <c r="J84" i="1"/>
  <c r="I323" i="1" l="1"/>
  <c r="J312" i="1" s="1"/>
  <c r="I250" i="1"/>
  <c r="I248" i="1"/>
  <c r="I247" i="1"/>
  <c r="I254" i="1"/>
  <c r="I252" i="1"/>
  <c r="I253" i="1"/>
  <c r="I255" i="1"/>
  <c r="I251" i="1"/>
  <c r="I237" i="1"/>
  <c r="J223" i="1" s="1"/>
  <c r="I217" i="1"/>
  <c r="I212" i="1"/>
  <c r="I211" i="1"/>
  <c r="I215" i="1"/>
  <c r="I206" i="1"/>
  <c r="I205" i="1"/>
  <c r="I207" i="1"/>
  <c r="I208" i="1"/>
  <c r="I214" i="1"/>
  <c r="I213" i="1"/>
  <c r="I209" i="1"/>
  <c r="I210" i="1"/>
  <c r="I216" i="1"/>
  <c r="I256" i="1" l="1"/>
  <c r="J247" i="1" s="1"/>
  <c r="I218" i="1"/>
  <c r="J206" i="1" s="1"/>
  <c r="E308" i="1"/>
  <c r="F291" i="1"/>
  <c r="F308" i="1" l="1"/>
  <c r="I297" i="1" l="1"/>
  <c r="I301" i="1"/>
  <c r="I299" i="1"/>
  <c r="I302" i="1"/>
  <c r="I292" i="1"/>
  <c r="I306" i="1"/>
  <c r="I304" i="1"/>
  <c r="I307" i="1"/>
  <c r="I294" i="1"/>
  <c r="I305" i="1"/>
  <c r="I300" i="1"/>
  <c r="I303" i="1"/>
  <c r="I298" i="1"/>
  <c r="I296" i="1"/>
  <c r="I293" i="1"/>
  <c r="I295" i="1"/>
  <c r="I291" i="1"/>
  <c r="I308" i="1" l="1"/>
  <c r="J291" i="1" s="1"/>
</calcChain>
</file>

<file path=xl/sharedStrings.xml><?xml version="1.0" encoding="utf-8"?>
<sst xmlns="http://schemas.openxmlformats.org/spreadsheetml/2006/main" count="620" uniqueCount="155">
  <si>
    <t>10702070/191122/3404242</t>
  </si>
  <si>
    <t>SILICONE RUBBER ZY-830</t>
  </si>
  <si>
    <t>ндс</t>
  </si>
  <si>
    <t>пошлина</t>
  </si>
  <si>
    <t>таможня</t>
  </si>
  <si>
    <t>КИ 320.01.01(***) (половинка экрана)</t>
  </si>
  <si>
    <t>КИ 72.00.031 (***)</t>
  </si>
  <si>
    <t>КИ 320.00.04 (***)</t>
  </si>
  <si>
    <t>Стеклостержень D20 (***) кислотостойкий</t>
  </si>
  <si>
    <t>Стеклостержень D26 (кислотостойкий)</t>
  </si>
  <si>
    <t>Стеклостержень D36 (кислотостойкий)</t>
  </si>
  <si>
    <t>там ст-ть руб</t>
  </si>
  <si>
    <t>курс</t>
  </si>
  <si>
    <t>%</t>
  </si>
  <si>
    <t>Стеклостержень D80*1071мм</t>
  </si>
  <si>
    <t>Стеклостержень D110*2276 мм</t>
  </si>
  <si>
    <t>Стеклостержень D46 (кислотостойкий)</t>
  </si>
  <si>
    <t>КИ 251.00.02 (***)</t>
  </si>
  <si>
    <t>КИ 07.00.01 Ф (***)</t>
  </si>
  <si>
    <t>КИ 239.01.01(***)</t>
  </si>
  <si>
    <t>КИ 20.01.02/120 Г DC (***)</t>
  </si>
  <si>
    <t>КИ 368.00.01 (***)</t>
  </si>
  <si>
    <t>КИ 01.01.05-01 Пр (***)</t>
  </si>
  <si>
    <t>КИ 50.00.00-021 (***)</t>
  </si>
  <si>
    <t>КИ 50.00.00-022 (***)</t>
  </si>
  <si>
    <t>КИ 53.00.01-01 Ф (***)</t>
  </si>
  <si>
    <t>КИ 53.00.01-02 Ф (***)</t>
  </si>
  <si>
    <t>КИ 53.00.010 Ф (***)</t>
  </si>
  <si>
    <t>КИ 63.00.011 (***)</t>
  </si>
  <si>
    <t>КИ 631.01.050 (***)</t>
  </si>
  <si>
    <t>КИ 72.00.071 (***)</t>
  </si>
  <si>
    <t>КИ 72.00.101(***)</t>
  </si>
  <si>
    <t>КИ 72.00.0710 (***)</t>
  </si>
  <si>
    <t>КИ 06.00.04 Э</t>
  </si>
  <si>
    <t>КИ 383.00.02 (03) (***)</t>
  </si>
  <si>
    <t>КИ 128.00.03 (***)</t>
  </si>
  <si>
    <t>КИ 23.00.03 (***)</t>
  </si>
  <si>
    <t>КИ 277.01.06 (***)</t>
  </si>
  <si>
    <t>КИ 631.01.01 (***)</t>
  </si>
  <si>
    <t>КИ 631.01.02 (***)</t>
  </si>
  <si>
    <t>КИ 72.00.041 (***)</t>
  </si>
  <si>
    <t>КИ 72.00.061 (***)</t>
  </si>
  <si>
    <t>Стеклостержень D80*1021мм</t>
  </si>
  <si>
    <t>Стеклостержень D80*1221мм</t>
  </si>
  <si>
    <t>Стеклостержень D110*1576 мм</t>
  </si>
  <si>
    <t>Стеклостержень D110*1676 мм</t>
  </si>
  <si>
    <t>Стеклостержень D16 (кислостойкий)</t>
  </si>
  <si>
    <t>10702070/091222/3438510</t>
  </si>
  <si>
    <t>22/1 спец 6</t>
  </si>
  <si>
    <t>КИ 06.00.02 Г  (***)</t>
  </si>
  <si>
    <t>КИ 72.00.081 (***)</t>
  </si>
  <si>
    <t>КИ 72.00.120  (***)</t>
  </si>
  <si>
    <t>22/2 спец 11</t>
  </si>
  <si>
    <t>10702070/200123/3028457</t>
  </si>
  <si>
    <t>проверка ндс</t>
  </si>
  <si>
    <t>22/2 сп 8</t>
  </si>
  <si>
    <t>КИ 219.03.00 СБ (***)</t>
  </si>
  <si>
    <t>КИ 07.00.01-01 Ф (***)</t>
  </si>
  <si>
    <t>Стеклостержень D80*1021мм (кислотостойкий)</t>
  </si>
  <si>
    <t>China Energy and Chemical</t>
  </si>
  <si>
    <t>элсил</t>
  </si>
  <si>
    <t>Dong Guan</t>
  </si>
  <si>
    <t>22/3 спец 4</t>
  </si>
  <si>
    <t>10228010/100123/3004016</t>
  </si>
  <si>
    <t>10702070/121222/3441978</t>
  </si>
  <si>
    <t>Yangzhou FAYUN  ELECTRIC</t>
  </si>
  <si>
    <t>22/2 спец 13</t>
  </si>
  <si>
    <t>10228020/010523/5009435</t>
  </si>
  <si>
    <t>22/3 спец 7</t>
  </si>
  <si>
    <t>10228020/280523/5020263</t>
  </si>
  <si>
    <t>RUGAO</t>
  </si>
  <si>
    <t>23/1 спец 11</t>
  </si>
  <si>
    <t>10702070/170423/3154360</t>
  </si>
  <si>
    <t>КИ 340.00.01 (***)</t>
  </si>
  <si>
    <t>КИ 373.01.02 (***)</t>
  </si>
  <si>
    <t>ст-сть валюта</t>
  </si>
  <si>
    <t>проверка пошлины</t>
  </si>
  <si>
    <t>КИ 06.00.22 DC (***)</t>
  </si>
  <si>
    <t>КИ 72.00.050 (***)</t>
  </si>
  <si>
    <t>КИ 320.00.01(***)</t>
  </si>
  <si>
    <t>КИ 320.00.02(***)</t>
  </si>
  <si>
    <t>КИ 320.00.10 (***)</t>
  </si>
  <si>
    <t>22/2 спец 12</t>
  </si>
  <si>
    <t>10009100/210323/3040725</t>
  </si>
  <si>
    <t>Модификатор MRA-2</t>
  </si>
  <si>
    <t>кол-во</t>
  </si>
  <si>
    <t>цена вал</t>
  </si>
  <si>
    <t>10228020/210323/3020134</t>
  </si>
  <si>
    <t>Экран КИ 93.10.01 (***)</t>
  </si>
  <si>
    <t>КИ 251.03.00 СБ (***)</t>
  </si>
  <si>
    <t>КИ 05.01.05 (***) Проушина</t>
  </si>
  <si>
    <t>КИ 50.00.00-041 (***)</t>
  </si>
  <si>
    <t>DONGJUE SILICONE</t>
  </si>
  <si>
    <t>10228020/200323/5001035</t>
  </si>
  <si>
    <t>20/5 спец 17</t>
  </si>
  <si>
    <t>SILICONE RUBBER NE-7120</t>
  </si>
  <si>
    <t>SILICONE RUBBER NE-9830</t>
  </si>
  <si>
    <t>22/1 спец 9</t>
  </si>
  <si>
    <t>10228020/140223/5000536</t>
  </si>
  <si>
    <t>Стеклостержень D16  (***)</t>
  </si>
  <si>
    <t>Стеклостержень D26 (***)</t>
  </si>
  <si>
    <t>Стеклостержень D36 (***)</t>
  </si>
  <si>
    <t>Стеклостержень D110*1476 мм</t>
  </si>
  <si>
    <t>Стеклостержень D110*2076 мм</t>
  </si>
  <si>
    <t>20/5 спец 16</t>
  </si>
  <si>
    <t>10228020/140223/3009372</t>
  </si>
  <si>
    <t>SILICONE RUBBER NE-161</t>
  </si>
  <si>
    <t>22/3 спец 6</t>
  </si>
  <si>
    <t>10228010/070223/3030976</t>
  </si>
  <si>
    <t>22/3 спец 5</t>
  </si>
  <si>
    <t>10228010/060223/3029006</t>
  </si>
  <si>
    <t>20/5 спец 14</t>
  </si>
  <si>
    <t>10228020/020223/3006282</t>
  </si>
  <si>
    <t>22/1 спец 8</t>
  </si>
  <si>
    <t>Стеклостержень D20 (***)</t>
  </si>
  <si>
    <t>Стеклостержень D80*1191мм</t>
  </si>
  <si>
    <t>10228020/310123/3005292</t>
  </si>
  <si>
    <t>20/5 спец 15</t>
  </si>
  <si>
    <t>10228010/270123/3021053</t>
  </si>
  <si>
    <t>SolPro Danismanlik ve Kimya Sa</t>
  </si>
  <si>
    <t>Инвестэнерго EUR</t>
  </si>
  <si>
    <t>22/4 сп 1</t>
  </si>
  <si>
    <t>10228010/241222/3419672</t>
  </si>
  <si>
    <t>Inoser 2730 (Elastosil R 401/30 S)</t>
  </si>
  <si>
    <t>22/3 спец 3</t>
  </si>
  <si>
    <t>10228010/241122/3388252</t>
  </si>
  <si>
    <t>Henan Jingwei Electric</t>
  </si>
  <si>
    <t>20/6 спец 24</t>
  </si>
  <si>
    <t>10702070/191122/3404235</t>
  </si>
  <si>
    <t>КИ 50.00.00-051 (***)</t>
  </si>
  <si>
    <t>КИ 72.00.111 (***)</t>
  </si>
  <si>
    <t>КИ 72.00.030  (***)</t>
  </si>
  <si>
    <t>КИ 320.00.08 (***)</t>
  </si>
  <si>
    <t>22/2 спец 15</t>
  </si>
  <si>
    <t>10228010/290523/5051284</t>
  </si>
  <si>
    <t>КИ 06.00.06 У (***)</t>
  </si>
  <si>
    <t>КИ 63.00.0101 (***)</t>
  </si>
  <si>
    <t>20/6 спец 25</t>
  </si>
  <si>
    <t>22/2 спец 14</t>
  </si>
  <si>
    <t>10228010/290523/5051127</t>
  </si>
  <si>
    <t>22/2 сп 10</t>
  </si>
  <si>
    <t>10702070/171122/3401898</t>
  </si>
  <si>
    <t>КИ 320.00.080 (***)</t>
  </si>
  <si>
    <t>Стеклостержень D80*1071мм (кислотостойкий)</t>
  </si>
  <si>
    <t>Стеклостержень D80*1221мм (кислотостойкий)</t>
  </si>
  <si>
    <t>Стеклостержень D110*1576 мм (кислотостойкий)</t>
  </si>
  <si>
    <t>Стеклостержень D110*2276 мм(кислотостойкий)</t>
  </si>
  <si>
    <t>22/2 спец 16</t>
  </si>
  <si>
    <t>10228010/300523/50527</t>
  </si>
  <si>
    <t>КИ 219.00.01 (***)</t>
  </si>
  <si>
    <t>22/2 спец 17</t>
  </si>
  <si>
    <t>10228010/300523/5052829</t>
  </si>
  <si>
    <t>22/1 спец 10</t>
  </si>
  <si>
    <t>10228020/040623/5022526</t>
  </si>
  <si>
    <t>Стеклостержень D46 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</si>
</sst>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1" xfId="0" applyBorder="1"/>
    <xf numFmtId="0" fontId="2" fillId="0" borderId="1" xfId="0" applyFont="1" applyBorder="1"/>
    <xf numFmtId="4" fontId="0" fillId="0" borderId="1" xfId="0" applyNumberFormat="1" applyBorder="1"/>
    <xf numFmtId="4" fontId="0" fillId="0" borderId="1" xfId="0" applyNumberFormat="1" applyFill="1" applyBorder="1"/>
    <xf numFmtId="4" fontId="2" fillId="0" borderId="1" xfId="0" applyNumberFormat="1" applyFont="1" applyBorder="1"/>
    <xf numFmtId="4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4" fontId="2" fillId="0" borderId="1" xfId="0" applyNumberFormat="1" applyFont="1" applyFill="1" applyBorder="1"/>
    <xf numFmtId="4" fontId="0" fillId="0" borderId="0" xfId="0" applyNumberFormat="1"/>
    <xf numFmtId="0" fontId="2" fillId="0" borderId="3" xfId="0" applyFont="1" applyBorder="1"/>
    <xf numFmtId="4" fontId="2" fillId="0" borderId="3" xfId="0" applyNumberFormat="1" applyFont="1" applyBorder="1"/>
    <xf numFmtId="0" fontId="0" fillId="0" borderId="1" xfId="0" applyFill="1" applyBorder="1"/>
    <xf numFmtId="4" fontId="0" fillId="0" borderId="0" xfId="0" applyNumberFormat="1" applyFill="1" applyBorder="1"/>
    <xf numFmtId="0" fontId="2" fillId="0" borderId="4" xfId="0" applyFont="1" applyBorder="1"/>
    <xf numFmtId="0" fontId="1" fillId="0" borderId="1" xfId="2" applyBorder="1"/>
    <xf numFmtId="4" fontId="1" fillId="0" borderId="1" xfId="2" applyNumberFormat="1" applyBorder="1"/>
    <xf numFmtId="0" fontId="1" fillId="0" borderId="1" xfId="2" applyFill="1" applyBorder="1"/>
    <xf numFmtId="0" fontId="0" fillId="0" borderId="4" xfId="0" applyBorder="1"/>
    <xf numFmtId="4" fontId="0" fillId="0" borderId="0" xfId="0" applyNumberFormat="1" applyBorder="1"/>
    <xf numFmtId="0" fontId="2" fillId="2" borderId="1" xfId="0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2" fillId="0" borderId="4" xfId="0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14" fontId="2" fillId="0" borderId="1" xfId="0" applyNumberFormat="1" applyFont="1" applyBorder="1" applyAlignment="1">
      <alignment horizontal="center" vertical="center"/>
    </xf>
    <xf numFmtId="14" fontId="2" fillId="5" borderId="5" xfId="0" applyNumberFormat="1" applyFont="1" applyFill="1" applyBorder="1" applyAlignment="1">
      <alignment horizontal="center"/>
    </xf>
    <xf numFmtId="0" fontId="0" fillId="5" borderId="0" xfId="0" applyFill="1" applyBorder="1"/>
    <xf numFmtId="4" fontId="0" fillId="5" borderId="0" xfId="0" applyNumberFormat="1" applyFill="1" applyBorder="1"/>
    <xf numFmtId="0" fontId="0" fillId="5" borderId="0" xfId="0" applyFill="1"/>
    <xf numFmtId="4" fontId="0" fillId="5" borderId="0" xfId="0" applyNumberFormat="1" applyFill="1"/>
    <xf numFmtId="14" fontId="2" fillId="5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3" xfId="0" applyFont="1" applyFill="1" applyBorder="1"/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4" borderId="1" xfId="0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10" fontId="4" fillId="0" borderId="0" xfId="1" applyNumberFormat="1" applyFont="1" applyFill="1" applyBorder="1"/>
    <xf numFmtId="0" fontId="0" fillId="0" borderId="9" xfId="0" applyBorder="1"/>
    <xf numFmtId="4" fontId="0" fillId="0" borderId="9" xfId="0" applyNumberFormat="1" applyBorder="1"/>
    <xf numFmtId="4" fontId="2" fillId="0" borderId="10" xfId="0" applyNumberFormat="1" applyFont="1" applyBorder="1"/>
    <xf numFmtId="0" fontId="0" fillId="0" borderId="9" xfId="0" applyFill="1" applyBorder="1"/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3" xfId="0" applyBorder="1"/>
    <xf numFmtId="4" fontId="1" fillId="0" borderId="1" xfId="2" applyNumberFormat="1" applyFill="1" applyBorder="1"/>
    <xf numFmtId="14" fontId="2" fillId="3" borderId="2" xfId="0" applyNumberFormat="1" applyFont="1" applyFill="1" applyBorder="1" applyAlignment="1">
      <alignment horizontal="center" vertical="center"/>
    </xf>
    <xf numFmtId="0" fontId="1" fillId="6" borderId="1" xfId="2" applyFill="1" applyBorder="1"/>
    <xf numFmtId="0" fontId="0" fillId="6" borderId="1" xfId="0" applyFill="1" applyBorder="1"/>
    <xf numFmtId="0" fontId="0" fillId="2" borderId="0" xfId="0" applyFill="1"/>
    <xf numFmtId="4" fontId="0" fillId="2" borderId="0" xfId="0" applyNumberFormat="1" applyFill="1"/>
  </cellXfs>
  <cellStyles count="3">
    <cellStyle name="Обычный" xfId="0" builtinId="0"/>
    <cellStyle name="Обычный 2" xfId="2" xr:uid="{00000000-0005-0000-0000-000001000000}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R562"/>
  <sheetViews>
    <sheetView tabSelected="1" topLeftCell="D1" workbookViewId="0">
      <selection activeCell="M11" sqref="M11"/>
    </sheetView>
  </sheetViews>
  <sheetFormatPr defaultRowHeight="14.4" x14ac:dyDescent="0.3"/>
  <cols>
    <col min="1" max="1" width="29.6640625" customWidth="1"/>
    <col min="2" max="2" width="35" customWidth="1"/>
    <col min="3" max="3" width="11" customWidth="1"/>
    <col min="4" max="4" width="9" bestFit="1" customWidth="1"/>
    <col min="5" max="5" width="13.109375" customWidth="1"/>
    <col min="6" max="6" width="14.88671875" customWidth="1"/>
    <col min="7" max="7" width="11.5546875" customWidth="1"/>
    <col min="8" max="8" width="10.21875" customWidth="1"/>
    <col min="9" max="9" width="11.44140625" customWidth="1"/>
    <col min="10" max="10" width="13.33203125" customWidth="1"/>
    <col min="11" max="11" width="25" customWidth="1"/>
    <col min="12" max="12" width="9.88671875" bestFit="1" customWidth="1"/>
    <col min="13" max="13" width="10.33203125" style="61" customWidth="1"/>
    <col min="14" max="14" width="10.77734375" customWidth="1"/>
  </cols>
  <sheetData>
    <row r="4" spans="1:13" ht="15" thickBot="1" x14ac:dyDescent="0.35"/>
    <row r="5" spans="1:13" x14ac:dyDescent="0.3">
      <c r="A5" s="40" t="s">
        <v>65</v>
      </c>
      <c r="C5" s="2" t="s">
        <v>12</v>
      </c>
      <c r="D5" s="2" t="s">
        <v>4</v>
      </c>
      <c r="G5" s="5">
        <v>287888.86</v>
      </c>
      <c r="I5" s="5">
        <v>943389.64</v>
      </c>
    </row>
    <row r="6" spans="1:13" x14ac:dyDescent="0.3">
      <c r="A6" s="41" t="s">
        <v>60</v>
      </c>
      <c r="C6" s="2">
        <v>11.4139</v>
      </c>
      <c r="D6" s="5">
        <v>15500</v>
      </c>
      <c r="E6" s="1" t="s">
        <v>75</v>
      </c>
      <c r="F6" s="1" t="s">
        <v>11</v>
      </c>
      <c r="G6" s="1" t="s">
        <v>3</v>
      </c>
      <c r="H6" s="1" t="s">
        <v>13</v>
      </c>
      <c r="I6" s="1" t="s">
        <v>2</v>
      </c>
      <c r="J6" s="22" t="s">
        <v>54</v>
      </c>
      <c r="K6" s="22" t="s">
        <v>76</v>
      </c>
    </row>
    <row r="7" spans="1:13" x14ac:dyDescent="0.3">
      <c r="A7" s="42">
        <v>45081</v>
      </c>
      <c r="B7" s="1" t="s">
        <v>154</v>
      </c>
      <c r="C7" s="3">
        <f>2.8*305</f>
        <v>854</v>
      </c>
      <c r="D7" s="3">
        <f>E7/C7</f>
        <v>56.778571428571432</v>
      </c>
      <c r="E7" s="3">
        <v>48488.9</v>
      </c>
      <c r="F7" s="3">
        <v>40620.390000000014</v>
      </c>
      <c r="G7" s="3">
        <v>13070.04</v>
      </c>
      <c r="H7" s="1">
        <v>6.5</v>
      </c>
      <c r="I7" s="3">
        <f>$I$5*((F7+G7)/($F$13+$G$13))</f>
        <v>125844.58111869288</v>
      </c>
      <c r="J7" s="24">
        <f>I5-I13</f>
        <v>0</v>
      </c>
      <c r="K7" s="24">
        <f>G5-G13</f>
        <v>173289.22999999998</v>
      </c>
      <c r="M7" s="62">
        <f>F7+G7+I7</f>
        <v>179535.0111186929</v>
      </c>
    </row>
    <row r="8" spans="1:13" x14ac:dyDescent="0.3">
      <c r="A8" s="43" t="s">
        <v>152</v>
      </c>
      <c r="B8" s="1" t="s">
        <v>42</v>
      </c>
      <c r="C8" s="3">
        <v>903</v>
      </c>
      <c r="D8" s="3">
        <v>177.54</v>
      </c>
      <c r="E8" s="3">
        <f>D8*C8</f>
        <v>160318.62</v>
      </c>
      <c r="F8" s="3">
        <v>134303.02000000002</v>
      </c>
      <c r="G8" s="3">
        <v>26150.26</v>
      </c>
      <c r="H8" s="1">
        <v>6.5</v>
      </c>
      <c r="I8" s="3">
        <f t="shared" ref="I8:I12" si="0">$I$5*((F8+G8)/($F$13+$G$13))</f>
        <v>376085.19452573464</v>
      </c>
      <c r="M8" s="62">
        <f t="shared" ref="M8:M71" si="1">F8+G8+I8</f>
        <v>536538.47452573467</v>
      </c>
    </row>
    <row r="9" spans="1:13" ht="15" thickBot="1" x14ac:dyDescent="0.35">
      <c r="A9" s="44" t="s">
        <v>153</v>
      </c>
      <c r="B9" s="1" t="s">
        <v>43</v>
      </c>
      <c r="C9" s="3">
        <v>5</v>
      </c>
      <c r="D9" s="3">
        <v>213.69</v>
      </c>
      <c r="E9" s="3">
        <f t="shared" ref="E9:E10" si="2">D9*C9</f>
        <v>1068.45</v>
      </c>
      <c r="F9" s="3">
        <v>895.06999999999971</v>
      </c>
      <c r="G9" s="3">
        <v>26157.23</v>
      </c>
      <c r="H9" s="1">
        <v>6.5</v>
      </c>
      <c r="I9" s="3">
        <f t="shared" si="0"/>
        <v>63407.675479544756</v>
      </c>
      <c r="M9" s="62">
        <f t="shared" si="1"/>
        <v>90459.975479544752</v>
      </c>
    </row>
    <row r="10" spans="1:13" x14ac:dyDescent="0.3">
      <c r="B10" s="1" t="s">
        <v>14</v>
      </c>
      <c r="C10" s="3">
        <v>172</v>
      </c>
      <c r="D10" s="1">
        <v>187.22</v>
      </c>
      <c r="E10" s="3">
        <f t="shared" si="2"/>
        <v>32201.84</v>
      </c>
      <c r="F10" s="3">
        <v>26976.309999999998</v>
      </c>
      <c r="G10" s="3">
        <v>19563.39</v>
      </c>
      <c r="H10" s="1">
        <v>6.5</v>
      </c>
      <c r="I10" s="3">
        <f t="shared" si="0"/>
        <v>109084.04071060017</v>
      </c>
      <c r="M10" s="62">
        <f t="shared" si="1"/>
        <v>155623.74071060016</v>
      </c>
    </row>
    <row r="11" spans="1:13" x14ac:dyDescent="0.3">
      <c r="B11" s="1" t="s">
        <v>10</v>
      </c>
      <c r="C11" s="3">
        <f>492*2.8</f>
        <v>1377.6</v>
      </c>
      <c r="D11" s="1">
        <f>E11/C11</f>
        <v>37.471428571428575</v>
      </c>
      <c r="E11" s="3">
        <v>51620.639999999999</v>
      </c>
      <c r="F11" s="3">
        <v>42525.430000000051</v>
      </c>
      <c r="G11" s="3">
        <v>14955.62</v>
      </c>
      <c r="H11" s="1">
        <v>6.5</v>
      </c>
      <c r="I11" s="3">
        <f t="shared" si="0"/>
        <v>134729.38584236789</v>
      </c>
      <c r="M11" s="62">
        <f t="shared" si="1"/>
        <v>192210.43584236794</v>
      </c>
    </row>
    <row r="12" spans="1:13" x14ac:dyDescent="0.3">
      <c r="B12" s="1" t="s">
        <v>16</v>
      </c>
      <c r="C12" s="3">
        <v>305</v>
      </c>
      <c r="D12" s="1">
        <f>E12/C12</f>
        <v>169.42</v>
      </c>
      <c r="E12" s="3">
        <v>51673.1</v>
      </c>
      <c r="F12" s="3">
        <v>42568.640000000014</v>
      </c>
      <c r="G12" s="3">
        <v>14703.09</v>
      </c>
      <c r="H12" s="1">
        <v>6.5</v>
      </c>
      <c r="I12" s="3">
        <f t="shared" si="0"/>
        <v>134238.76232305969</v>
      </c>
      <c r="M12" s="62">
        <f t="shared" si="1"/>
        <v>191510.49232305971</v>
      </c>
    </row>
    <row r="13" spans="1:13" x14ac:dyDescent="0.3">
      <c r="E13" s="5">
        <f>SUM(E7:E12)</f>
        <v>345371.55</v>
      </c>
      <c r="F13" s="5">
        <f>SUM(F7:F12)</f>
        <v>287888.8600000001</v>
      </c>
      <c r="G13" s="5">
        <f>SUM(G7:G12)</f>
        <v>114599.62999999999</v>
      </c>
      <c r="H13" s="5"/>
      <c r="I13" s="5">
        <f>SUM(I7:I12)</f>
        <v>943389.64000000013</v>
      </c>
      <c r="M13" s="62">
        <f t="shared" si="1"/>
        <v>1345878.1300000004</v>
      </c>
    </row>
    <row r="14" spans="1:13" s="33" customFormat="1" ht="15" thickBot="1" x14ac:dyDescent="0.35">
      <c r="A14" s="30"/>
      <c r="B14" s="31"/>
      <c r="C14" s="31"/>
      <c r="D14" s="31"/>
      <c r="E14" s="32"/>
      <c r="F14" s="32"/>
      <c r="G14" s="32"/>
      <c r="H14" s="31"/>
      <c r="I14" s="31"/>
      <c r="K14" s="34"/>
      <c r="L14" s="34"/>
      <c r="M14" s="62">
        <f t="shared" si="1"/>
        <v>0</v>
      </c>
    </row>
    <row r="15" spans="1:13" x14ac:dyDescent="0.3">
      <c r="A15" s="40" t="s">
        <v>59</v>
      </c>
      <c r="B15" s="1"/>
      <c r="C15" s="2" t="s">
        <v>12</v>
      </c>
      <c r="D15" s="2" t="s">
        <v>4</v>
      </c>
      <c r="E15" s="5"/>
      <c r="F15" s="1"/>
      <c r="G15" s="1"/>
      <c r="H15" s="1"/>
      <c r="I15" s="1"/>
      <c r="M15" s="62">
        <f t="shared" si="1"/>
        <v>0</v>
      </c>
    </row>
    <row r="16" spans="1:13" x14ac:dyDescent="0.3">
      <c r="A16" s="41" t="s">
        <v>60</v>
      </c>
      <c r="B16" s="1"/>
      <c r="C16" s="2">
        <v>11.290100000000001</v>
      </c>
      <c r="D16" s="5">
        <v>15500</v>
      </c>
      <c r="E16" s="1"/>
      <c r="F16" s="1"/>
      <c r="G16" s="10">
        <f>261948.89+10737.76+272689.54</f>
        <v>545376.18999999994</v>
      </c>
      <c r="H16" s="1"/>
      <c r="I16" s="10">
        <f>455388.07+18667.18+599916.98</f>
        <v>1073972.23</v>
      </c>
      <c r="M16" s="62">
        <f t="shared" si="1"/>
        <v>1619348.42</v>
      </c>
    </row>
    <row r="17" spans="1:14" x14ac:dyDescent="0.3">
      <c r="A17" s="42">
        <v>45076</v>
      </c>
      <c r="B17" s="1"/>
      <c r="C17" s="1"/>
      <c r="D17" s="1"/>
      <c r="E17" s="1" t="s">
        <v>75</v>
      </c>
      <c r="F17" s="1" t="s">
        <v>11</v>
      </c>
      <c r="G17" s="1" t="s">
        <v>3</v>
      </c>
      <c r="H17" s="1" t="s">
        <v>13</v>
      </c>
      <c r="I17" s="1" t="s">
        <v>2</v>
      </c>
      <c r="J17" s="22" t="s">
        <v>54</v>
      </c>
      <c r="K17" s="22" t="s">
        <v>76</v>
      </c>
      <c r="M17" s="62" t="e">
        <f t="shared" si="1"/>
        <v>#VALUE!</v>
      </c>
    </row>
    <row r="18" spans="1:14" x14ac:dyDescent="0.3">
      <c r="A18" s="43" t="s">
        <v>150</v>
      </c>
      <c r="B18" s="1" t="s">
        <v>20</v>
      </c>
      <c r="C18" s="1">
        <v>8900</v>
      </c>
      <c r="D18" s="1">
        <v>20</v>
      </c>
      <c r="E18" s="3">
        <f>D18*C18</f>
        <v>178000</v>
      </c>
      <c r="F18" s="3">
        <f>E18*$C$16</f>
        <v>2009637.8</v>
      </c>
      <c r="G18" s="3">
        <v>212534.97999999975</v>
      </c>
      <c r="H18" s="1">
        <v>10</v>
      </c>
      <c r="I18" s="3">
        <f>$I$16*((F18+G18)/($F$32+$G$32))</f>
        <v>468924.53392149124</v>
      </c>
      <c r="J18" s="24">
        <f>I16-I32</f>
        <v>0</v>
      </c>
      <c r="K18" s="24">
        <f>G16-G32</f>
        <v>0</v>
      </c>
      <c r="M18" s="62">
        <f t="shared" si="1"/>
        <v>2691097.3139214911</v>
      </c>
      <c r="N18" s="11"/>
    </row>
    <row r="19" spans="1:14" ht="15" thickBot="1" x14ac:dyDescent="0.35">
      <c r="A19" s="44" t="s">
        <v>151</v>
      </c>
      <c r="B19" s="1" t="s">
        <v>135</v>
      </c>
      <c r="C19" s="1">
        <v>1600</v>
      </c>
      <c r="D19" s="1">
        <v>9.1999999999999993</v>
      </c>
      <c r="E19" s="3">
        <f t="shared" ref="E19:E31" si="3">D19*C19</f>
        <v>14719.999999999998</v>
      </c>
      <c r="F19" s="3">
        <f t="shared" ref="F19:F31" si="4">E19*$C$16</f>
        <v>166190.272</v>
      </c>
      <c r="G19" s="3">
        <v>17575.93</v>
      </c>
      <c r="H19" s="1">
        <v>10</v>
      </c>
      <c r="I19" s="3">
        <f t="shared" ref="I19:I31" si="5">$I$16*((F19+G19)/($F$32+$G$32))</f>
        <v>38778.479062898346</v>
      </c>
      <c r="M19" s="62">
        <f t="shared" si="1"/>
        <v>222544.68106289834</v>
      </c>
      <c r="N19" s="11"/>
    </row>
    <row r="20" spans="1:14" x14ac:dyDescent="0.3">
      <c r="B20" s="1" t="s">
        <v>6</v>
      </c>
      <c r="C20" s="1">
        <v>351</v>
      </c>
      <c r="D20" s="1">
        <v>60</v>
      </c>
      <c r="E20" s="3">
        <f t="shared" si="3"/>
        <v>21060</v>
      </c>
      <c r="F20" s="3">
        <f t="shared" si="4"/>
        <v>237769.50600000002</v>
      </c>
      <c r="G20" s="3">
        <v>25145.99</v>
      </c>
      <c r="H20" s="1">
        <v>10</v>
      </c>
      <c r="I20" s="3">
        <f t="shared" si="5"/>
        <v>55480.621278484796</v>
      </c>
      <c r="M20" s="62">
        <f t="shared" si="1"/>
        <v>318396.11727848486</v>
      </c>
      <c r="N20" s="11"/>
    </row>
    <row r="21" spans="1:14" x14ac:dyDescent="0.3">
      <c r="B21" s="1" t="s">
        <v>40</v>
      </c>
      <c r="C21" s="1">
        <v>292</v>
      </c>
      <c r="D21" s="1">
        <v>50</v>
      </c>
      <c r="E21" s="3">
        <f t="shared" si="3"/>
        <v>14600</v>
      </c>
      <c r="F21" s="3">
        <f t="shared" si="4"/>
        <v>164835.46000000002</v>
      </c>
      <c r="G21" s="3">
        <v>17432.64</v>
      </c>
      <c r="H21" s="1">
        <v>10</v>
      </c>
      <c r="I21" s="3">
        <f t="shared" si="5"/>
        <v>38462.348477356376</v>
      </c>
      <c r="M21" s="62">
        <f t="shared" si="1"/>
        <v>220730.4484773564</v>
      </c>
      <c r="N21" s="11"/>
    </row>
    <row r="22" spans="1:14" x14ac:dyDescent="0.3">
      <c r="B22" s="1" t="s">
        <v>36</v>
      </c>
      <c r="C22" s="1">
        <v>500</v>
      </c>
      <c r="D22" s="1">
        <v>14</v>
      </c>
      <c r="E22" s="3">
        <f t="shared" si="3"/>
        <v>7000</v>
      </c>
      <c r="F22" s="3">
        <f t="shared" si="4"/>
        <v>79030.700000000012</v>
      </c>
      <c r="G22" s="3">
        <v>10963.849999999991</v>
      </c>
      <c r="H22" s="1">
        <v>10</v>
      </c>
      <c r="I22" s="3">
        <f t="shared" si="5"/>
        <v>18990.716110843703</v>
      </c>
      <c r="M22" s="62">
        <f t="shared" si="1"/>
        <v>108985.2661108437</v>
      </c>
      <c r="N22" s="11"/>
    </row>
    <row r="23" spans="1:14" x14ac:dyDescent="0.3">
      <c r="B23" s="1" t="s">
        <v>78</v>
      </c>
      <c r="C23" s="1">
        <v>150</v>
      </c>
      <c r="D23" s="1">
        <v>53</v>
      </c>
      <c r="E23" s="3">
        <f t="shared" si="3"/>
        <v>7950</v>
      </c>
      <c r="F23" s="3">
        <f t="shared" si="4"/>
        <v>89756.294999999998</v>
      </c>
      <c r="G23" s="3">
        <v>12451.8</v>
      </c>
      <c r="H23" s="1">
        <v>13</v>
      </c>
      <c r="I23" s="3">
        <f t="shared" si="5"/>
        <v>21568.027356935992</v>
      </c>
      <c r="M23" s="62">
        <f t="shared" si="1"/>
        <v>123776.12235693599</v>
      </c>
      <c r="N23" s="11"/>
    </row>
    <row r="24" spans="1:14" x14ac:dyDescent="0.3">
      <c r="B24" s="1" t="s">
        <v>23</v>
      </c>
      <c r="C24" s="1">
        <v>550</v>
      </c>
      <c r="D24" s="1">
        <v>29</v>
      </c>
      <c r="E24" s="3">
        <f t="shared" si="3"/>
        <v>15950</v>
      </c>
      <c r="F24" s="3">
        <f t="shared" si="4"/>
        <v>180077.095</v>
      </c>
      <c r="G24" s="3">
        <v>24981.919999999998</v>
      </c>
      <c r="H24" s="1">
        <v>13</v>
      </c>
      <c r="I24" s="3">
        <f t="shared" si="5"/>
        <v>43271.704118018715</v>
      </c>
      <c r="M24" s="62">
        <f t="shared" si="1"/>
        <v>248330.71911801872</v>
      </c>
      <c r="N24" s="11"/>
    </row>
    <row r="25" spans="1:14" x14ac:dyDescent="0.3">
      <c r="B25" s="1" t="s">
        <v>136</v>
      </c>
      <c r="C25" s="1">
        <v>1000</v>
      </c>
      <c r="D25" s="1">
        <v>51</v>
      </c>
      <c r="E25" s="3">
        <f t="shared" si="3"/>
        <v>51000</v>
      </c>
      <c r="F25" s="3">
        <f t="shared" si="4"/>
        <v>575795.10000000009</v>
      </c>
      <c r="G25" s="3">
        <v>79879.490000000005</v>
      </c>
      <c r="H25" s="1">
        <v>13</v>
      </c>
      <c r="I25" s="3">
        <f t="shared" si="5"/>
        <v>138360.93407638397</v>
      </c>
      <c r="M25" s="62">
        <f t="shared" si="1"/>
        <v>794035.52407638403</v>
      </c>
      <c r="N25" s="11"/>
    </row>
    <row r="26" spans="1:14" x14ac:dyDescent="0.3">
      <c r="B26" s="1" t="s">
        <v>31</v>
      </c>
      <c r="C26" s="1">
        <v>300</v>
      </c>
      <c r="D26" s="1">
        <v>84</v>
      </c>
      <c r="E26" s="3">
        <f t="shared" si="3"/>
        <v>25200</v>
      </c>
      <c r="F26" s="3">
        <f t="shared" si="4"/>
        <v>284510.52</v>
      </c>
      <c r="G26" s="3">
        <v>39469.869999999995</v>
      </c>
      <c r="H26" s="1">
        <v>13</v>
      </c>
      <c r="I26" s="3">
        <f t="shared" si="5"/>
        <v>68366.580109244693</v>
      </c>
      <c r="M26" s="62">
        <f t="shared" si="1"/>
        <v>392346.97010924469</v>
      </c>
      <c r="N26" s="11"/>
    </row>
    <row r="27" spans="1:14" x14ac:dyDescent="0.3">
      <c r="B27" s="1" t="s">
        <v>79</v>
      </c>
      <c r="C27" s="1">
        <v>20</v>
      </c>
      <c r="D27" s="1">
        <v>115</v>
      </c>
      <c r="E27" s="3">
        <f t="shared" si="3"/>
        <v>2300</v>
      </c>
      <c r="F27" s="3">
        <f t="shared" si="4"/>
        <v>25967.230000000003</v>
      </c>
      <c r="G27" s="3">
        <v>3602.4099999999962</v>
      </c>
      <c r="H27" s="1">
        <v>13</v>
      </c>
      <c r="I27" s="3">
        <f t="shared" si="5"/>
        <v>6239.8071743216506</v>
      </c>
      <c r="M27" s="62">
        <f t="shared" si="1"/>
        <v>35809.447174321649</v>
      </c>
      <c r="N27" s="11"/>
    </row>
    <row r="28" spans="1:14" x14ac:dyDescent="0.3">
      <c r="B28" s="1" t="s">
        <v>80</v>
      </c>
      <c r="C28" s="1">
        <v>100</v>
      </c>
      <c r="D28" s="1">
        <v>185</v>
      </c>
      <c r="E28" s="3">
        <f t="shared" si="3"/>
        <v>18500</v>
      </c>
      <c r="F28" s="3">
        <f t="shared" si="4"/>
        <v>208866.85</v>
      </c>
      <c r="G28" s="3">
        <v>28975.889999999985</v>
      </c>
      <c r="H28" s="1">
        <v>13</v>
      </c>
      <c r="I28" s="3">
        <f t="shared" si="5"/>
        <v>50189.749872244603</v>
      </c>
      <c r="M28" s="62">
        <f t="shared" si="1"/>
        <v>288032.48987224459</v>
      </c>
      <c r="N28" s="11"/>
    </row>
    <row r="29" spans="1:14" x14ac:dyDescent="0.3">
      <c r="B29" s="1" t="s">
        <v>7</v>
      </c>
      <c r="C29" s="1">
        <v>115</v>
      </c>
      <c r="D29" s="1">
        <v>220</v>
      </c>
      <c r="E29" s="3">
        <f t="shared" si="3"/>
        <v>25300</v>
      </c>
      <c r="F29" s="3">
        <f t="shared" si="4"/>
        <v>285639.53000000003</v>
      </c>
      <c r="G29" s="3">
        <v>39626.49</v>
      </c>
      <c r="H29" s="1">
        <v>13</v>
      </c>
      <c r="I29" s="3">
        <f t="shared" si="5"/>
        <v>68637.87469712345</v>
      </c>
      <c r="M29" s="62">
        <f t="shared" si="1"/>
        <v>393903.89469712344</v>
      </c>
      <c r="N29" s="11"/>
    </row>
    <row r="30" spans="1:14" x14ac:dyDescent="0.3">
      <c r="B30" s="1" t="s">
        <v>30</v>
      </c>
      <c r="C30" s="1">
        <v>200</v>
      </c>
      <c r="D30" s="1">
        <v>65</v>
      </c>
      <c r="E30" s="3">
        <f t="shared" si="3"/>
        <v>13000</v>
      </c>
      <c r="F30" s="3">
        <f t="shared" si="4"/>
        <v>146771.30000000002</v>
      </c>
      <c r="G30" s="3">
        <v>20361.439999999973</v>
      </c>
      <c r="H30" s="1">
        <v>13</v>
      </c>
      <c r="I30" s="3">
        <f t="shared" si="5"/>
        <v>35268.473681655742</v>
      </c>
      <c r="M30" s="62">
        <f t="shared" si="1"/>
        <v>202401.21368165573</v>
      </c>
      <c r="N30" s="11"/>
    </row>
    <row r="31" spans="1:14" x14ac:dyDescent="0.3">
      <c r="B31" s="1" t="s">
        <v>50</v>
      </c>
      <c r="C31" s="1">
        <v>100</v>
      </c>
      <c r="D31" s="1">
        <v>79</v>
      </c>
      <c r="E31" s="3">
        <f t="shared" si="3"/>
        <v>7900</v>
      </c>
      <c r="F31" s="3">
        <f t="shared" si="4"/>
        <v>89191.790000000008</v>
      </c>
      <c r="G31" s="3">
        <v>12373.49</v>
      </c>
      <c r="H31" s="1">
        <v>13</v>
      </c>
      <c r="I31" s="3">
        <f t="shared" si="5"/>
        <v>21432.380062996617</v>
      </c>
      <c r="M31" s="62">
        <f t="shared" si="1"/>
        <v>122997.66006299663</v>
      </c>
      <c r="N31" s="11"/>
    </row>
    <row r="32" spans="1:14" x14ac:dyDescent="0.3">
      <c r="E32" s="5">
        <f>SUM(E18:E31)</f>
        <v>402480</v>
      </c>
      <c r="F32" s="5">
        <f>SUM(F18:F31)</f>
        <v>4544039.4480000008</v>
      </c>
      <c r="G32" s="5">
        <f>SUM(G18:G31)</f>
        <v>545376.18999999959</v>
      </c>
      <c r="H32" s="5"/>
      <c r="I32" s="5">
        <f>SUM(I18:I31)</f>
        <v>1073972.2299999997</v>
      </c>
      <c r="M32" s="62">
        <f t="shared" si="1"/>
        <v>6163387.8679999998</v>
      </c>
    </row>
    <row r="33" spans="1:14" s="33" customFormat="1" ht="15" thickBot="1" x14ac:dyDescent="0.35">
      <c r="A33" s="30"/>
      <c r="B33" s="31"/>
      <c r="C33" s="31"/>
      <c r="D33" s="31"/>
      <c r="E33" s="32"/>
      <c r="F33" s="32"/>
      <c r="G33" s="32"/>
      <c r="H33" s="31"/>
      <c r="I33" s="31"/>
      <c r="K33" s="34"/>
      <c r="L33" s="34"/>
      <c r="M33" s="62">
        <f t="shared" si="1"/>
        <v>0</v>
      </c>
    </row>
    <row r="34" spans="1:14" x14ac:dyDescent="0.3">
      <c r="A34" s="40" t="s">
        <v>59</v>
      </c>
      <c r="B34" s="1"/>
      <c r="C34" s="2" t="s">
        <v>12</v>
      </c>
      <c r="D34" s="2" t="s">
        <v>4</v>
      </c>
      <c r="E34" s="5"/>
      <c r="F34" s="1"/>
      <c r="G34" s="1"/>
      <c r="H34" s="1"/>
      <c r="I34" s="1"/>
      <c r="M34" s="62">
        <f t="shared" si="1"/>
        <v>0</v>
      </c>
    </row>
    <row r="35" spans="1:14" x14ac:dyDescent="0.3">
      <c r="A35" s="41" t="s">
        <v>60</v>
      </c>
      <c r="B35" s="1"/>
      <c r="C35" s="2">
        <v>11.290100000000001</v>
      </c>
      <c r="D35" s="5">
        <v>15500</v>
      </c>
      <c r="E35" s="1"/>
      <c r="F35" s="1"/>
      <c r="G35" s="10">
        <f>386948.5+104375.71+99289.72</f>
        <v>590613.93000000005</v>
      </c>
      <c r="H35" s="1"/>
      <c r="I35" s="10">
        <f>672695.08+181453.16+218437.39</f>
        <v>1072585.6299999999</v>
      </c>
      <c r="M35" s="62">
        <f t="shared" si="1"/>
        <v>1663199.56</v>
      </c>
    </row>
    <row r="36" spans="1:14" x14ac:dyDescent="0.3">
      <c r="A36" s="42">
        <v>45076</v>
      </c>
      <c r="B36" s="1"/>
      <c r="C36" s="1"/>
      <c r="D36" s="1"/>
      <c r="E36" s="1" t="s">
        <v>75</v>
      </c>
      <c r="F36" s="1" t="s">
        <v>11</v>
      </c>
      <c r="G36" s="1" t="s">
        <v>3</v>
      </c>
      <c r="H36" s="1" t="s">
        <v>13</v>
      </c>
      <c r="I36" s="1" t="s">
        <v>2</v>
      </c>
      <c r="J36" s="22" t="s">
        <v>54</v>
      </c>
      <c r="K36" s="22" t="s">
        <v>76</v>
      </c>
      <c r="M36" s="62" t="e">
        <f t="shared" si="1"/>
        <v>#VALUE!</v>
      </c>
    </row>
    <row r="37" spans="1:14" x14ac:dyDescent="0.3">
      <c r="A37" s="43" t="s">
        <v>147</v>
      </c>
      <c r="B37" s="1" t="s">
        <v>149</v>
      </c>
      <c r="C37" s="1">
        <v>1000</v>
      </c>
      <c r="D37" s="1">
        <v>3.74</v>
      </c>
      <c r="E37" s="3">
        <f>D37*C37</f>
        <v>3740</v>
      </c>
      <c r="F37" s="3">
        <f>E37*$C$35</f>
        <v>42224.974000000002</v>
      </c>
      <c r="G37" s="3">
        <v>4434.47</v>
      </c>
      <c r="H37" s="1">
        <v>10</v>
      </c>
      <c r="I37" s="3">
        <f>$I$35*((F37+G37)/($F$49+$G$49))</f>
        <v>9846.6950762120978</v>
      </c>
      <c r="J37" s="24">
        <f>I35-I49</f>
        <v>0</v>
      </c>
      <c r="K37" s="24">
        <f>G35-G49</f>
        <v>-4.9999995389953256E-3</v>
      </c>
      <c r="M37" s="62">
        <f t="shared" si="1"/>
        <v>56506.139076212101</v>
      </c>
      <c r="N37" s="11"/>
    </row>
    <row r="38" spans="1:14" ht="15" thickBot="1" x14ac:dyDescent="0.35">
      <c r="A38" s="44" t="s">
        <v>148</v>
      </c>
      <c r="B38" s="1" t="s">
        <v>20</v>
      </c>
      <c r="C38" s="1">
        <v>4000</v>
      </c>
      <c r="D38" s="1">
        <v>20</v>
      </c>
      <c r="E38" s="3">
        <f t="shared" ref="E38:E48" si="6">D38*C38</f>
        <v>80000</v>
      </c>
      <c r="F38" s="3">
        <f t="shared" ref="F38:F48" si="7">E38*$C$35</f>
        <v>903208</v>
      </c>
      <c r="G38" s="3">
        <v>94855.239999999991</v>
      </c>
      <c r="H38" s="1">
        <v>10</v>
      </c>
      <c r="I38" s="3">
        <f t="shared" ref="I38:I48" si="8">$I$35*((F38+G38)/($F$49+$G$49))</f>
        <v>210624.54989940071</v>
      </c>
      <c r="M38" s="62">
        <f t="shared" si="1"/>
        <v>1208687.7898994007</v>
      </c>
      <c r="N38" s="11"/>
    </row>
    <row r="39" spans="1:14" x14ac:dyDescent="0.3">
      <c r="B39" s="1" t="s">
        <v>37</v>
      </c>
      <c r="C39" s="1">
        <v>2640</v>
      </c>
      <c r="D39" s="1">
        <v>25.71</v>
      </c>
      <c r="E39" s="3">
        <f t="shared" si="6"/>
        <v>67874.400000000009</v>
      </c>
      <c r="F39" s="3">
        <f t="shared" si="7"/>
        <v>766308.76344000013</v>
      </c>
      <c r="G39" s="3">
        <v>106162.83</v>
      </c>
      <c r="H39" s="1">
        <v>13</v>
      </c>
      <c r="I39" s="3">
        <f t="shared" si="8"/>
        <v>184120.53395365301</v>
      </c>
      <c r="M39" s="62">
        <f t="shared" si="1"/>
        <v>1056592.1273936532</v>
      </c>
      <c r="N39" s="11"/>
    </row>
    <row r="40" spans="1:14" x14ac:dyDescent="0.3">
      <c r="B40" s="1" t="s">
        <v>23</v>
      </c>
      <c r="C40" s="1">
        <v>550</v>
      </c>
      <c r="D40" s="1">
        <v>29</v>
      </c>
      <c r="E40" s="3">
        <f t="shared" si="6"/>
        <v>15950</v>
      </c>
      <c r="F40" s="3">
        <f t="shared" si="7"/>
        <v>180077.095</v>
      </c>
      <c r="G40" s="3">
        <v>24947.514999999985</v>
      </c>
      <c r="H40" s="1">
        <v>13</v>
      </c>
      <c r="I40" s="3">
        <f t="shared" si="8"/>
        <v>43267.014021626695</v>
      </c>
      <c r="M40" s="62">
        <f t="shared" si="1"/>
        <v>248291.62402162669</v>
      </c>
      <c r="N40" s="11"/>
    </row>
    <row r="41" spans="1:14" x14ac:dyDescent="0.3">
      <c r="B41" s="1" t="s">
        <v>28</v>
      </c>
      <c r="C41" s="1">
        <v>500</v>
      </c>
      <c r="D41" s="1">
        <v>54</v>
      </c>
      <c r="E41" s="3">
        <f t="shared" si="6"/>
        <v>27000</v>
      </c>
      <c r="F41" s="3">
        <f t="shared" si="7"/>
        <v>304832.7</v>
      </c>
      <c r="G41" s="3">
        <v>42230.890000000014</v>
      </c>
      <c r="H41" s="1">
        <v>13</v>
      </c>
      <c r="I41" s="3">
        <f t="shared" si="8"/>
        <v>73241.964537457723</v>
      </c>
      <c r="M41" s="62">
        <f t="shared" si="1"/>
        <v>420305.55453745776</v>
      </c>
      <c r="N41" s="11"/>
    </row>
    <row r="42" spans="1:14" x14ac:dyDescent="0.3">
      <c r="B42" s="1" t="s">
        <v>136</v>
      </c>
      <c r="C42" s="1">
        <v>1000</v>
      </c>
      <c r="D42" s="1">
        <v>51</v>
      </c>
      <c r="E42" s="3">
        <f t="shared" si="6"/>
        <v>51000</v>
      </c>
      <c r="F42" s="3">
        <f t="shared" si="7"/>
        <v>575795.10000000009</v>
      </c>
      <c r="G42" s="3">
        <v>79769.459999999963</v>
      </c>
      <c r="H42" s="1">
        <v>13</v>
      </c>
      <c r="I42" s="3">
        <f t="shared" si="8"/>
        <v>138345.93324967934</v>
      </c>
      <c r="M42" s="62">
        <f t="shared" si="1"/>
        <v>793910.49324967945</v>
      </c>
      <c r="N42" s="11"/>
    </row>
    <row r="43" spans="1:14" x14ac:dyDescent="0.3">
      <c r="B43" s="1" t="s">
        <v>31</v>
      </c>
      <c r="C43" s="1">
        <v>400</v>
      </c>
      <c r="D43" s="1">
        <v>84</v>
      </c>
      <c r="E43" s="3">
        <f t="shared" si="6"/>
        <v>33600</v>
      </c>
      <c r="F43" s="3">
        <f t="shared" si="7"/>
        <v>379347.36000000004</v>
      </c>
      <c r="G43" s="3">
        <v>52553.999999999942</v>
      </c>
      <c r="H43" s="1">
        <v>13</v>
      </c>
      <c r="I43" s="3">
        <f t="shared" si="8"/>
        <v>91145.556619176787</v>
      </c>
      <c r="M43" s="62">
        <f t="shared" si="1"/>
        <v>523046.91661917674</v>
      </c>
      <c r="N43" s="11"/>
    </row>
    <row r="44" spans="1:14" x14ac:dyDescent="0.3">
      <c r="B44" s="1" t="s">
        <v>131</v>
      </c>
      <c r="C44" s="1">
        <v>150</v>
      </c>
      <c r="D44" s="1">
        <v>78</v>
      </c>
      <c r="E44" s="3">
        <f t="shared" si="6"/>
        <v>11700</v>
      </c>
      <c r="F44" s="3">
        <f t="shared" si="7"/>
        <v>132094.17000000001</v>
      </c>
      <c r="G44" s="3">
        <v>18300.049999999988</v>
      </c>
      <c r="H44" s="1">
        <v>13</v>
      </c>
      <c r="I44" s="3">
        <f t="shared" si="8"/>
        <v>31738.184140487378</v>
      </c>
      <c r="M44" s="62">
        <f t="shared" si="1"/>
        <v>182132.40414048737</v>
      </c>
      <c r="N44" s="11"/>
    </row>
    <row r="45" spans="1:14" x14ac:dyDescent="0.3">
      <c r="B45" s="1" t="s">
        <v>80</v>
      </c>
      <c r="C45" s="1">
        <v>250</v>
      </c>
      <c r="D45" s="1">
        <v>185</v>
      </c>
      <c r="E45" s="3">
        <f t="shared" si="6"/>
        <v>46250</v>
      </c>
      <c r="F45" s="3">
        <f t="shared" si="7"/>
        <v>522167.12500000006</v>
      </c>
      <c r="G45" s="3">
        <v>72339.964999999909</v>
      </c>
      <c r="H45" s="1">
        <v>13</v>
      </c>
      <c r="I45" s="3">
        <f t="shared" si="8"/>
        <v>125460.77565511028</v>
      </c>
      <c r="M45" s="62">
        <f t="shared" si="1"/>
        <v>719967.86565511022</v>
      </c>
      <c r="N45" s="11"/>
    </row>
    <row r="46" spans="1:14" x14ac:dyDescent="0.3">
      <c r="B46" s="1" t="s">
        <v>7</v>
      </c>
      <c r="C46" s="1">
        <v>200</v>
      </c>
      <c r="D46" s="1">
        <v>220</v>
      </c>
      <c r="E46" s="3">
        <f t="shared" si="6"/>
        <v>44000</v>
      </c>
      <c r="F46" s="3">
        <f t="shared" si="7"/>
        <v>496764.4</v>
      </c>
      <c r="G46" s="3">
        <v>68820.709999999963</v>
      </c>
      <c r="H46" s="1">
        <v>13</v>
      </c>
      <c r="I46" s="3">
        <f t="shared" si="8"/>
        <v>119357.27562068416</v>
      </c>
      <c r="M46" s="62">
        <f t="shared" si="1"/>
        <v>684942.38562068413</v>
      </c>
      <c r="N46" s="11"/>
    </row>
    <row r="47" spans="1:14" x14ac:dyDescent="0.3">
      <c r="B47" s="1" t="s">
        <v>79</v>
      </c>
      <c r="C47" s="1">
        <v>100</v>
      </c>
      <c r="D47" s="1">
        <v>115</v>
      </c>
      <c r="E47" s="3">
        <f t="shared" si="6"/>
        <v>11500</v>
      </c>
      <c r="F47" s="3">
        <f t="shared" si="7"/>
        <v>129836.15000000001</v>
      </c>
      <c r="G47" s="3">
        <v>17987.229999999996</v>
      </c>
      <c r="H47" s="1">
        <v>13</v>
      </c>
      <c r="I47" s="3">
        <f t="shared" si="8"/>
        <v>31195.651366849332</v>
      </c>
      <c r="M47" s="62">
        <f t="shared" si="1"/>
        <v>179019.03136684935</v>
      </c>
      <c r="N47" s="11"/>
    </row>
    <row r="48" spans="1:14" x14ac:dyDescent="0.3">
      <c r="B48" s="1" t="s">
        <v>81</v>
      </c>
      <c r="C48" s="1">
        <v>25</v>
      </c>
      <c r="D48" s="1">
        <v>210</v>
      </c>
      <c r="E48" s="3">
        <f t="shared" si="6"/>
        <v>5250</v>
      </c>
      <c r="F48" s="3">
        <f t="shared" si="7"/>
        <v>59273.025000000001</v>
      </c>
      <c r="G48" s="3">
        <v>8211.5750000000044</v>
      </c>
      <c r="H48" s="1">
        <v>13</v>
      </c>
      <c r="I48" s="3">
        <f t="shared" si="8"/>
        <v>14241.495859662258</v>
      </c>
      <c r="M48" s="62">
        <f t="shared" si="1"/>
        <v>81726.095859662266</v>
      </c>
      <c r="N48" s="11"/>
    </row>
    <row r="49" spans="1:13" x14ac:dyDescent="0.3">
      <c r="E49" s="5">
        <f>SUM(E37:E48)</f>
        <v>397864.4</v>
      </c>
      <c r="F49" s="5">
        <f>SUM(F37:F48)</f>
        <v>4491928.8624400012</v>
      </c>
      <c r="G49" s="5">
        <f>SUM(G37:G48)</f>
        <v>590613.93499999959</v>
      </c>
      <c r="H49" s="5"/>
      <c r="I49" s="5">
        <f>SUM(I37:I48)</f>
        <v>1072585.6299999997</v>
      </c>
      <c r="M49" s="62">
        <f t="shared" si="1"/>
        <v>6155128.4274400007</v>
      </c>
    </row>
    <row r="50" spans="1:13" s="33" customFormat="1" ht="15" thickBot="1" x14ac:dyDescent="0.35">
      <c r="A50" s="30"/>
      <c r="B50" s="31"/>
      <c r="C50" s="31"/>
      <c r="D50" s="31"/>
      <c r="E50" s="32"/>
      <c r="F50" s="32"/>
      <c r="G50" s="32"/>
      <c r="H50" s="31"/>
      <c r="I50" s="31"/>
      <c r="K50" s="34"/>
      <c r="L50" s="34"/>
      <c r="M50" s="62">
        <f t="shared" si="1"/>
        <v>0</v>
      </c>
    </row>
    <row r="51" spans="1:13" x14ac:dyDescent="0.3">
      <c r="A51" s="40" t="s">
        <v>59</v>
      </c>
      <c r="B51" s="1"/>
      <c r="C51" s="2" t="s">
        <v>12</v>
      </c>
      <c r="D51" s="2" t="s">
        <v>4</v>
      </c>
      <c r="E51" s="5"/>
      <c r="F51" s="1"/>
      <c r="G51" s="1"/>
      <c r="H51" s="1"/>
      <c r="I51" s="1"/>
      <c r="M51" s="62">
        <f t="shared" si="1"/>
        <v>0</v>
      </c>
    </row>
    <row r="52" spans="1:13" x14ac:dyDescent="0.3">
      <c r="A52" s="41" t="s">
        <v>60</v>
      </c>
      <c r="B52" s="1"/>
      <c r="C52" s="2">
        <v>11.304399999999999</v>
      </c>
      <c r="D52" s="5">
        <v>20000</v>
      </c>
      <c r="E52" s="1"/>
      <c r="F52" s="1"/>
      <c r="G52" s="10">
        <f>492120.77+68838.76+216700.45</f>
        <v>777659.98</v>
      </c>
      <c r="H52" s="1"/>
      <c r="I52" s="10">
        <f>941486.64+120419.09+130966.23</f>
        <v>1192871.96</v>
      </c>
      <c r="M52" s="62">
        <f t="shared" si="1"/>
        <v>1970531.94</v>
      </c>
    </row>
    <row r="53" spans="1:13" x14ac:dyDescent="0.3">
      <c r="A53" s="42">
        <v>45075</v>
      </c>
      <c r="B53" s="1"/>
      <c r="C53" s="1"/>
      <c r="D53" s="1"/>
      <c r="E53" s="1" t="s">
        <v>75</v>
      </c>
      <c r="F53" s="1" t="s">
        <v>11</v>
      </c>
      <c r="G53" s="1" t="s">
        <v>3</v>
      </c>
      <c r="H53" s="1" t="s">
        <v>13</v>
      </c>
      <c r="I53" s="1" t="s">
        <v>2</v>
      </c>
      <c r="J53" s="22" t="s">
        <v>54</v>
      </c>
      <c r="K53" s="22" t="s">
        <v>76</v>
      </c>
      <c r="M53" s="62" t="e">
        <f t="shared" si="1"/>
        <v>#VALUE!</v>
      </c>
    </row>
    <row r="54" spans="1:13" x14ac:dyDescent="0.3">
      <c r="A54" s="43" t="s">
        <v>138</v>
      </c>
      <c r="B54" s="1" t="s">
        <v>90</v>
      </c>
      <c r="C54" s="1">
        <v>6000</v>
      </c>
      <c r="D54" s="1">
        <v>11.64</v>
      </c>
      <c r="E54" s="3">
        <f>D54*C54</f>
        <v>69840</v>
      </c>
      <c r="F54" s="3">
        <f t="shared" ref="F54:F63" si="9">E54*$C$67</f>
        <v>789499.29599999997</v>
      </c>
      <c r="G54" s="3">
        <v>81840.31</v>
      </c>
      <c r="H54" s="1">
        <v>10</v>
      </c>
      <c r="I54" s="3">
        <f t="shared" ref="I54:I63" si="10">$I$52*((F54+G54)/($F$64+$G$64))</f>
        <v>148886.36237373267</v>
      </c>
      <c r="J54" s="24">
        <f>I52-I64</f>
        <v>0</v>
      </c>
      <c r="K54" s="24">
        <f>G52-G64</f>
        <v>3.9999998407438397E-3</v>
      </c>
      <c r="M54" s="62">
        <f t="shared" si="1"/>
        <v>1020225.9683737326</v>
      </c>
    </row>
    <row r="55" spans="1:13" ht="15" thickBot="1" x14ac:dyDescent="0.35">
      <c r="A55" s="44" t="s">
        <v>139</v>
      </c>
      <c r="B55" s="1" t="s">
        <v>77</v>
      </c>
      <c r="C55" s="1">
        <v>2000</v>
      </c>
      <c r="D55" s="1">
        <v>16.5</v>
      </c>
      <c r="E55" s="3">
        <f t="shared" ref="E55:E63" si="11">D55*C55</f>
        <v>33000</v>
      </c>
      <c r="F55" s="3">
        <f t="shared" si="9"/>
        <v>373045.19999999995</v>
      </c>
      <c r="G55" s="3">
        <v>38670.25</v>
      </c>
      <c r="H55" s="1">
        <v>10</v>
      </c>
      <c r="I55" s="3">
        <f t="shared" si="10"/>
        <v>70350.08538744699</v>
      </c>
      <c r="M55" s="62">
        <f t="shared" si="1"/>
        <v>482065.53538744693</v>
      </c>
    </row>
    <row r="56" spans="1:13" x14ac:dyDescent="0.3">
      <c r="B56" s="1" t="s">
        <v>135</v>
      </c>
      <c r="C56" s="1">
        <v>2200</v>
      </c>
      <c r="D56" s="1">
        <v>9.1999999999999993</v>
      </c>
      <c r="E56" s="3">
        <f t="shared" si="11"/>
        <v>20240</v>
      </c>
      <c r="F56" s="3">
        <f t="shared" si="9"/>
        <v>228801.05599999998</v>
      </c>
      <c r="G56" s="3">
        <v>23717.75</v>
      </c>
      <c r="H56" s="1">
        <v>10</v>
      </c>
      <c r="I56" s="3">
        <f t="shared" si="10"/>
        <v>43148.051801398666</v>
      </c>
      <c r="M56" s="62">
        <f t="shared" si="1"/>
        <v>295666.85780139867</v>
      </c>
    </row>
    <row r="57" spans="1:13" x14ac:dyDescent="0.3">
      <c r="B57" s="1" t="s">
        <v>36</v>
      </c>
      <c r="C57" s="1">
        <v>1500</v>
      </c>
      <c r="D57" s="1">
        <v>16.489999999999998</v>
      </c>
      <c r="E57" s="3">
        <f t="shared" si="11"/>
        <v>24734.999999999996</v>
      </c>
      <c r="F57" s="3">
        <f t="shared" si="9"/>
        <v>279614.33399999992</v>
      </c>
      <c r="G57" s="3">
        <v>28985.106000000087</v>
      </c>
      <c r="H57" s="1">
        <v>10</v>
      </c>
      <c r="I57" s="3">
        <f t="shared" si="10"/>
        <v>52730.586026145793</v>
      </c>
      <c r="M57" s="62">
        <f t="shared" si="1"/>
        <v>361330.02602614579</v>
      </c>
    </row>
    <row r="58" spans="1:13" x14ac:dyDescent="0.3">
      <c r="B58" s="1" t="s">
        <v>19</v>
      </c>
      <c r="C58" s="1">
        <v>3227</v>
      </c>
      <c r="D58" s="1">
        <v>11.5</v>
      </c>
      <c r="E58" s="3">
        <f t="shared" si="11"/>
        <v>37110.5</v>
      </c>
      <c r="F58" s="3">
        <f t="shared" si="9"/>
        <v>419511.9362</v>
      </c>
      <c r="G58" s="3">
        <v>43487.040000000001</v>
      </c>
      <c r="H58" s="1">
        <v>10</v>
      </c>
      <c r="I58" s="3">
        <f t="shared" si="10"/>
        <v>79112.93469790979</v>
      </c>
      <c r="M58" s="62">
        <f t="shared" si="1"/>
        <v>542111.91089790978</v>
      </c>
    </row>
    <row r="59" spans="1:13" x14ac:dyDescent="0.3">
      <c r="B59" s="1" t="s">
        <v>22</v>
      </c>
      <c r="C59" s="1">
        <v>5000</v>
      </c>
      <c r="D59" s="1">
        <v>9.2200000000000006</v>
      </c>
      <c r="E59" s="3">
        <f t="shared" si="11"/>
        <v>46100</v>
      </c>
      <c r="F59" s="3">
        <f t="shared" si="9"/>
        <v>521132.83999999997</v>
      </c>
      <c r="G59" s="3">
        <v>92501.359999999986</v>
      </c>
      <c r="H59" s="1">
        <v>13</v>
      </c>
      <c r="I59" s="3">
        <f t="shared" si="10"/>
        <v>104852.07287377174</v>
      </c>
      <c r="M59" s="62">
        <f t="shared" si="1"/>
        <v>718486.27287377173</v>
      </c>
    </row>
    <row r="60" spans="1:13" x14ac:dyDescent="0.3">
      <c r="B60" s="1" t="s">
        <v>25</v>
      </c>
      <c r="C60" s="1">
        <v>2417</v>
      </c>
      <c r="D60" s="1">
        <v>30.26</v>
      </c>
      <c r="E60" s="3">
        <f t="shared" si="11"/>
        <v>73138.42</v>
      </c>
      <c r="F60" s="3">
        <f t="shared" si="9"/>
        <v>826785.95504799997</v>
      </c>
      <c r="G60" s="3">
        <v>107830.75</v>
      </c>
      <c r="H60" s="1">
        <v>13</v>
      </c>
      <c r="I60" s="3">
        <f t="shared" si="10"/>
        <v>159698.56123849898</v>
      </c>
      <c r="M60" s="62">
        <f t="shared" si="1"/>
        <v>1094315.2662864989</v>
      </c>
    </row>
    <row r="61" spans="1:13" x14ac:dyDescent="0.3">
      <c r="B61" s="1" t="s">
        <v>28</v>
      </c>
      <c r="C61" s="1">
        <v>3000</v>
      </c>
      <c r="D61" s="1">
        <v>57.23</v>
      </c>
      <c r="E61" s="3">
        <f t="shared" si="11"/>
        <v>171690</v>
      </c>
      <c r="F61" s="3">
        <f t="shared" si="9"/>
        <v>1940852.436</v>
      </c>
      <c r="G61" s="3">
        <v>253129.08</v>
      </c>
      <c r="H61" s="1">
        <v>13</v>
      </c>
      <c r="I61" s="3">
        <f t="shared" si="10"/>
        <v>374887.04149693775</v>
      </c>
      <c r="M61" s="62">
        <f t="shared" si="1"/>
        <v>2568868.5574969375</v>
      </c>
    </row>
    <row r="62" spans="1:13" x14ac:dyDescent="0.3">
      <c r="B62" s="1" t="s">
        <v>30</v>
      </c>
      <c r="C62" s="1">
        <v>900</v>
      </c>
      <c r="D62" s="1">
        <v>66.930000000000007</v>
      </c>
      <c r="E62" s="3">
        <f t="shared" si="11"/>
        <v>60237.000000000007</v>
      </c>
      <c r="F62" s="3">
        <f t="shared" si="9"/>
        <v>680943.14280000003</v>
      </c>
      <c r="G62" s="3">
        <v>88809.69</v>
      </c>
      <c r="H62" s="1">
        <v>13</v>
      </c>
      <c r="I62" s="3">
        <f t="shared" si="10"/>
        <v>131528.16469410903</v>
      </c>
      <c r="M62" s="62">
        <f t="shared" si="1"/>
        <v>901280.99749410897</v>
      </c>
    </row>
    <row r="63" spans="1:13" x14ac:dyDescent="0.3">
      <c r="B63" s="1" t="s">
        <v>79</v>
      </c>
      <c r="C63" s="1">
        <v>108</v>
      </c>
      <c r="D63" s="1">
        <v>117.37</v>
      </c>
      <c r="E63" s="3">
        <f t="shared" si="11"/>
        <v>12675.960000000001</v>
      </c>
      <c r="F63" s="3">
        <f t="shared" si="9"/>
        <v>143294.12222399999</v>
      </c>
      <c r="G63" s="3">
        <v>18688.64</v>
      </c>
      <c r="H63" s="1">
        <v>13</v>
      </c>
      <c r="I63" s="3">
        <f t="shared" si="10"/>
        <v>27678.099410048671</v>
      </c>
      <c r="M63" s="62">
        <f t="shared" si="1"/>
        <v>189660.86163404869</v>
      </c>
    </row>
    <row r="64" spans="1:13" x14ac:dyDescent="0.3">
      <c r="E64" s="5">
        <f>SUM(E54:E63)</f>
        <v>548766.88</v>
      </c>
      <c r="F64" s="5">
        <f>SUM(F54:F63)</f>
        <v>6203480.3182719992</v>
      </c>
      <c r="G64" s="5">
        <f>SUM(G54:G63)</f>
        <v>777659.97600000014</v>
      </c>
      <c r="H64" s="5"/>
      <c r="I64" s="5">
        <f>SUM(I54:I63)</f>
        <v>1192871.9600000002</v>
      </c>
      <c r="M64" s="62">
        <f t="shared" si="1"/>
        <v>8174012.254271999</v>
      </c>
    </row>
    <row r="65" spans="1:13" s="33" customFormat="1" ht="15" thickBot="1" x14ac:dyDescent="0.35">
      <c r="A65" s="30"/>
      <c r="B65" s="31"/>
      <c r="C65" s="31"/>
      <c r="D65" s="31"/>
      <c r="E65" s="32"/>
      <c r="F65" s="32"/>
      <c r="G65" s="32"/>
      <c r="H65" s="31"/>
      <c r="I65" s="31"/>
      <c r="K65" s="34"/>
      <c r="L65" s="34"/>
      <c r="M65" s="62">
        <f t="shared" si="1"/>
        <v>0</v>
      </c>
    </row>
    <row r="66" spans="1:13" x14ac:dyDescent="0.3">
      <c r="A66" s="40" t="s">
        <v>59</v>
      </c>
      <c r="B66" s="1"/>
      <c r="C66" s="2" t="s">
        <v>12</v>
      </c>
      <c r="D66" s="2" t="s">
        <v>4</v>
      </c>
      <c r="E66" s="5"/>
      <c r="F66" s="1"/>
      <c r="G66" s="1"/>
      <c r="H66" s="1"/>
      <c r="I66" s="1"/>
      <c r="M66" s="62">
        <f t="shared" si="1"/>
        <v>0</v>
      </c>
    </row>
    <row r="67" spans="1:13" x14ac:dyDescent="0.3">
      <c r="A67" s="41" t="s">
        <v>60</v>
      </c>
      <c r="B67" s="1"/>
      <c r="C67" s="2">
        <v>11.304399999999999</v>
      </c>
      <c r="D67" s="5">
        <v>15500</v>
      </c>
      <c r="E67" s="1"/>
      <c r="F67" s="1"/>
      <c r="G67" s="10">
        <f>541563.11+69267.62+59530.11</f>
        <v>670360.84</v>
      </c>
      <c r="H67" s="1"/>
      <c r="I67" s="10">
        <f>941486.64+120419.09+130966.23</f>
        <v>1192871.96</v>
      </c>
      <c r="M67" s="62">
        <f t="shared" si="1"/>
        <v>1863232.7999999998</v>
      </c>
    </row>
    <row r="68" spans="1:13" x14ac:dyDescent="0.3">
      <c r="A68" s="42">
        <v>45075</v>
      </c>
      <c r="B68" s="1"/>
      <c r="C68" s="1"/>
      <c r="D68" s="1"/>
      <c r="E68" s="1" t="s">
        <v>75</v>
      </c>
      <c r="F68" s="1" t="s">
        <v>11</v>
      </c>
      <c r="G68" s="1" t="s">
        <v>3</v>
      </c>
      <c r="H68" s="1" t="s">
        <v>13</v>
      </c>
      <c r="I68" s="1" t="s">
        <v>2</v>
      </c>
      <c r="J68" s="22" t="s">
        <v>54</v>
      </c>
      <c r="K68" s="22" t="s">
        <v>76</v>
      </c>
      <c r="M68" s="62" t="e">
        <f t="shared" si="1"/>
        <v>#VALUE!</v>
      </c>
    </row>
    <row r="69" spans="1:13" x14ac:dyDescent="0.3">
      <c r="A69" s="43" t="s">
        <v>133</v>
      </c>
      <c r="B69" s="1" t="s">
        <v>135</v>
      </c>
      <c r="C69" s="1">
        <v>1800</v>
      </c>
      <c r="D69" s="1">
        <v>9.1999999999999993</v>
      </c>
      <c r="E69" s="3">
        <f>D69*C69</f>
        <v>16560</v>
      </c>
      <c r="F69" s="3">
        <f>E69*$C$67</f>
        <v>187200.864</v>
      </c>
      <c r="G69" s="3">
        <v>19898.02</v>
      </c>
      <c r="H69" s="1">
        <v>10</v>
      </c>
      <c r="I69" s="3">
        <f>$I$67*((F69+G69)/($F$80+$G$80))</f>
        <v>43439.667818247093</v>
      </c>
      <c r="J69" s="24">
        <f>I67-I80</f>
        <v>0</v>
      </c>
      <c r="K69" s="24">
        <f>G67-G80</f>
        <v>0</v>
      </c>
      <c r="M69" s="62">
        <f t="shared" si="1"/>
        <v>250538.55181824707</v>
      </c>
    </row>
    <row r="70" spans="1:13" ht="15" thickBot="1" x14ac:dyDescent="0.35">
      <c r="A70" s="44" t="s">
        <v>134</v>
      </c>
      <c r="B70" s="1" t="s">
        <v>6</v>
      </c>
      <c r="C70" s="1">
        <v>225</v>
      </c>
      <c r="D70" s="1">
        <v>64.510000000000005</v>
      </c>
      <c r="E70" s="3">
        <f t="shared" ref="E70:E79" si="12">D70*C70</f>
        <v>14514.750000000002</v>
      </c>
      <c r="F70" s="3">
        <f t="shared" ref="F70:F79" si="13">E70*$C$67</f>
        <v>164080.5399</v>
      </c>
      <c r="G70" s="3">
        <v>17440.509999999998</v>
      </c>
      <c r="H70" s="1">
        <v>10</v>
      </c>
      <c r="I70" s="3">
        <f t="shared" ref="I70:I79" si="14">$I$67*((F70+G70)/($F$80+$G$80))</f>
        <v>38074.633515048074</v>
      </c>
      <c r="M70" s="62">
        <f t="shared" si="1"/>
        <v>219595.68341504809</v>
      </c>
    </row>
    <row r="71" spans="1:13" x14ac:dyDescent="0.3">
      <c r="B71" s="1" t="s">
        <v>40</v>
      </c>
      <c r="C71" s="1">
        <v>340</v>
      </c>
      <c r="D71" s="1">
        <v>54.32</v>
      </c>
      <c r="E71" s="3">
        <f t="shared" si="12"/>
        <v>18468.8</v>
      </c>
      <c r="F71" s="3">
        <f t="shared" si="13"/>
        <v>208778.70271999997</v>
      </c>
      <c r="G71" s="3">
        <v>22191.58</v>
      </c>
      <c r="H71" s="1">
        <v>10</v>
      </c>
      <c r="I71" s="3">
        <f t="shared" si="14"/>
        <v>48446.771723035519</v>
      </c>
      <c r="M71" s="62">
        <f t="shared" si="1"/>
        <v>279417.05444303551</v>
      </c>
    </row>
    <row r="72" spans="1:13" x14ac:dyDescent="0.3">
      <c r="B72" s="1" t="s">
        <v>37</v>
      </c>
      <c r="C72" s="1">
        <v>1760</v>
      </c>
      <c r="D72" s="1">
        <v>25.71</v>
      </c>
      <c r="E72" s="3">
        <f t="shared" si="12"/>
        <v>45249.599999999999</v>
      </c>
      <c r="F72" s="3">
        <f t="shared" si="13"/>
        <v>511519.57823999994</v>
      </c>
      <c r="G72" s="3">
        <v>70109.87</v>
      </c>
      <c r="H72" s="1">
        <v>13</v>
      </c>
      <c r="I72" s="3">
        <f t="shared" si="14"/>
        <v>121998.67781448757</v>
      </c>
      <c r="M72" s="62">
        <f t="shared" ref="M72:M135" si="15">F72+G72+I72</f>
        <v>703628.12605448754</v>
      </c>
    </row>
    <row r="73" spans="1:13" x14ac:dyDescent="0.3">
      <c r="B73" s="1" t="s">
        <v>23</v>
      </c>
      <c r="C73" s="1">
        <v>1950</v>
      </c>
      <c r="D73" s="1">
        <v>33.47</v>
      </c>
      <c r="E73" s="3">
        <f t="shared" si="12"/>
        <v>65266.5</v>
      </c>
      <c r="F73" s="3">
        <f t="shared" si="13"/>
        <v>737798.6226</v>
      </c>
      <c r="G73" s="3">
        <v>101124.11</v>
      </c>
      <c r="H73" s="1">
        <v>13</v>
      </c>
      <c r="I73" s="3">
        <f t="shared" si="14"/>
        <v>175966.7851678048</v>
      </c>
      <c r="M73" s="62">
        <f t="shared" si="15"/>
        <v>1014889.5177678048</v>
      </c>
    </row>
    <row r="74" spans="1:13" x14ac:dyDescent="0.3">
      <c r="B74" s="1" t="s">
        <v>28</v>
      </c>
      <c r="C74" s="1">
        <v>2000</v>
      </c>
      <c r="D74" s="1">
        <v>57.23</v>
      </c>
      <c r="E74" s="3">
        <f t="shared" si="12"/>
        <v>114460</v>
      </c>
      <c r="F74" s="3">
        <f t="shared" si="13"/>
        <v>1293901.6239999998</v>
      </c>
      <c r="G74" s="3">
        <v>177344.67</v>
      </c>
      <c r="H74" s="1">
        <v>13</v>
      </c>
      <c r="I74" s="3">
        <f t="shared" si="14"/>
        <v>308598.71891046542</v>
      </c>
      <c r="M74" s="62">
        <f t="shared" si="15"/>
        <v>1779845.0129104652</v>
      </c>
    </row>
    <row r="75" spans="1:13" x14ac:dyDescent="0.3">
      <c r="B75" s="1" t="s">
        <v>136</v>
      </c>
      <c r="C75" s="1">
        <v>500</v>
      </c>
      <c r="D75" s="1">
        <v>53.3</v>
      </c>
      <c r="E75" s="3">
        <f t="shared" si="12"/>
        <v>26650</v>
      </c>
      <c r="F75" s="3">
        <f t="shared" si="13"/>
        <v>301262.26</v>
      </c>
      <c r="G75" s="3">
        <v>41291.589999999967</v>
      </c>
      <c r="H75" s="1">
        <v>13</v>
      </c>
      <c r="I75" s="3">
        <f t="shared" si="14"/>
        <v>71851.789669043515</v>
      </c>
      <c r="M75" s="62">
        <f t="shared" si="15"/>
        <v>414405.63966904348</v>
      </c>
    </row>
    <row r="76" spans="1:13" x14ac:dyDescent="0.3">
      <c r="B76" s="1" t="s">
        <v>78</v>
      </c>
      <c r="C76" s="1">
        <v>350</v>
      </c>
      <c r="D76" s="1">
        <v>56.26</v>
      </c>
      <c r="E76" s="3">
        <f t="shared" si="12"/>
        <v>19691</v>
      </c>
      <c r="F76" s="3">
        <f t="shared" si="13"/>
        <v>222594.94039999999</v>
      </c>
      <c r="G76" s="3">
        <v>30509.29</v>
      </c>
      <c r="H76" s="1">
        <v>13</v>
      </c>
      <c r="I76" s="3">
        <f t="shared" si="14"/>
        <v>53089.43959335424</v>
      </c>
      <c r="M76" s="62">
        <f t="shared" si="15"/>
        <v>306193.66999335424</v>
      </c>
    </row>
    <row r="77" spans="1:13" x14ac:dyDescent="0.3">
      <c r="B77" s="1" t="s">
        <v>30</v>
      </c>
      <c r="C77" s="1">
        <v>156</v>
      </c>
      <c r="D77" s="1">
        <v>66.930000000000007</v>
      </c>
      <c r="E77" s="3">
        <f t="shared" si="12"/>
        <v>10441.080000000002</v>
      </c>
      <c r="F77" s="3">
        <f t="shared" si="13"/>
        <v>118030.14475200001</v>
      </c>
      <c r="G77" s="3">
        <v>16177.43</v>
      </c>
      <c r="H77" s="1">
        <v>13</v>
      </c>
      <c r="I77" s="3">
        <f t="shared" si="14"/>
        <v>28150.477459450944</v>
      </c>
      <c r="M77" s="62">
        <f t="shared" si="15"/>
        <v>162358.05221145097</v>
      </c>
    </row>
    <row r="78" spans="1:13" x14ac:dyDescent="0.3">
      <c r="B78" s="1" t="s">
        <v>31</v>
      </c>
      <c r="C78" s="1">
        <v>1000</v>
      </c>
      <c r="D78" s="1">
        <v>88.76</v>
      </c>
      <c r="E78" s="3">
        <f t="shared" si="12"/>
        <v>88760</v>
      </c>
      <c r="F78" s="3">
        <f t="shared" si="13"/>
        <v>1003378.544</v>
      </c>
      <c r="G78" s="3">
        <v>137525.01</v>
      </c>
      <c r="H78" s="1">
        <v>13</v>
      </c>
      <c r="I78" s="3">
        <f t="shared" si="14"/>
        <v>239308.24947573125</v>
      </c>
      <c r="M78" s="62">
        <f t="shared" si="15"/>
        <v>1380211.8034757313</v>
      </c>
    </row>
    <row r="79" spans="1:13" x14ac:dyDescent="0.3">
      <c r="B79" s="1" t="s">
        <v>131</v>
      </c>
      <c r="C79" s="1">
        <v>300</v>
      </c>
      <c r="D79" s="1">
        <v>79.06</v>
      </c>
      <c r="E79" s="3">
        <f t="shared" si="12"/>
        <v>23718</v>
      </c>
      <c r="F79" s="3">
        <f t="shared" si="13"/>
        <v>268117.75919999997</v>
      </c>
      <c r="G79" s="3">
        <v>36748.76</v>
      </c>
      <c r="H79" s="1">
        <v>13</v>
      </c>
      <c r="I79" s="3">
        <f t="shared" si="14"/>
        <v>63946.748853331563</v>
      </c>
      <c r="M79" s="62">
        <f t="shared" si="15"/>
        <v>368813.26805333153</v>
      </c>
    </row>
    <row r="80" spans="1:13" x14ac:dyDescent="0.3">
      <c r="E80" s="5">
        <f>SUM(E69:E79)</f>
        <v>443779.73000000004</v>
      </c>
      <c r="F80" s="5">
        <f t="shared" ref="F80:I80" si="16">SUM(F69:F79)</f>
        <v>5016663.5798119996</v>
      </c>
      <c r="G80" s="5">
        <f t="shared" si="16"/>
        <v>670360.84</v>
      </c>
      <c r="H80" s="5"/>
      <c r="I80" s="5">
        <f t="shared" si="16"/>
        <v>1192871.96</v>
      </c>
      <c r="M80" s="62">
        <f t="shared" si="15"/>
        <v>6879896.3798119994</v>
      </c>
    </row>
    <row r="81" spans="1:13" s="33" customFormat="1" ht="15" thickBot="1" x14ac:dyDescent="0.35">
      <c r="A81" s="30"/>
      <c r="B81" s="31"/>
      <c r="C81" s="31"/>
      <c r="D81" s="31"/>
      <c r="E81" s="32"/>
      <c r="F81" s="32"/>
      <c r="G81" s="32"/>
      <c r="H81" s="31"/>
      <c r="I81" s="31"/>
      <c r="K81" s="34"/>
      <c r="L81" s="34"/>
      <c r="M81" s="62">
        <f t="shared" si="15"/>
        <v>0</v>
      </c>
    </row>
    <row r="82" spans="1:13" x14ac:dyDescent="0.3">
      <c r="A82" s="40" t="s">
        <v>59</v>
      </c>
      <c r="B82" s="1"/>
      <c r="C82" s="2" t="s">
        <v>12</v>
      </c>
      <c r="D82" s="2" t="s">
        <v>4</v>
      </c>
      <c r="E82" s="5"/>
      <c r="F82" s="1"/>
      <c r="G82" s="1"/>
      <c r="H82" s="1"/>
      <c r="I82" s="1"/>
      <c r="M82" s="62">
        <f t="shared" si="15"/>
        <v>0</v>
      </c>
    </row>
    <row r="83" spans="1:13" x14ac:dyDescent="0.3">
      <c r="A83" s="41" t="s">
        <v>60</v>
      </c>
      <c r="B83" s="1"/>
      <c r="C83" s="2">
        <v>11.565899999999999</v>
      </c>
      <c r="D83" s="5">
        <v>20000</v>
      </c>
      <c r="E83" s="1"/>
      <c r="F83" s="1"/>
      <c r="G83" s="10">
        <f>352804.31+296305.27+37563.92</f>
        <v>686673.50000000012</v>
      </c>
      <c r="H83" s="1"/>
      <c r="I83" s="28" t="s">
        <v>2</v>
      </c>
      <c r="J83" s="22" t="s">
        <v>54</v>
      </c>
      <c r="K83" s="22" t="s">
        <v>76</v>
      </c>
      <c r="M83" s="62" t="e">
        <f t="shared" si="15"/>
        <v>#VALUE!</v>
      </c>
    </row>
    <row r="84" spans="1:13" x14ac:dyDescent="0.3">
      <c r="A84" s="42">
        <v>45047</v>
      </c>
      <c r="B84" s="1"/>
      <c r="C84" s="1"/>
      <c r="D84" s="1"/>
      <c r="E84" s="1" t="s">
        <v>75</v>
      </c>
      <c r="F84" s="1" t="s">
        <v>11</v>
      </c>
      <c r="G84" s="1" t="s">
        <v>3</v>
      </c>
      <c r="H84" s="1" t="s">
        <v>13</v>
      </c>
      <c r="I84" s="10">
        <f>613336.73+651871.59+90988.16</f>
        <v>1356196.4799999997</v>
      </c>
      <c r="J84" s="24">
        <f>I84-SUM(I85:I99)</f>
        <v>0</v>
      </c>
      <c r="K84" s="24">
        <f>G83-SUM(G85:G99)</f>
        <v>-1</v>
      </c>
      <c r="L84" s="5"/>
      <c r="M84" s="62" t="e">
        <f t="shared" si="15"/>
        <v>#VALUE!</v>
      </c>
    </row>
    <row r="85" spans="1:13" x14ac:dyDescent="0.3">
      <c r="A85" s="43" t="s">
        <v>66</v>
      </c>
      <c r="B85" s="1" t="s">
        <v>5</v>
      </c>
      <c r="C85" s="17">
        <v>2500</v>
      </c>
      <c r="D85" s="17">
        <v>13.58</v>
      </c>
      <c r="E85" s="18">
        <v>33950</v>
      </c>
      <c r="F85" s="18">
        <f t="shared" ref="F85:F99" si="17">E85*$C$83</f>
        <v>392662.30499999999</v>
      </c>
      <c r="G85" s="57">
        <v>37563.919999999998</v>
      </c>
      <c r="H85" s="19">
        <v>9</v>
      </c>
      <c r="I85" s="3">
        <f>$I$84*((F85+G85)/($F$100+G100))</f>
        <v>94831.998901096027</v>
      </c>
      <c r="M85" s="62">
        <f t="shared" si="15"/>
        <v>525058.22390109603</v>
      </c>
    </row>
    <row r="86" spans="1:13" ht="15" thickBot="1" x14ac:dyDescent="0.35">
      <c r="A86" s="44" t="s">
        <v>67</v>
      </c>
      <c r="B86" s="1" t="s">
        <v>77</v>
      </c>
      <c r="C86" s="17">
        <v>3500</v>
      </c>
      <c r="D86" s="17">
        <v>17.46</v>
      </c>
      <c r="E86" s="18">
        <v>61110</v>
      </c>
      <c r="F86" s="18">
        <f t="shared" si="17"/>
        <v>706792.14899999998</v>
      </c>
      <c r="G86" s="57">
        <v>78565.061047423311</v>
      </c>
      <c r="H86" s="19">
        <v>10</v>
      </c>
      <c r="I86" s="3">
        <f t="shared" ref="I86:I99" si="18">$I$84*((F86+G86)/($F$100+$G$100))</f>
        <v>173111.23718733116</v>
      </c>
      <c r="M86" s="62">
        <f t="shared" si="15"/>
        <v>958468.44723475445</v>
      </c>
    </row>
    <row r="87" spans="1:13" x14ac:dyDescent="0.3">
      <c r="B87" s="1" t="s">
        <v>20</v>
      </c>
      <c r="C87" s="17">
        <v>2000</v>
      </c>
      <c r="D87" s="17">
        <v>24.74</v>
      </c>
      <c r="E87" s="18">
        <v>49480</v>
      </c>
      <c r="F87" s="18">
        <f t="shared" si="17"/>
        <v>572280.73199999996</v>
      </c>
      <c r="G87" s="57">
        <v>63613.143849230983</v>
      </c>
      <c r="H87" s="19">
        <v>10</v>
      </c>
      <c r="I87" s="3">
        <f t="shared" si="18"/>
        <v>140165.99600767705</v>
      </c>
      <c r="M87" s="62">
        <f t="shared" si="15"/>
        <v>776059.87185690796</v>
      </c>
    </row>
    <row r="88" spans="1:13" x14ac:dyDescent="0.3">
      <c r="B88" s="1" t="s">
        <v>25</v>
      </c>
      <c r="C88" s="19">
        <v>1440</v>
      </c>
      <c r="D88" s="19">
        <v>30.26</v>
      </c>
      <c r="E88" s="18">
        <v>43574.400000000001</v>
      </c>
      <c r="F88" s="18">
        <f t="shared" si="17"/>
        <v>503977.15295999998</v>
      </c>
      <c r="G88" s="57">
        <v>56020.706858203928</v>
      </c>
      <c r="H88" s="19">
        <v>10</v>
      </c>
      <c r="I88" s="3">
        <f t="shared" si="18"/>
        <v>123436.72547366458</v>
      </c>
      <c r="M88" s="62">
        <f t="shared" si="15"/>
        <v>683434.58529186854</v>
      </c>
    </row>
    <row r="89" spans="1:13" x14ac:dyDescent="0.3">
      <c r="B89" s="1" t="s">
        <v>6</v>
      </c>
      <c r="C89" s="19">
        <v>900</v>
      </c>
      <c r="D89" s="19">
        <v>64.510000000000005</v>
      </c>
      <c r="E89" s="18">
        <v>58059.000000000007</v>
      </c>
      <c r="F89" s="18">
        <f t="shared" si="17"/>
        <v>671504.58810000005</v>
      </c>
      <c r="G89" s="57">
        <v>74642.593345644753</v>
      </c>
      <c r="H89" s="19">
        <v>10</v>
      </c>
      <c r="I89" s="3">
        <f t="shared" si="18"/>
        <v>164468.42284174866</v>
      </c>
      <c r="M89" s="62">
        <f t="shared" si="15"/>
        <v>910615.60428739351</v>
      </c>
    </row>
    <row r="90" spans="1:13" x14ac:dyDescent="0.3">
      <c r="B90" s="1" t="s">
        <v>40</v>
      </c>
      <c r="C90" s="17">
        <v>336</v>
      </c>
      <c r="D90" s="17">
        <v>54.32</v>
      </c>
      <c r="E90" s="18">
        <v>18251.52</v>
      </c>
      <c r="F90" s="18">
        <f t="shared" si="17"/>
        <v>211095.255168</v>
      </c>
      <c r="G90" s="57">
        <v>23464.764899497095</v>
      </c>
      <c r="H90" s="19">
        <v>10</v>
      </c>
      <c r="I90" s="3">
        <f t="shared" si="18"/>
        <v>51702.556173282901</v>
      </c>
      <c r="M90" s="62">
        <f t="shared" si="15"/>
        <v>286262.57624078001</v>
      </c>
    </row>
    <row r="91" spans="1:13" x14ac:dyDescent="0.3">
      <c r="B91" s="1" t="s">
        <v>25</v>
      </c>
      <c r="C91" s="17">
        <v>200</v>
      </c>
      <c r="D91" s="17">
        <v>30.26</v>
      </c>
      <c r="E91" s="18">
        <v>6052</v>
      </c>
      <c r="F91" s="18">
        <f t="shared" si="17"/>
        <v>69996.826799999995</v>
      </c>
      <c r="G91" s="57">
        <v>10256.76495325693</v>
      </c>
      <c r="H91" s="19">
        <v>13</v>
      </c>
      <c r="I91" s="3">
        <f t="shared" si="18"/>
        <v>17689.782915845892</v>
      </c>
      <c r="M91" s="62">
        <f t="shared" si="15"/>
        <v>97943.374669102821</v>
      </c>
    </row>
    <row r="92" spans="1:13" x14ac:dyDescent="0.3">
      <c r="B92" s="1" t="s">
        <v>28</v>
      </c>
      <c r="C92" s="17">
        <v>1340</v>
      </c>
      <c r="D92" s="17">
        <v>57.23</v>
      </c>
      <c r="E92" s="18">
        <v>76688.2</v>
      </c>
      <c r="F92" s="18">
        <f t="shared" si="17"/>
        <v>886968.05237999989</v>
      </c>
      <c r="G92" s="57">
        <v>129969.0750311233</v>
      </c>
      <c r="H92" s="19">
        <v>13</v>
      </c>
      <c r="I92" s="3">
        <f t="shared" si="18"/>
        <v>224156.90849421229</v>
      </c>
      <c r="M92" s="62">
        <f t="shared" si="15"/>
        <v>1241094.0359053353</v>
      </c>
    </row>
    <row r="93" spans="1:13" x14ac:dyDescent="0.3">
      <c r="B93" s="1" t="s">
        <v>6</v>
      </c>
      <c r="C93" s="17">
        <v>350</v>
      </c>
      <c r="D93" s="17">
        <v>64.510000000000005</v>
      </c>
      <c r="E93" s="18">
        <v>22578.5</v>
      </c>
      <c r="F93" s="18">
        <f t="shared" si="17"/>
        <v>261140.67314999999</v>
      </c>
      <c r="G93" s="57">
        <v>38265.427544136088</v>
      </c>
      <c r="H93" s="19">
        <v>13</v>
      </c>
      <c r="I93" s="3">
        <f t="shared" si="18"/>
        <v>65996.160536256852</v>
      </c>
      <c r="M93" s="62">
        <f t="shared" si="15"/>
        <v>365402.26123039291</v>
      </c>
    </row>
    <row r="94" spans="1:13" x14ac:dyDescent="0.3">
      <c r="B94" s="1" t="s">
        <v>78</v>
      </c>
      <c r="C94" s="17">
        <v>30</v>
      </c>
      <c r="D94" s="17">
        <v>56.26</v>
      </c>
      <c r="E94" s="18">
        <v>1687.8</v>
      </c>
      <c r="F94" s="18">
        <f t="shared" si="17"/>
        <v>19520.926019999999</v>
      </c>
      <c r="G94" s="57">
        <v>2860.4375228200674</v>
      </c>
      <c r="H94" s="19">
        <v>13</v>
      </c>
      <c r="I94" s="3">
        <f t="shared" si="18"/>
        <v>4933.3799744488924</v>
      </c>
      <c r="M94" s="62">
        <f t="shared" si="15"/>
        <v>27314.743517268958</v>
      </c>
    </row>
    <row r="95" spans="1:13" x14ac:dyDescent="0.3">
      <c r="B95" s="1" t="s">
        <v>30</v>
      </c>
      <c r="C95" s="17">
        <v>400</v>
      </c>
      <c r="D95" s="17">
        <v>66.930000000000007</v>
      </c>
      <c r="E95" s="18">
        <v>26772.000000000004</v>
      </c>
      <c r="F95" s="18">
        <f t="shared" si="17"/>
        <v>309642.27480000001</v>
      </c>
      <c r="G95" s="57">
        <v>45372.45725852521</v>
      </c>
      <c r="H95" s="19">
        <v>13</v>
      </c>
      <c r="I95" s="3">
        <f t="shared" si="18"/>
        <v>78253.613387810023</v>
      </c>
      <c r="M95" s="62">
        <f t="shared" si="15"/>
        <v>433268.34544633521</v>
      </c>
    </row>
    <row r="96" spans="1:13" x14ac:dyDescent="0.3">
      <c r="B96" s="1" t="s">
        <v>79</v>
      </c>
      <c r="C96" s="17">
        <v>100</v>
      </c>
      <c r="D96" s="17">
        <v>117.37</v>
      </c>
      <c r="E96" s="18">
        <v>11737</v>
      </c>
      <c r="F96" s="18">
        <f t="shared" si="17"/>
        <v>135748.96829999998</v>
      </c>
      <c r="G96" s="57">
        <v>19891.54829087518</v>
      </c>
      <c r="H96" s="19">
        <v>13</v>
      </c>
      <c r="I96" s="3">
        <f t="shared" si="18"/>
        <v>34306.837753351494</v>
      </c>
      <c r="M96" s="62">
        <f t="shared" si="15"/>
        <v>189947.35434422665</v>
      </c>
    </row>
    <row r="97" spans="1:13" x14ac:dyDescent="0.3">
      <c r="B97" s="1" t="s">
        <v>80</v>
      </c>
      <c r="C97" s="17">
        <v>200</v>
      </c>
      <c r="D97" s="17">
        <v>199.82</v>
      </c>
      <c r="E97" s="18">
        <v>39964</v>
      </c>
      <c r="F97" s="18">
        <f t="shared" si="17"/>
        <v>462219.62759999995</v>
      </c>
      <c r="G97" s="57">
        <v>67729.899965624587</v>
      </c>
      <c r="H97" s="19">
        <v>13</v>
      </c>
      <c r="I97" s="3">
        <f t="shared" si="18"/>
        <v>116813.36491223815</v>
      </c>
      <c r="M97" s="62">
        <f t="shared" si="15"/>
        <v>646762.89247786277</v>
      </c>
    </row>
    <row r="98" spans="1:13" x14ac:dyDescent="0.3">
      <c r="B98" s="1" t="s">
        <v>7</v>
      </c>
      <c r="C98" s="17">
        <v>74</v>
      </c>
      <c r="D98" s="17">
        <v>235.71</v>
      </c>
      <c r="E98" s="18">
        <v>17442.54</v>
      </c>
      <c r="F98" s="18">
        <f t="shared" si="17"/>
        <v>201738.67338600001</v>
      </c>
      <c r="G98" s="57">
        <v>29561.142261695662</v>
      </c>
      <c r="H98" s="19">
        <v>13</v>
      </c>
      <c r="I98" s="3">
        <f t="shared" si="18"/>
        <v>50983.93028766667</v>
      </c>
      <c r="M98" s="62">
        <f t="shared" si="15"/>
        <v>282283.74593536236</v>
      </c>
    </row>
    <row r="99" spans="1:13" x14ac:dyDescent="0.3">
      <c r="B99" s="1" t="s">
        <v>81</v>
      </c>
      <c r="C99" s="17">
        <v>25</v>
      </c>
      <c r="D99" s="17">
        <v>210</v>
      </c>
      <c r="E99" s="18">
        <v>5250</v>
      </c>
      <c r="F99" s="18">
        <f t="shared" si="17"/>
        <v>60720.974999999999</v>
      </c>
      <c r="G99" s="57">
        <v>8897.5571719429754</v>
      </c>
      <c r="H99" s="19">
        <v>13</v>
      </c>
      <c r="I99" s="3">
        <f t="shared" si="18"/>
        <v>15345.565153369289</v>
      </c>
      <c r="M99" s="62">
        <f t="shared" si="15"/>
        <v>84964.097325312265</v>
      </c>
    </row>
    <row r="100" spans="1:13" x14ac:dyDescent="0.3">
      <c r="B100" s="17"/>
      <c r="C100" s="17"/>
      <c r="D100" s="17"/>
      <c r="E100" s="5">
        <f>SUM(E85:E99)</f>
        <v>472596.95999999996</v>
      </c>
      <c r="F100" s="5">
        <f>SUM(F85:F99)</f>
        <v>5466009.179663999</v>
      </c>
      <c r="G100" s="5">
        <f>SUM(G85:G99)</f>
        <v>686674.50000000012</v>
      </c>
      <c r="H100" s="19"/>
      <c r="I100" s="5">
        <f>SUM(I85:I99)</f>
        <v>1356196.48</v>
      </c>
      <c r="M100" s="62">
        <f t="shared" si="15"/>
        <v>7508880.1596639995</v>
      </c>
    </row>
    <row r="101" spans="1:13" s="33" customFormat="1" x14ac:dyDescent="0.3">
      <c r="A101" s="30"/>
      <c r="B101" s="31"/>
      <c r="C101" s="31"/>
      <c r="D101" s="31"/>
      <c r="E101" s="32"/>
      <c r="F101" s="32"/>
      <c r="G101" s="32"/>
      <c r="H101" s="31"/>
      <c r="I101" s="31"/>
      <c r="K101" s="34"/>
      <c r="L101" s="34"/>
      <c r="M101" s="62">
        <f t="shared" si="15"/>
        <v>0</v>
      </c>
    </row>
    <row r="102" spans="1:13" x14ac:dyDescent="0.3">
      <c r="A102" s="36" t="s">
        <v>61</v>
      </c>
      <c r="B102" s="20"/>
      <c r="C102" s="2" t="s">
        <v>12</v>
      </c>
      <c r="D102" s="2" t="s">
        <v>4</v>
      </c>
      <c r="E102" s="1"/>
      <c r="F102" s="1"/>
      <c r="G102" s="1"/>
      <c r="H102" s="1"/>
      <c r="J102" s="22" t="s">
        <v>54</v>
      </c>
      <c r="K102" s="22"/>
      <c r="M102" s="62">
        <f t="shared" si="15"/>
        <v>0</v>
      </c>
    </row>
    <row r="103" spans="1:13" x14ac:dyDescent="0.3">
      <c r="A103" s="36" t="s">
        <v>68</v>
      </c>
      <c r="B103" s="20"/>
      <c r="C103" s="2">
        <v>11.304399999999999</v>
      </c>
      <c r="D103" s="5">
        <v>20000</v>
      </c>
      <c r="E103" s="1"/>
      <c r="F103" s="1"/>
      <c r="G103" s="1"/>
      <c r="H103" s="1"/>
      <c r="I103" s="5">
        <v>1422477.38</v>
      </c>
      <c r="J103" s="24"/>
      <c r="K103" s="24"/>
      <c r="M103" s="62">
        <f t="shared" si="15"/>
        <v>1422477.38</v>
      </c>
    </row>
    <row r="104" spans="1:13" x14ac:dyDescent="0.3">
      <c r="A104" s="37" t="s">
        <v>69</v>
      </c>
      <c r="E104" s="1" t="s">
        <v>75</v>
      </c>
      <c r="F104" s="1" t="s">
        <v>11</v>
      </c>
      <c r="G104" s="1" t="s">
        <v>3</v>
      </c>
      <c r="H104" s="1" t="s">
        <v>13</v>
      </c>
      <c r="I104" s="2" t="s">
        <v>2</v>
      </c>
      <c r="M104" s="62" t="e">
        <f t="shared" si="15"/>
        <v>#VALUE!</v>
      </c>
    </row>
    <row r="105" spans="1:13" x14ac:dyDescent="0.3">
      <c r="A105" s="37" t="s">
        <v>60</v>
      </c>
      <c r="B105" s="20" t="s">
        <v>1</v>
      </c>
      <c r="C105" s="1">
        <v>24180</v>
      </c>
      <c r="D105" s="1">
        <v>21.5</v>
      </c>
      <c r="E105" s="3">
        <f>D105*C105</f>
        <v>519870</v>
      </c>
      <c r="F105" s="3">
        <f>E105*C103</f>
        <v>5876818.4279999994</v>
      </c>
      <c r="G105" s="3">
        <v>434089.34700000001</v>
      </c>
      <c r="H105" s="1">
        <v>6.5</v>
      </c>
      <c r="I105" s="3">
        <v>1422477.38</v>
      </c>
      <c r="M105" s="62">
        <f t="shared" si="15"/>
        <v>7733385.1549999993</v>
      </c>
    </row>
    <row r="106" spans="1:13" x14ac:dyDescent="0.3">
      <c r="A106" s="38">
        <v>45074</v>
      </c>
      <c r="K106" s="11"/>
      <c r="L106" s="11"/>
      <c r="M106" s="62">
        <f t="shared" si="15"/>
        <v>0</v>
      </c>
    </row>
    <row r="107" spans="1:13" s="33" customFormat="1" x14ac:dyDescent="0.3">
      <c r="A107" s="35"/>
      <c r="B107" s="31"/>
      <c r="C107" s="31"/>
      <c r="D107" s="31"/>
      <c r="E107" s="32"/>
      <c r="F107" s="32"/>
      <c r="G107" s="32"/>
      <c r="H107" s="31"/>
      <c r="I107" s="31"/>
      <c r="K107" s="34"/>
      <c r="L107" s="34"/>
      <c r="M107" s="62">
        <f t="shared" si="15"/>
        <v>0</v>
      </c>
    </row>
    <row r="108" spans="1:13" x14ac:dyDescent="0.3">
      <c r="A108" s="26" t="s">
        <v>70</v>
      </c>
      <c r="B108" s="1"/>
      <c r="C108" s="2" t="s">
        <v>12</v>
      </c>
      <c r="D108" s="2" t="s">
        <v>4</v>
      </c>
      <c r="E108" s="1"/>
      <c r="F108" s="1"/>
      <c r="G108" s="1"/>
      <c r="H108" s="1"/>
      <c r="I108" s="1"/>
      <c r="M108" s="62">
        <f t="shared" si="15"/>
        <v>0</v>
      </c>
    </row>
    <row r="109" spans="1:13" x14ac:dyDescent="0.3">
      <c r="A109" s="26" t="s">
        <v>71</v>
      </c>
      <c r="B109" s="1"/>
      <c r="C109" s="2">
        <v>11.8803</v>
      </c>
      <c r="D109" s="5">
        <v>20000</v>
      </c>
      <c r="E109" s="5"/>
      <c r="F109" s="1"/>
      <c r="G109" s="1"/>
      <c r="H109" s="1"/>
      <c r="I109" s="1"/>
      <c r="M109" s="62">
        <f t="shared" si="15"/>
        <v>0</v>
      </c>
    </row>
    <row r="110" spans="1:13" x14ac:dyDescent="0.3">
      <c r="A110" s="27" t="s">
        <v>72</v>
      </c>
      <c r="B110" s="1"/>
      <c r="C110" s="1" t="s">
        <v>85</v>
      </c>
      <c r="D110" s="1" t="s">
        <v>86</v>
      </c>
      <c r="E110" s="1" t="s">
        <v>75</v>
      </c>
      <c r="F110" s="1" t="s">
        <v>11</v>
      </c>
      <c r="G110" s="1" t="s">
        <v>3</v>
      </c>
      <c r="H110" s="1" t="s">
        <v>13</v>
      </c>
      <c r="I110" s="28" t="s">
        <v>2</v>
      </c>
      <c r="J110" s="22" t="s">
        <v>54</v>
      </c>
      <c r="K110" s="22" t="s">
        <v>76</v>
      </c>
      <c r="M110" s="62" t="e">
        <f t="shared" si="15"/>
        <v>#VALUE!</v>
      </c>
    </row>
    <row r="111" spans="1:13" x14ac:dyDescent="0.3">
      <c r="A111" s="27" t="s">
        <v>60</v>
      </c>
      <c r="B111" s="17" t="s">
        <v>73</v>
      </c>
      <c r="C111" s="17">
        <v>17000</v>
      </c>
      <c r="D111" s="17">
        <v>24</v>
      </c>
      <c r="E111" s="18">
        <f>D111*C111</f>
        <v>408000</v>
      </c>
      <c r="F111" s="3">
        <f>E111*C109</f>
        <v>4847162.4000000004</v>
      </c>
      <c r="G111" s="23">
        <v>510657.46</v>
      </c>
      <c r="H111" s="19">
        <v>10</v>
      </c>
      <c r="I111" s="3">
        <v>1123446.42</v>
      </c>
      <c r="J111" s="24">
        <f>1368511.94-I113</f>
        <v>0</v>
      </c>
      <c r="K111" s="24">
        <f>622050.88-G113</f>
        <v>0</v>
      </c>
      <c r="L111" s="25"/>
      <c r="M111" s="62">
        <f t="shared" si="15"/>
        <v>6481266.2800000003</v>
      </c>
    </row>
    <row r="112" spans="1:13" x14ac:dyDescent="0.3">
      <c r="A112" s="29">
        <v>45033</v>
      </c>
      <c r="B112" s="17" t="s">
        <v>74</v>
      </c>
      <c r="C112" s="17">
        <v>5000</v>
      </c>
      <c r="D112" s="17">
        <v>17.8</v>
      </c>
      <c r="E112" s="18">
        <f>D112*C112</f>
        <v>89000</v>
      </c>
      <c r="F112" s="18">
        <f>E112*C109</f>
        <v>1057346.7</v>
      </c>
      <c r="G112" s="23">
        <v>111393.42</v>
      </c>
      <c r="H112" s="19">
        <v>10</v>
      </c>
      <c r="I112" s="3">
        <v>245065.52</v>
      </c>
      <c r="M112" s="62">
        <f t="shared" si="15"/>
        <v>1413805.64</v>
      </c>
    </row>
    <row r="113" spans="1:13" x14ac:dyDescent="0.3">
      <c r="A113" s="1"/>
      <c r="B113" s="17"/>
      <c r="C113" s="17"/>
      <c r="D113" s="17"/>
      <c r="E113" s="5">
        <f>SUM(E111:E112)</f>
        <v>497000</v>
      </c>
      <c r="F113" s="5">
        <f>SUM(F111:F112)</f>
        <v>5904509.1000000006</v>
      </c>
      <c r="G113" s="5">
        <f>SUM(G111:G112)</f>
        <v>622050.88</v>
      </c>
      <c r="H113" s="5"/>
      <c r="I113" s="5">
        <f t="shared" ref="I113" si="19">SUM(I111:I112)</f>
        <v>1368511.94</v>
      </c>
      <c r="M113" s="62">
        <f t="shared" si="15"/>
        <v>7895071.9199999999</v>
      </c>
    </row>
    <row r="114" spans="1:13" s="33" customFormat="1" ht="15" thickBot="1" x14ac:dyDescent="0.35">
      <c r="A114" s="35"/>
      <c r="B114" s="31"/>
      <c r="C114" s="31"/>
      <c r="D114" s="31"/>
      <c r="E114" s="32"/>
      <c r="F114" s="32"/>
      <c r="G114" s="32"/>
      <c r="H114" s="31"/>
      <c r="I114" s="31"/>
      <c r="K114" s="34"/>
      <c r="L114" s="34"/>
      <c r="M114" s="62">
        <f t="shared" si="15"/>
        <v>0</v>
      </c>
    </row>
    <row r="115" spans="1:13" x14ac:dyDescent="0.3">
      <c r="A115" s="40" t="s">
        <v>59</v>
      </c>
      <c r="B115" s="1"/>
      <c r="C115" s="2" t="s">
        <v>12</v>
      </c>
      <c r="D115" s="2" t="s">
        <v>4</v>
      </c>
      <c r="E115" s="1"/>
      <c r="F115" s="1"/>
      <c r="G115" s="1"/>
      <c r="H115" s="1"/>
      <c r="I115" s="1"/>
      <c r="M115" s="62">
        <f t="shared" si="15"/>
        <v>0</v>
      </c>
    </row>
    <row r="116" spans="1:13" x14ac:dyDescent="0.3">
      <c r="A116" s="41" t="s">
        <v>60</v>
      </c>
      <c r="B116" s="1"/>
      <c r="C116" s="2">
        <v>11.2057</v>
      </c>
      <c r="D116" s="5">
        <v>1550</v>
      </c>
      <c r="E116" s="1" t="s">
        <v>75</v>
      </c>
      <c r="F116" s="1" t="s">
        <v>11</v>
      </c>
      <c r="G116" s="1" t="s">
        <v>3</v>
      </c>
      <c r="H116" s="1" t="s">
        <v>13</v>
      </c>
      <c r="I116" s="28" t="s">
        <v>2</v>
      </c>
      <c r="M116" s="62" t="e">
        <f t="shared" si="15"/>
        <v>#VALUE!</v>
      </c>
    </row>
    <row r="117" spans="1:13" x14ac:dyDescent="0.3">
      <c r="A117" s="42">
        <v>45006</v>
      </c>
      <c r="B117" s="17" t="s">
        <v>84</v>
      </c>
      <c r="C117" s="17">
        <v>500</v>
      </c>
      <c r="D117" s="17">
        <v>77</v>
      </c>
      <c r="E117" s="18">
        <f>D117*C117</f>
        <v>38500</v>
      </c>
      <c r="F117" s="3">
        <f>E117*C116</f>
        <v>431419.45</v>
      </c>
      <c r="G117" s="23">
        <v>0</v>
      </c>
      <c r="H117" s="19">
        <v>0</v>
      </c>
      <c r="I117" s="3">
        <v>89648.35</v>
      </c>
      <c r="M117" s="62">
        <f t="shared" si="15"/>
        <v>521067.80000000005</v>
      </c>
    </row>
    <row r="118" spans="1:13" x14ac:dyDescent="0.3">
      <c r="A118" s="43" t="s">
        <v>82</v>
      </c>
      <c r="B118" s="1"/>
      <c r="C118" s="1"/>
      <c r="D118" s="1"/>
      <c r="E118" s="1"/>
      <c r="F118" s="1"/>
      <c r="G118" s="1"/>
      <c r="H118" s="1"/>
      <c r="I118" s="1"/>
      <c r="M118" s="62">
        <f t="shared" si="15"/>
        <v>0</v>
      </c>
    </row>
    <row r="119" spans="1:13" ht="15" thickBot="1" x14ac:dyDescent="0.35">
      <c r="A119" s="44" t="s">
        <v>83</v>
      </c>
      <c r="B119" s="1"/>
      <c r="C119" s="1"/>
      <c r="D119" s="1"/>
      <c r="E119" s="1"/>
      <c r="F119" s="1"/>
      <c r="G119" s="1"/>
      <c r="H119" s="1"/>
      <c r="I119" s="1"/>
      <c r="M119" s="62">
        <f t="shared" si="15"/>
        <v>0</v>
      </c>
    </row>
    <row r="120" spans="1:13" s="33" customFormat="1" ht="15" thickBot="1" x14ac:dyDescent="0.35">
      <c r="A120" s="35"/>
      <c r="B120" s="31"/>
      <c r="C120" s="31"/>
      <c r="D120" s="31"/>
      <c r="E120" s="32"/>
      <c r="F120" s="32"/>
      <c r="G120" s="32"/>
      <c r="H120" s="31"/>
      <c r="I120" s="31"/>
      <c r="K120" s="34"/>
      <c r="L120" s="34"/>
      <c r="M120" s="62">
        <f t="shared" si="15"/>
        <v>0</v>
      </c>
    </row>
    <row r="121" spans="1:13" x14ac:dyDescent="0.3">
      <c r="A121" s="40" t="s">
        <v>59</v>
      </c>
      <c r="C121" s="2" t="s">
        <v>12</v>
      </c>
      <c r="D121" s="2" t="s">
        <v>4</v>
      </c>
      <c r="E121" s="1"/>
      <c r="F121" s="1"/>
      <c r="G121" s="5">
        <f>418105.32+145339.52+79272.45</f>
        <v>642717.28999999992</v>
      </c>
      <c r="H121" s="1"/>
      <c r="I121" s="5">
        <f>726860.01+252667.17+192015.5</f>
        <v>1171542.6800000002</v>
      </c>
      <c r="M121" s="62">
        <f t="shared" si="15"/>
        <v>1814259.9700000002</v>
      </c>
    </row>
    <row r="122" spans="1:13" x14ac:dyDescent="0.3">
      <c r="A122" s="41" t="s">
        <v>60</v>
      </c>
      <c r="C122" s="2">
        <v>11.2057</v>
      </c>
      <c r="D122" s="5">
        <v>20000</v>
      </c>
      <c r="E122" s="1" t="s">
        <v>75</v>
      </c>
      <c r="F122" s="1" t="s">
        <v>11</v>
      </c>
      <c r="G122" s="1" t="s">
        <v>3</v>
      </c>
      <c r="H122" s="1" t="s">
        <v>13</v>
      </c>
      <c r="I122" s="39" t="s">
        <v>2</v>
      </c>
      <c r="M122" s="62" t="e">
        <f t="shared" si="15"/>
        <v>#VALUE!</v>
      </c>
    </row>
    <row r="123" spans="1:13" x14ac:dyDescent="0.3">
      <c r="A123" s="42">
        <v>45006</v>
      </c>
      <c r="B123" s="1" t="s">
        <v>5</v>
      </c>
      <c r="C123" s="1">
        <v>1120</v>
      </c>
      <c r="D123" s="1">
        <v>13.58</v>
      </c>
      <c r="E123" s="3">
        <f>D123*C123</f>
        <v>15209.6</v>
      </c>
      <c r="F123" s="3">
        <f>E123*$C$122</f>
        <v>170434.21472000002</v>
      </c>
      <c r="G123" s="1"/>
      <c r="H123" s="9">
        <v>0</v>
      </c>
      <c r="I123" s="3">
        <f t="shared" ref="I123:I139" si="20">$I$121*((F123+G123)/($F$140+$G$140))</f>
        <v>34237.454968698614</v>
      </c>
      <c r="J123" s="22" t="s">
        <v>54</v>
      </c>
      <c r="K123" s="22" t="s">
        <v>76</v>
      </c>
      <c r="M123" s="62">
        <f t="shared" si="15"/>
        <v>204671.66968869863</v>
      </c>
    </row>
    <row r="124" spans="1:13" x14ac:dyDescent="0.3">
      <c r="A124" s="43" t="s">
        <v>82</v>
      </c>
      <c r="B124" s="1" t="s">
        <v>33</v>
      </c>
      <c r="C124" s="45">
        <v>2500</v>
      </c>
      <c r="D124" s="1">
        <v>12</v>
      </c>
      <c r="E124" s="3">
        <f t="shared" ref="E124:E139" si="21">D124*C124</f>
        <v>30000</v>
      </c>
      <c r="F124" s="3">
        <f t="shared" ref="F124:F139" si="22">E124*$C$122</f>
        <v>336171</v>
      </c>
      <c r="G124" s="1"/>
      <c r="H124" s="9">
        <v>0</v>
      </c>
      <c r="I124" s="3">
        <f t="shared" si="20"/>
        <v>67531.272950041966</v>
      </c>
      <c r="J124" s="24">
        <f>I121-I140</f>
        <v>0</v>
      </c>
      <c r="K124" s="24">
        <f>G121-G140</f>
        <v>0</v>
      </c>
      <c r="M124" s="62">
        <f t="shared" si="15"/>
        <v>403702.27295004198</v>
      </c>
    </row>
    <row r="125" spans="1:13" ht="15" thickBot="1" x14ac:dyDescent="0.35">
      <c r="A125" s="44" t="s">
        <v>87</v>
      </c>
      <c r="B125" s="1" t="s">
        <v>88</v>
      </c>
      <c r="C125" s="45">
        <v>2000</v>
      </c>
      <c r="D125" s="1">
        <v>14.55</v>
      </c>
      <c r="E125" s="3">
        <f t="shared" si="21"/>
        <v>29100</v>
      </c>
      <c r="F125" s="3">
        <f t="shared" si="22"/>
        <v>326085.87</v>
      </c>
      <c r="G125" s="1"/>
      <c r="H125" s="9">
        <v>0</v>
      </c>
      <c r="I125" s="3">
        <f t="shared" si="20"/>
        <v>65505.334761540711</v>
      </c>
      <c r="M125" s="62">
        <f t="shared" si="15"/>
        <v>391591.20476154069</v>
      </c>
    </row>
    <row r="126" spans="1:13" x14ac:dyDescent="0.3">
      <c r="B126" s="1" t="s">
        <v>89</v>
      </c>
      <c r="C126" s="1">
        <v>2000</v>
      </c>
      <c r="D126" s="1">
        <v>12.7</v>
      </c>
      <c r="E126" s="3">
        <f t="shared" si="21"/>
        <v>25400</v>
      </c>
      <c r="F126" s="3">
        <f t="shared" si="22"/>
        <v>284624.78000000003</v>
      </c>
      <c r="G126" s="3">
        <v>42681.929999999993</v>
      </c>
      <c r="H126" s="9">
        <v>9</v>
      </c>
      <c r="I126" s="3">
        <f t="shared" si="20"/>
        <v>65750.581612900074</v>
      </c>
      <c r="M126" s="62">
        <f t="shared" si="15"/>
        <v>393057.2916129001</v>
      </c>
    </row>
    <row r="127" spans="1:13" x14ac:dyDescent="0.3">
      <c r="B127" s="1" t="s">
        <v>17</v>
      </c>
      <c r="C127" s="1">
        <v>500</v>
      </c>
      <c r="D127" s="1">
        <v>3.78</v>
      </c>
      <c r="E127" s="3">
        <f t="shared" si="21"/>
        <v>1890</v>
      </c>
      <c r="F127" s="3">
        <f t="shared" si="22"/>
        <v>21178.773000000001</v>
      </c>
      <c r="G127" s="3">
        <v>3175.94</v>
      </c>
      <c r="H127" s="9">
        <v>9</v>
      </c>
      <c r="I127" s="3">
        <f t="shared" si="20"/>
        <v>4892.4647611570763</v>
      </c>
      <c r="M127" s="62">
        <f t="shared" si="15"/>
        <v>29247.177761157076</v>
      </c>
    </row>
    <row r="128" spans="1:13" x14ac:dyDescent="0.3">
      <c r="B128" s="1" t="s">
        <v>36</v>
      </c>
      <c r="C128" s="1">
        <v>500</v>
      </c>
      <c r="D128" s="1">
        <v>16.489999999999998</v>
      </c>
      <c r="E128" s="3">
        <f t="shared" si="21"/>
        <v>8245</v>
      </c>
      <c r="F128" s="3">
        <f t="shared" si="22"/>
        <v>92390.996500000008</v>
      </c>
      <c r="G128" s="3">
        <v>13854.83</v>
      </c>
      <c r="H128" s="9">
        <v>9</v>
      </c>
      <c r="I128" s="3">
        <f t="shared" si="20"/>
        <v>21343.054306214108</v>
      </c>
      <c r="M128" s="62">
        <f t="shared" si="15"/>
        <v>127588.88080621412</v>
      </c>
    </row>
    <row r="129" spans="1:13" x14ac:dyDescent="0.3">
      <c r="B129" s="1" t="s">
        <v>90</v>
      </c>
      <c r="C129" s="1">
        <v>1000</v>
      </c>
      <c r="D129" s="1">
        <v>11.64</v>
      </c>
      <c r="E129" s="3">
        <f t="shared" si="21"/>
        <v>11640</v>
      </c>
      <c r="F129" s="3">
        <f t="shared" si="22"/>
        <v>130434.348</v>
      </c>
      <c r="G129" s="3">
        <v>19559.75</v>
      </c>
      <c r="H129" s="9">
        <v>9</v>
      </c>
      <c r="I129" s="3">
        <f t="shared" si="20"/>
        <v>30131.368776406482</v>
      </c>
      <c r="M129" s="62">
        <f t="shared" si="15"/>
        <v>180125.46677640648</v>
      </c>
    </row>
    <row r="130" spans="1:13" x14ac:dyDescent="0.3">
      <c r="B130" s="1" t="s">
        <v>37</v>
      </c>
      <c r="C130" s="1">
        <v>3520</v>
      </c>
      <c r="D130" s="1">
        <v>25.71</v>
      </c>
      <c r="E130" s="3">
        <f t="shared" si="21"/>
        <v>90499.199999999997</v>
      </c>
      <c r="F130" s="3">
        <f t="shared" si="22"/>
        <v>1014106.88544</v>
      </c>
      <c r="G130" s="3">
        <v>149270.39000000001</v>
      </c>
      <c r="H130" s="9">
        <v>13</v>
      </c>
      <c r="I130" s="3">
        <f t="shared" si="20"/>
        <v>233703.526870595</v>
      </c>
      <c r="M130" s="62">
        <f t="shared" si="15"/>
        <v>1397080.8023105951</v>
      </c>
    </row>
    <row r="131" spans="1:13" x14ac:dyDescent="0.3">
      <c r="B131" s="1" t="s">
        <v>28</v>
      </c>
      <c r="C131" s="1">
        <v>1465</v>
      </c>
      <c r="D131" s="1">
        <v>57.23</v>
      </c>
      <c r="E131" s="3">
        <f t="shared" si="21"/>
        <v>83841.95</v>
      </c>
      <c r="F131" s="3">
        <f t="shared" si="22"/>
        <v>939507.739115</v>
      </c>
      <c r="G131" s="3">
        <v>138289.85</v>
      </c>
      <c r="H131" s="9">
        <v>13</v>
      </c>
      <c r="I131" s="3">
        <f t="shared" si="20"/>
        <v>216511.96318368404</v>
      </c>
      <c r="M131" s="62">
        <f t="shared" si="15"/>
        <v>1294309.5522986841</v>
      </c>
    </row>
    <row r="132" spans="1:13" x14ac:dyDescent="0.3">
      <c r="B132" s="1" t="s">
        <v>38</v>
      </c>
      <c r="C132" s="1">
        <v>457</v>
      </c>
      <c r="D132" s="1">
        <v>57.23</v>
      </c>
      <c r="E132" s="3">
        <f t="shared" si="21"/>
        <v>26154.109999999997</v>
      </c>
      <c r="F132" s="3">
        <f t="shared" si="22"/>
        <v>293075.11042699998</v>
      </c>
      <c r="G132" s="3">
        <v>43138.879999999997</v>
      </c>
      <c r="H132" s="9">
        <v>13</v>
      </c>
      <c r="I132" s="3">
        <f t="shared" si="20"/>
        <v>67539.90902590804</v>
      </c>
      <c r="M132" s="62">
        <f t="shared" si="15"/>
        <v>403753.89945290802</v>
      </c>
    </row>
    <row r="133" spans="1:13" x14ac:dyDescent="0.3">
      <c r="B133" s="1" t="s">
        <v>39</v>
      </c>
      <c r="C133" s="1">
        <v>480</v>
      </c>
      <c r="D133" s="1">
        <v>57.23</v>
      </c>
      <c r="E133" s="3">
        <f t="shared" si="21"/>
        <v>27470.399999999998</v>
      </c>
      <c r="F133" s="3">
        <f t="shared" si="22"/>
        <v>307825.06127999997</v>
      </c>
      <c r="G133" s="3">
        <v>45309.98</v>
      </c>
      <c r="H133" s="9">
        <v>13</v>
      </c>
      <c r="I133" s="3">
        <f t="shared" si="20"/>
        <v>70939.072260557907</v>
      </c>
      <c r="M133" s="62">
        <f t="shared" si="15"/>
        <v>424074.11354055785</v>
      </c>
    </row>
    <row r="134" spans="1:13" x14ac:dyDescent="0.3">
      <c r="B134" s="1" t="s">
        <v>6</v>
      </c>
      <c r="C134" s="1">
        <v>203</v>
      </c>
      <c r="D134" s="1">
        <v>64.510000000000005</v>
      </c>
      <c r="E134" s="3">
        <f t="shared" si="21"/>
        <v>13095.53</v>
      </c>
      <c r="F134" s="3">
        <f t="shared" si="22"/>
        <v>146744.580521</v>
      </c>
      <c r="G134" s="3">
        <v>21599.91</v>
      </c>
      <c r="H134" s="9">
        <v>13</v>
      </c>
      <c r="I134" s="3">
        <f t="shared" si="20"/>
        <v>33817.66344809458</v>
      </c>
      <c r="M134" s="62">
        <f t="shared" si="15"/>
        <v>202162.15396909456</v>
      </c>
    </row>
    <row r="135" spans="1:13" x14ac:dyDescent="0.3">
      <c r="B135" s="1" t="s">
        <v>40</v>
      </c>
      <c r="C135" s="1">
        <v>1050</v>
      </c>
      <c r="D135" s="1">
        <v>54.32</v>
      </c>
      <c r="E135" s="3">
        <f t="shared" si="21"/>
        <v>57036</v>
      </c>
      <c r="F135" s="3">
        <f t="shared" si="22"/>
        <v>639128.30520000006</v>
      </c>
      <c r="G135" s="3">
        <v>94075.82</v>
      </c>
      <c r="H135" s="9">
        <v>13</v>
      </c>
      <c r="I135" s="3">
        <f t="shared" si="20"/>
        <v>147288.75455342061</v>
      </c>
      <c r="M135" s="62">
        <f t="shared" si="15"/>
        <v>880492.87975342071</v>
      </c>
    </row>
    <row r="136" spans="1:13" x14ac:dyDescent="0.3">
      <c r="B136" s="1" t="s">
        <v>91</v>
      </c>
      <c r="C136" s="1">
        <v>104</v>
      </c>
      <c r="D136" s="1">
        <v>30.07</v>
      </c>
      <c r="E136" s="3">
        <f t="shared" si="21"/>
        <v>3127.28</v>
      </c>
      <c r="F136" s="3">
        <f t="shared" si="22"/>
        <v>35043.361496000005</v>
      </c>
      <c r="G136" s="3">
        <v>5158.17</v>
      </c>
      <c r="H136" s="9">
        <v>13</v>
      </c>
      <c r="I136" s="3">
        <f t="shared" si="20"/>
        <v>8075.8322296274373</v>
      </c>
      <c r="M136" s="62">
        <f t="shared" ref="M136:M199" si="23">F136+G136+I136</f>
        <v>48277.363725627438</v>
      </c>
    </row>
    <row r="137" spans="1:13" x14ac:dyDescent="0.3">
      <c r="B137" s="1" t="s">
        <v>41</v>
      </c>
      <c r="C137" s="1">
        <v>50</v>
      </c>
      <c r="D137" s="1">
        <v>58.2</v>
      </c>
      <c r="E137" s="3">
        <f t="shared" si="21"/>
        <v>2910</v>
      </c>
      <c r="F137" s="3">
        <f t="shared" si="22"/>
        <v>32608.587</v>
      </c>
      <c r="G137" s="3">
        <v>4799.79</v>
      </c>
      <c r="H137" s="9">
        <v>13</v>
      </c>
      <c r="I137" s="3">
        <f t="shared" si="20"/>
        <v>7514.7330311212809</v>
      </c>
      <c r="M137" s="62">
        <f t="shared" si="23"/>
        <v>44923.110031121279</v>
      </c>
    </row>
    <row r="138" spans="1:13" x14ac:dyDescent="0.3">
      <c r="B138" s="1" t="s">
        <v>79</v>
      </c>
      <c r="C138" s="1">
        <v>18</v>
      </c>
      <c r="D138" s="1">
        <v>117.37</v>
      </c>
      <c r="E138" s="3">
        <f t="shared" si="21"/>
        <v>2112.66</v>
      </c>
      <c r="F138" s="3">
        <f t="shared" si="22"/>
        <v>23673.834161999999</v>
      </c>
      <c r="G138" s="3">
        <v>3484.64</v>
      </c>
      <c r="H138" s="9">
        <v>13</v>
      </c>
      <c r="I138" s="3">
        <f t="shared" si="20"/>
        <v>5455.6946659309824</v>
      </c>
      <c r="M138" s="62">
        <f t="shared" si="23"/>
        <v>32614.168827930982</v>
      </c>
    </row>
    <row r="139" spans="1:13" x14ac:dyDescent="0.3">
      <c r="B139" s="1" t="s">
        <v>7</v>
      </c>
      <c r="C139" s="1">
        <v>150</v>
      </c>
      <c r="D139" s="1">
        <v>235.71</v>
      </c>
      <c r="E139" s="3">
        <f t="shared" si="21"/>
        <v>35356.5</v>
      </c>
      <c r="F139" s="3">
        <f t="shared" si="22"/>
        <v>396194.33205000003</v>
      </c>
      <c r="G139" s="3">
        <v>58317.41</v>
      </c>
      <c r="H139" s="9">
        <v>13</v>
      </c>
      <c r="I139" s="3">
        <f t="shared" si="20"/>
        <v>91303.998594101256</v>
      </c>
      <c r="M139" s="62">
        <f t="shared" si="23"/>
        <v>545815.74064410129</v>
      </c>
    </row>
    <row r="140" spans="1:13" x14ac:dyDescent="0.3">
      <c r="E140" s="5">
        <f>SUM(E123:E139)</f>
        <v>463088.23000000004</v>
      </c>
      <c r="F140" s="5">
        <f>SUM(F123:F139)</f>
        <v>5189227.7789110001</v>
      </c>
      <c r="G140" s="5">
        <f>SUM(G123:G139)</f>
        <v>642717.29000000015</v>
      </c>
      <c r="H140" s="5"/>
      <c r="I140" s="5">
        <f>SUM(I123:I139)</f>
        <v>1171542.6800000004</v>
      </c>
      <c r="M140" s="62">
        <f t="shared" si="23"/>
        <v>7003487.7489110008</v>
      </c>
    </row>
    <row r="141" spans="1:13" s="33" customFormat="1" ht="15" thickBot="1" x14ac:dyDescent="0.35">
      <c r="A141" s="35"/>
      <c r="B141" s="31"/>
      <c r="C141" s="31"/>
      <c r="D141" s="31"/>
      <c r="E141" s="32"/>
      <c r="F141" s="32"/>
      <c r="G141" s="32"/>
      <c r="H141" s="31"/>
      <c r="I141" s="31"/>
      <c r="K141" s="34"/>
      <c r="L141" s="34"/>
      <c r="M141" s="62">
        <f t="shared" si="23"/>
        <v>0</v>
      </c>
    </row>
    <row r="142" spans="1:13" x14ac:dyDescent="0.3">
      <c r="A142" s="40" t="s">
        <v>92</v>
      </c>
      <c r="C142" s="2" t="s">
        <v>12</v>
      </c>
      <c r="D142" s="2" t="s">
        <v>4</v>
      </c>
      <c r="E142" s="1"/>
      <c r="F142" s="1"/>
      <c r="G142" s="5"/>
      <c r="H142" s="1"/>
      <c r="I142" s="5">
        <v>1009227.64</v>
      </c>
      <c r="M142" s="62">
        <f t="shared" si="23"/>
        <v>1009227.64</v>
      </c>
    </row>
    <row r="143" spans="1:13" x14ac:dyDescent="0.3">
      <c r="A143" s="41" t="s">
        <v>60</v>
      </c>
      <c r="C143" s="2">
        <v>11.1226</v>
      </c>
      <c r="D143" s="5">
        <v>20000</v>
      </c>
      <c r="E143" s="1" t="s">
        <v>75</v>
      </c>
      <c r="F143" s="1" t="s">
        <v>11</v>
      </c>
      <c r="G143" s="1" t="s">
        <v>3</v>
      </c>
      <c r="H143" s="1" t="s">
        <v>13</v>
      </c>
      <c r="I143" s="28" t="s">
        <v>2</v>
      </c>
      <c r="J143" s="22" t="s">
        <v>54</v>
      </c>
      <c r="K143" s="22" t="s">
        <v>76</v>
      </c>
      <c r="M143" s="62" t="e">
        <f t="shared" si="23"/>
        <v>#VALUE!</v>
      </c>
    </row>
    <row r="144" spans="1:13" x14ac:dyDescent="0.3">
      <c r="A144" s="42">
        <v>45005</v>
      </c>
      <c r="B144" s="1" t="s">
        <v>95</v>
      </c>
      <c r="C144" s="3">
        <v>12000</v>
      </c>
      <c r="D144" s="3">
        <v>19</v>
      </c>
      <c r="E144" s="3">
        <f>D144*C144</f>
        <v>228000</v>
      </c>
      <c r="F144" s="3">
        <f>E144*C143</f>
        <v>2535952.8000000003</v>
      </c>
      <c r="G144" s="1">
        <v>0</v>
      </c>
      <c r="H144" s="1">
        <v>0</v>
      </c>
      <c r="I144" s="3">
        <f>$I$142*((F144+G144)/($F$146+$G$146))</f>
        <v>576701.5085714286</v>
      </c>
      <c r="J144" s="24">
        <f>I142-I146</f>
        <v>0</v>
      </c>
      <c r="K144" s="24"/>
      <c r="M144" s="62">
        <f t="shared" si="23"/>
        <v>3112654.308571429</v>
      </c>
    </row>
    <row r="145" spans="1:13" x14ac:dyDescent="0.3">
      <c r="A145" s="43" t="s">
        <v>94</v>
      </c>
      <c r="B145" s="1" t="s">
        <v>96</v>
      </c>
      <c r="C145" s="1">
        <v>6000</v>
      </c>
      <c r="D145" s="3">
        <v>28.5</v>
      </c>
      <c r="E145" s="3">
        <f>D145*C145</f>
        <v>171000</v>
      </c>
      <c r="F145" s="3">
        <f>E145*C143</f>
        <v>1901964.6</v>
      </c>
      <c r="G145" s="1">
        <v>0</v>
      </c>
      <c r="H145" s="1">
        <v>0</v>
      </c>
      <c r="I145" s="3">
        <f>$I$142*((F145+G145)/($F$146+$G$146))</f>
        <v>432526.13142857142</v>
      </c>
      <c r="M145" s="62">
        <f t="shared" si="23"/>
        <v>2334490.7314285715</v>
      </c>
    </row>
    <row r="146" spans="1:13" ht="15" thickBot="1" x14ac:dyDescent="0.35">
      <c r="A146" s="44" t="s">
        <v>93</v>
      </c>
      <c r="C146" s="1"/>
      <c r="D146" s="1"/>
      <c r="E146" s="5">
        <f>SUM(E144:E145)</f>
        <v>399000</v>
      </c>
      <c r="F146" s="5">
        <f>SUM(F144:F145)</f>
        <v>4437917.4000000004</v>
      </c>
      <c r="G146" s="5"/>
      <c r="H146" s="5"/>
      <c r="I146" s="5">
        <f t="shared" ref="I146" si="24">SUM(I144:I145)</f>
        <v>1009227.64</v>
      </c>
      <c r="M146" s="62">
        <f t="shared" si="23"/>
        <v>5447145.04</v>
      </c>
    </row>
    <row r="147" spans="1:13" s="33" customFormat="1" ht="15" thickBot="1" x14ac:dyDescent="0.35">
      <c r="A147" s="35"/>
      <c r="B147" s="31"/>
      <c r="C147" s="31"/>
      <c r="D147" s="31"/>
      <c r="E147" s="32"/>
      <c r="F147" s="32"/>
      <c r="G147" s="32"/>
      <c r="H147" s="31"/>
      <c r="I147" s="31"/>
      <c r="K147" s="34"/>
      <c r="L147" s="34"/>
      <c r="M147" s="62">
        <f t="shared" si="23"/>
        <v>0</v>
      </c>
    </row>
    <row r="148" spans="1:13" x14ac:dyDescent="0.3">
      <c r="A148" s="40" t="s">
        <v>65</v>
      </c>
      <c r="C148" s="2" t="s">
        <v>12</v>
      </c>
      <c r="D148" s="2" t="s">
        <v>4</v>
      </c>
      <c r="G148" s="5">
        <v>291357.88</v>
      </c>
      <c r="I148" s="5">
        <v>954757.35</v>
      </c>
      <c r="M148" s="62">
        <f t="shared" si="23"/>
        <v>1246115.23</v>
      </c>
    </row>
    <row r="149" spans="1:13" x14ac:dyDescent="0.3">
      <c r="A149" s="41" t="s">
        <v>60</v>
      </c>
      <c r="C149" s="2">
        <v>10.771699999999999</v>
      </c>
      <c r="D149" s="5">
        <v>15500</v>
      </c>
      <c r="E149" s="1" t="s">
        <v>75</v>
      </c>
      <c r="F149" s="1" t="s">
        <v>11</v>
      </c>
      <c r="G149" s="1" t="s">
        <v>3</v>
      </c>
      <c r="H149" s="1" t="s">
        <v>13</v>
      </c>
      <c r="I149" s="1" t="s">
        <v>2</v>
      </c>
      <c r="J149" s="22" t="s">
        <v>54</v>
      </c>
      <c r="K149" s="22" t="s">
        <v>76</v>
      </c>
      <c r="M149" s="62" t="e">
        <f t="shared" si="23"/>
        <v>#VALUE!</v>
      </c>
    </row>
    <row r="150" spans="1:13" x14ac:dyDescent="0.3">
      <c r="A150" s="42">
        <v>44971</v>
      </c>
      <c r="B150" s="1" t="s">
        <v>99</v>
      </c>
      <c r="C150" s="3">
        <v>2332.4</v>
      </c>
      <c r="D150" s="3">
        <f>E150/C150</f>
        <v>6.9178571428571418</v>
      </c>
      <c r="E150" s="3">
        <v>16135.21</v>
      </c>
      <c r="F150" s="3">
        <f>ROUND(E150*$C$149,2)</f>
        <v>173803.64</v>
      </c>
      <c r="G150" s="3">
        <v>13070.04</v>
      </c>
      <c r="H150" s="1">
        <v>6.5</v>
      </c>
      <c r="I150" s="3">
        <f>$I$148*((F150+G150)/($F$159+$G$159))</f>
        <v>42548.230205807558</v>
      </c>
      <c r="J150" s="24">
        <f>I148-I159</f>
        <v>0</v>
      </c>
      <c r="K150" s="24">
        <f>G148-G159</f>
        <v>0</v>
      </c>
      <c r="M150" s="62">
        <f t="shared" si="23"/>
        <v>229421.9102058076</v>
      </c>
    </row>
    <row r="151" spans="1:13" x14ac:dyDescent="0.3">
      <c r="A151" s="43" t="s">
        <v>97</v>
      </c>
      <c r="B151" s="1" t="s">
        <v>100</v>
      </c>
      <c r="C151" s="3">
        <v>1772.4</v>
      </c>
      <c r="D151" s="3">
        <f>E151/C151</f>
        <v>18.214285714285712</v>
      </c>
      <c r="E151" s="3">
        <v>32283</v>
      </c>
      <c r="F151" s="3">
        <f t="shared" ref="F151:F158" si="25">ROUND(E151*$C$149,2)</f>
        <v>347742.79</v>
      </c>
      <c r="G151" s="3">
        <v>26150.26</v>
      </c>
      <c r="H151" s="1">
        <v>6.5</v>
      </c>
      <c r="I151" s="3">
        <f t="shared" ref="I151:I158" si="26">$I$148*((F151+G151)/($F$159+$G$159))</f>
        <v>85129.631758477233</v>
      </c>
      <c r="M151" s="62">
        <f t="shared" si="23"/>
        <v>459022.68175847724</v>
      </c>
    </row>
    <row r="152" spans="1:13" ht="15" thickBot="1" x14ac:dyDescent="0.35">
      <c r="A152" s="44" t="s">
        <v>98</v>
      </c>
      <c r="B152" s="1" t="s">
        <v>101</v>
      </c>
      <c r="C152" s="3">
        <v>918.4</v>
      </c>
      <c r="D152" s="3">
        <f>E152/C152</f>
        <v>35.160714285714285</v>
      </c>
      <c r="E152" s="3">
        <v>32291.599999999999</v>
      </c>
      <c r="F152" s="3">
        <f t="shared" si="25"/>
        <v>347835.43</v>
      </c>
      <c r="G152" s="3">
        <v>26157.23</v>
      </c>
      <c r="H152" s="1">
        <v>6.5</v>
      </c>
      <c r="I152" s="3">
        <f t="shared" si="26"/>
        <v>85152.311406091598</v>
      </c>
      <c r="M152" s="62">
        <f t="shared" si="23"/>
        <v>459144.97140609159</v>
      </c>
    </row>
    <row r="153" spans="1:13" x14ac:dyDescent="0.3">
      <c r="B153" s="1" t="s">
        <v>14</v>
      </c>
      <c r="C153" s="3">
        <v>129</v>
      </c>
      <c r="D153" s="1">
        <v>187.22</v>
      </c>
      <c r="E153" s="3">
        <f t="shared" ref="E153:E156" si="27">D153*C153</f>
        <v>24151.38</v>
      </c>
      <c r="F153" s="3">
        <f t="shared" si="25"/>
        <v>260151.42</v>
      </c>
      <c r="G153" s="3">
        <v>19563.39</v>
      </c>
      <c r="H153" s="1">
        <v>6.5</v>
      </c>
      <c r="I153" s="3">
        <f t="shared" si="26"/>
        <v>63686.711407693794</v>
      </c>
      <c r="M153" s="62">
        <f t="shared" si="23"/>
        <v>343401.5214076938</v>
      </c>
    </row>
    <row r="154" spans="1:13" x14ac:dyDescent="0.3">
      <c r="B154" s="1" t="s">
        <v>102</v>
      </c>
      <c r="C154" s="3">
        <v>37</v>
      </c>
      <c r="D154" s="1">
        <v>499</v>
      </c>
      <c r="E154" s="3">
        <f t="shared" si="27"/>
        <v>18463</v>
      </c>
      <c r="F154" s="3">
        <f t="shared" si="25"/>
        <v>198877.9</v>
      </c>
      <c r="G154" s="3">
        <v>14955.62</v>
      </c>
      <c r="H154" s="1">
        <v>6.5</v>
      </c>
      <c r="I154" s="3">
        <f t="shared" si="26"/>
        <v>48686.566426466008</v>
      </c>
      <c r="M154" s="62">
        <f t="shared" si="23"/>
        <v>262520.086426466</v>
      </c>
    </row>
    <row r="155" spans="1:13" x14ac:dyDescent="0.3">
      <c r="B155" s="1" t="s">
        <v>44</v>
      </c>
      <c r="C155" s="3">
        <v>34</v>
      </c>
      <c r="D155" s="1">
        <v>533.86</v>
      </c>
      <c r="E155" s="3">
        <f t="shared" si="27"/>
        <v>18151.240000000002</v>
      </c>
      <c r="F155" s="3">
        <f t="shared" si="25"/>
        <v>195519.71</v>
      </c>
      <c r="G155" s="3">
        <v>14703.09</v>
      </c>
      <c r="H155" s="1">
        <v>6.5</v>
      </c>
      <c r="I155" s="3">
        <f t="shared" si="26"/>
        <v>47864.461645478586</v>
      </c>
      <c r="M155" s="62">
        <f t="shared" si="23"/>
        <v>258087.26164547857</v>
      </c>
    </row>
    <row r="156" spans="1:13" x14ac:dyDescent="0.3">
      <c r="B156" s="1" t="s">
        <v>103</v>
      </c>
      <c r="C156" s="3">
        <v>106</v>
      </c>
      <c r="D156" s="1">
        <v>703.18</v>
      </c>
      <c r="E156" s="3">
        <f t="shared" si="27"/>
        <v>74537.08</v>
      </c>
      <c r="F156" s="3">
        <f t="shared" si="25"/>
        <v>802891.06</v>
      </c>
      <c r="G156" s="3">
        <v>60377.42</v>
      </c>
      <c r="H156" s="1">
        <v>6.5</v>
      </c>
      <c r="I156" s="3">
        <f t="shared" si="26"/>
        <v>196552.80517008909</v>
      </c>
      <c r="M156" s="62">
        <f t="shared" si="23"/>
        <v>1059821.2851700892</v>
      </c>
    </row>
    <row r="157" spans="1:13" x14ac:dyDescent="0.3">
      <c r="B157" s="1" t="s">
        <v>10</v>
      </c>
      <c r="C157" s="3">
        <v>918.4</v>
      </c>
      <c r="D157" s="3">
        <f>E157/C157</f>
        <v>37.471428571428575</v>
      </c>
      <c r="E157" s="3">
        <f>34413.76</f>
        <v>34413.760000000002</v>
      </c>
      <c r="F157" s="3">
        <f t="shared" si="25"/>
        <v>370694.7</v>
      </c>
      <c r="G157" s="3">
        <v>27388.880000000001</v>
      </c>
      <c r="H157" s="1">
        <v>6.5</v>
      </c>
      <c r="I157" s="3">
        <f t="shared" si="26"/>
        <v>90637.439167420511</v>
      </c>
      <c r="M157" s="62">
        <f t="shared" si="23"/>
        <v>488721.01916742051</v>
      </c>
    </row>
    <row r="158" spans="1:13" x14ac:dyDescent="0.3">
      <c r="B158" s="1" t="s">
        <v>16</v>
      </c>
      <c r="C158" s="3">
        <v>1848</v>
      </c>
      <c r="D158" s="3">
        <f>E158/C158</f>
        <v>60.507142857142853</v>
      </c>
      <c r="E158" s="3">
        <v>111817.2</v>
      </c>
      <c r="F158" s="3">
        <f t="shared" si="25"/>
        <v>1204461.33</v>
      </c>
      <c r="G158" s="3">
        <v>88991.95</v>
      </c>
      <c r="H158" s="1">
        <v>6.5</v>
      </c>
      <c r="I158" s="3">
        <f t="shared" si="26"/>
        <v>294499.19281247555</v>
      </c>
      <c r="M158" s="62">
        <f t="shared" si="23"/>
        <v>1587952.4728124756</v>
      </c>
    </row>
    <row r="159" spans="1:13" x14ac:dyDescent="0.3">
      <c r="E159" s="5">
        <f>SUM(E150:E158)</f>
        <v>362243.47000000003</v>
      </c>
      <c r="F159" s="5">
        <f t="shared" ref="F159:G159" si="28">SUM(F150:F158)</f>
        <v>3901977.9800000004</v>
      </c>
      <c r="G159" s="5">
        <f t="shared" si="28"/>
        <v>291357.88</v>
      </c>
      <c r="H159" s="5"/>
      <c r="I159" s="5">
        <f t="shared" ref="I159" si="29">SUM(I150:I158)</f>
        <v>954757.34999999986</v>
      </c>
      <c r="M159" s="62">
        <f t="shared" si="23"/>
        <v>5148093.21</v>
      </c>
    </row>
    <row r="160" spans="1:13" s="33" customFormat="1" ht="15" thickBot="1" x14ac:dyDescent="0.35">
      <c r="A160" s="35"/>
      <c r="B160" s="31"/>
      <c r="C160" s="31"/>
      <c r="D160" s="31"/>
      <c r="E160" s="32"/>
      <c r="F160" s="32"/>
      <c r="G160" s="32"/>
      <c r="H160" s="31"/>
      <c r="I160" s="31"/>
      <c r="K160" s="34"/>
      <c r="L160" s="34"/>
      <c r="M160" s="62">
        <f t="shared" si="23"/>
        <v>0</v>
      </c>
    </row>
    <row r="161" spans="1:13" x14ac:dyDescent="0.3">
      <c r="A161" s="40" t="s">
        <v>92</v>
      </c>
      <c r="C161" s="2" t="s">
        <v>12</v>
      </c>
      <c r="D161" s="2" t="s">
        <v>4</v>
      </c>
      <c r="G161" s="5"/>
      <c r="I161" s="5">
        <v>945904.61</v>
      </c>
      <c r="M161" s="62">
        <f t="shared" si="23"/>
        <v>945904.61</v>
      </c>
    </row>
    <row r="162" spans="1:13" x14ac:dyDescent="0.3">
      <c r="A162" s="41" t="s">
        <v>60</v>
      </c>
      <c r="C162" s="2">
        <v>10.771699999999999</v>
      </c>
      <c r="D162" s="5">
        <v>15500</v>
      </c>
      <c r="E162" s="1" t="s">
        <v>75</v>
      </c>
      <c r="F162" s="1" t="s">
        <v>11</v>
      </c>
      <c r="G162" s="1" t="s">
        <v>3</v>
      </c>
      <c r="H162" s="1" t="s">
        <v>13</v>
      </c>
      <c r="I162" s="1" t="s">
        <v>2</v>
      </c>
      <c r="J162" s="22" t="s">
        <v>54</v>
      </c>
      <c r="K162" s="22" t="s">
        <v>76</v>
      </c>
      <c r="M162" s="62" t="e">
        <f t="shared" si="23"/>
        <v>#VALUE!</v>
      </c>
    </row>
    <row r="163" spans="1:13" x14ac:dyDescent="0.3">
      <c r="A163" s="42">
        <v>44971</v>
      </c>
      <c r="B163" s="1" t="s">
        <v>106</v>
      </c>
      <c r="C163" s="1">
        <v>8000</v>
      </c>
      <c r="D163" s="1">
        <v>20.2</v>
      </c>
      <c r="E163" s="3">
        <f>D163*C163</f>
        <v>161600</v>
      </c>
      <c r="F163" s="3">
        <f>E163*C162</f>
        <v>1740706.72</v>
      </c>
      <c r="G163" s="1">
        <v>0</v>
      </c>
      <c r="H163" s="1">
        <v>0</v>
      </c>
      <c r="I163" s="3">
        <f>$I$161*((F163+G163)/($F$166+$G$166))</f>
        <v>396828.10222222225</v>
      </c>
      <c r="J163" s="24">
        <f>I161-I166</f>
        <v>0</v>
      </c>
      <c r="K163" s="24">
        <v>0</v>
      </c>
      <c r="M163" s="62">
        <f t="shared" si="23"/>
        <v>2137534.8222222221</v>
      </c>
    </row>
    <row r="164" spans="1:13" x14ac:dyDescent="0.3">
      <c r="A164" s="43" t="s">
        <v>104</v>
      </c>
      <c r="B164" s="1" t="s">
        <v>95</v>
      </c>
      <c r="C164" s="3">
        <v>8000</v>
      </c>
      <c r="D164" s="1">
        <v>20.6</v>
      </c>
      <c r="E164" s="3">
        <f t="shared" ref="E164:E165" si="30">D164*C164</f>
        <v>164800</v>
      </c>
      <c r="F164" s="3">
        <f>E164*C162</f>
        <v>1775176.16</v>
      </c>
      <c r="G164" s="1">
        <v>0</v>
      </c>
      <c r="H164" s="1">
        <v>0</v>
      </c>
      <c r="I164" s="3">
        <f t="shared" ref="I164:I165" si="31">$I$161*((F164+G164)/($F$166+$G$166))</f>
        <v>404686.08444444445</v>
      </c>
      <c r="M164" s="62">
        <f t="shared" si="23"/>
        <v>2179862.2444444443</v>
      </c>
    </row>
    <row r="165" spans="1:13" ht="15" thickBot="1" x14ac:dyDescent="0.35">
      <c r="A165" s="44" t="s">
        <v>105</v>
      </c>
      <c r="B165" s="1" t="s">
        <v>96</v>
      </c>
      <c r="C165" s="1">
        <v>2000</v>
      </c>
      <c r="D165" s="1">
        <v>29.4</v>
      </c>
      <c r="E165" s="3">
        <f t="shared" si="30"/>
        <v>58800</v>
      </c>
      <c r="F165" s="3">
        <f>E165*C162</f>
        <v>633375.96</v>
      </c>
      <c r="G165" s="1">
        <v>0</v>
      </c>
      <c r="H165" s="1">
        <v>0</v>
      </c>
      <c r="I165" s="3">
        <f t="shared" si="31"/>
        <v>144390.42333333331</v>
      </c>
      <c r="M165" s="62">
        <f t="shared" si="23"/>
        <v>777766.3833333333</v>
      </c>
    </row>
    <row r="166" spans="1:13" x14ac:dyDescent="0.3">
      <c r="E166" s="5">
        <f>SUM(E163:E165)</f>
        <v>385200</v>
      </c>
      <c r="F166" s="5">
        <f>SUM(F163:F165)</f>
        <v>4149258.84</v>
      </c>
      <c r="G166" s="5"/>
      <c r="H166" s="5"/>
      <c r="I166" s="5">
        <f t="shared" ref="I166" si="32">SUM(I163:I165)</f>
        <v>945904.6100000001</v>
      </c>
      <c r="M166" s="62">
        <f t="shared" si="23"/>
        <v>5095163.45</v>
      </c>
    </row>
    <row r="167" spans="1:13" s="33" customFormat="1" x14ac:dyDescent="0.3">
      <c r="A167" s="35"/>
      <c r="B167" s="31"/>
      <c r="C167" s="31"/>
      <c r="D167" s="31"/>
      <c r="E167" s="32"/>
      <c r="F167" s="32"/>
      <c r="G167" s="32"/>
      <c r="H167" s="31"/>
      <c r="I167" s="31"/>
      <c r="K167" s="34"/>
      <c r="L167" s="34"/>
      <c r="M167" s="62">
        <f t="shared" si="23"/>
        <v>0</v>
      </c>
    </row>
    <row r="168" spans="1:13" x14ac:dyDescent="0.3">
      <c r="A168" s="36" t="s">
        <v>61</v>
      </c>
      <c r="B168" s="1"/>
      <c r="C168" s="2" t="s">
        <v>12</v>
      </c>
      <c r="D168" s="2" t="s">
        <v>4</v>
      </c>
      <c r="E168" s="1"/>
      <c r="F168" s="1"/>
      <c r="G168" s="5"/>
      <c r="H168" s="1"/>
      <c r="I168" s="5">
        <v>1119227.51</v>
      </c>
      <c r="M168" s="62">
        <f t="shared" si="23"/>
        <v>1119227.51</v>
      </c>
    </row>
    <row r="169" spans="1:13" x14ac:dyDescent="0.3">
      <c r="A169" s="36" t="s">
        <v>107</v>
      </c>
      <c r="B169" s="1"/>
      <c r="C169" s="2">
        <v>10.381500000000001</v>
      </c>
      <c r="D169" s="5">
        <v>20000</v>
      </c>
      <c r="E169" s="1" t="s">
        <v>75</v>
      </c>
      <c r="F169" s="1" t="s">
        <v>11</v>
      </c>
      <c r="G169" s="1" t="s">
        <v>3</v>
      </c>
      <c r="H169" s="1" t="s">
        <v>13</v>
      </c>
      <c r="I169" s="1" t="s">
        <v>2</v>
      </c>
      <c r="M169" s="62" t="e">
        <f t="shared" si="23"/>
        <v>#VALUE!</v>
      </c>
    </row>
    <row r="170" spans="1:13" x14ac:dyDescent="0.3">
      <c r="A170" s="37" t="s">
        <v>108</v>
      </c>
      <c r="B170" s="1" t="s">
        <v>1</v>
      </c>
      <c r="C170" s="1">
        <v>24560</v>
      </c>
      <c r="D170" s="1">
        <v>21</v>
      </c>
      <c r="E170" s="3">
        <f>D170*C170</f>
        <v>515760</v>
      </c>
      <c r="F170" s="3">
        <f>E170*C169</f>
        <v>5354362.4400000004</v>
      </c>
      <c r="G170" s="1">
        <v>0</v>
      </c>
      <c r="H170" s="1"/>
      <c r="I170" s="3">
        <v>1119227.51</v>
      </c>
      <c r="M170" s="62">
        <f t="shared" si="23"/>
        <v>6473589.9500000002</v>
      </c>
    </row>
    <row r="171" spans="1:13" x14ac:dyDescent="0.3">
      <c r="A171" s="37" t="s">
        <v>60</v>
      </c>
      <c r="B171" s="1"/>
      <c r="C171" s="1"/>
      <c r="D171" s="1"/>
      <c r="E171" s="1"/>
      <c r="F171" s="1"/>
      <c r="G171" s="1"/>
      <c r="H171" s="1"/>
      <c r="I171" s="1"/>
      <c r="M171" s="62">
        <f t="shared" si="23"/>
        <v>0</v>
      </c>
    </row>
    <row r="172" spans="1:13" x14ac:dyDescent="0.3">
      <c r="A172" s="38">
        <v>44964</v>
      </c>
      <c r="B172" s="1"/>
      <c r="C172" s="1"/>
      <c r="D172" s="1"/>
      <c r="E172" s="1"/>
      <c r="F172" s="1"/>
      <c r="G172" s="1"/>
      <c r="H172" s="1"/>
      <c r="I172" s="1"/>
      <c r="M172" s="62">
        <f t="shared" si="23"/>
        <v>0</v>
      </c>
    </row>
    <row r="173" spans="1:13" s="33" customFormat="1" x14ac:dyDescent="0.3">
      <c r="A173" s="35"/>
      <c r="B173" s="31"/>
      <c r="C173" s="31"/>
      <c r="D173" s="31"/>
      <c r="E173" s="32"/>
      <c r="F173" s="32"/>
      <c r="G173" s="32"/>
      <c r="H173" s="31"/>
      <c r="I173" s="31"/>
      <c r="K173" s="34"/>
      <c r="L173" s="34"/>
      <c r="M173" s="62">
        <f t="shared" si="23"/>
        <v>0</v>
      </c>
    </row>
    <row r="174" spans="1:13" x14ac:dyDescent="0.3">
      <c r="A174" s="36" t="s">
        <v>61</v>
      </c>
      <c r="B174" s="1"/>
      <c r="C174" s="2" t="s">
        <v>12</v>
      </c>
      <c r="D174" s="2" t="s">
        <v>4</v>
      </c>
      <c r="E174" s="1"/>
      <c r="F174" s="1"/>
      <c r="G174" s="5"/>
      <c r="H174" s="1"/>
      <c r="I174" s="5">
        <v>1178099.3600000001</v>
      </c>
      <c r="M174" s="62">
        <f t="shared" si="23"/>
        <v>1178099.3600000001</v>
      </c>
    </row>
    <row r="175" spans="1:13" x14ac:dyDescent="0.3">
      <c r="A175" s="36" t="s">
        <v>109</v>
      </c>
      <c r="B175" s="1"/>
      <c r="C175" s="2">
        <v>10.4217</v>
      </c>
      <c r="D175" s="5">
        <v>20000</v>
      </c>
      <c r="E175" s="1" t="s">
        <v>75</v>
      </c>
      <c r="F175" s="1" t="s">
        <v>11</v>
      </c>
      <c r="G175" s="1" t="s">
        <v>3</v>
      </c>
      <c r="H175" s="1" t="s">
        <v>13</v>
      </c>
      <c r="I175" s="1" t="s">
        <v>2</v>
      </c>
      <c r="M175" s="62" t="e">
        <f t="shared" si="23"/>
        <v>#VALUE!</v>
      </c>
    </row>
    <row r="176" spans="1:13" x14ac:dyDescent="0.3">
      <c r="A176" s="37" t="s">
        <v>110</v>
      </c>
      <c r="B176" s="1" t="s">
        <v>1</v>
      </c>
      <c r="C176" s="1">
        <v>24560</v>
      </c>
      <c r="D176" s="1">
        <v>21</v>
      </c>
      <c r="E176" s="3">
        <f>D176*C176</f>
        <v>515760</v>
      </c>
      <c r="F176" s="3">
        <f>E176*C175</f>
        <v>5375095.9919999996</v>
      </c>
      <c r="G176" s="1"/>
      <c r="H176" s="1"/>
      <c r="I176" s="3">
        <v>1178099.3600000001</v>
      </c>
      <c r="M176" s="62">
        <f t="shared" si="23"/>
        <v>6553195.352</v>
      </c>
    </row>
    <row r="177" spans="1:13" x14ac:dyDescent="0.3">
      <c r="A177" s="37" t="s">
        <v>60</v>
      </c>
      <c r="B177" s="1"/>
      <c r="C177" s="1"/>
      <c r="D177" s="1"/>
      <c r="E177" s="1"/>
      <c r="F177" s="1"/>
      <c r="G177" s="1"/>
      <c r="H177" s="1"/>
      <c r="I177" s="1"/>
      <c r="M177" s="62">
        <f t="shared" si="23"/>
        <v>0</v>
      </c>
    </row>
    <row r="178" spans="1:13" x14ac:dyDescent="0.3">
      <c r="A178" s="38">
        <v>44963</v>
      </c>
      <c r="B178" s="1"/>
      <c r="C178" s="1"/>
      <c r="D178" s="1"/>
      <c r="E178" s="1"/>
      <c r="F178" s="1"/>
      <c r="G178" s="1"/>
      <c r="H178" s="1"/>
      <c r="I178" s="1"/>
      <c r="M178" s="62">
        <f t="shared" si="23"/>
        <v>0</v>
      </c>
    </row>
    <row r="179" spans="1:13" s="33" customFormat="1" x14ac:dyDescent="0.3">
      <c r="A179" s="35"/>
      <c r="B179" s="31"/>
      <c r="C179" s="31"/>
      <c r="D179" s="31"/>
      <c r="E179" s="32"/>
      <c r="F179" s="32"/>
      <c r="G179" s="32"/>
      <c r="H179" s="31"/>
      <c r="I179" s="31"/>
      <c r="K179" s="34"/>
      <c r="L179" s="34"/>
      <c r="M179" s="62">
        <f t="shared" si="23"/>
        <v>0</v>
      </c>
    </row>
    <row r="180" spans="1:13" x14ac:dyDescent="0.3">
      <c r="A180" s="26" t="s">
        <v>92</v>
      </c>
      <c r="B180" s="1"/>
      <c r="C180" s="2" t="s">
        <v>12</v>
      </c>
      <c r="D180" s="2" t="s">
        <v>4</v>
      </c>
      <c r="E180" s="1"/>
      <c r="F180" s="1"/>
      <c r="G180" s="5"/>
      <c r="H180" s="1"/>
      <c r="I180" s="5">
        <v>1319207.1200000001</v>
      </c>
      <c r="M180" s="62">
        <f t="shared" si="23"/>
        <v>1319207.1200000001</v>
      </c>
    </row>
    <row r="181" spans="1:13" x14ac:dyDescent="0.3">
      <c r="A181" s="27" t="s">
        <v>60</v>
      </c>
      <c r="B181" s="1"/>
      <c r="C181" s="2">
        <v>10.390499999999999</v>
      </c>
      <c r="D181" s="5">
        <v>20000</v>
      </c>
      <c r="E181" s="1" t="s">
        <v>75</v>
      </c>
      <c r="F181" s="1" t="s">
        <v>11</v>
      </c>
      <c r="G181" s="1" t="s">
        <v>3</v>
      </c>
      <c r="H181" s="1" t="s">
        <v>13</v>
      </c>
      <c r="I181" s="1" t="s">
        <v>2</v>
      </c>
      <c r="J181" s="22" t="s">
        <v>54</v>
      </c>
      <c r="K181" s="22" t="s">
        <v>76</v>
      </c>
      <c r="M181" s="62" t="e">
        <f t="shared" si="23"/>
        <v>#VALUE!</v>
      </c>
    </row>
    <row r="182" spans="1:13" x14ac:dyDescent="0.3">
      <c r="A182" s="29">
        <v>44959</v>
      </c>
      <c r="B182" s="1" t="s">
        <v>95</v>
      </c>
      <c r="C182" s="3">
        <v>12156.52</v>
      </c>
      <c r="D182" s="1">
        <f>ROUND(E182/C182,2)</f>
        <v>20.329999999999998</v>
      </c>
      <c r="E182" s="3">
        <v>247200</v>
      </c>
      <c r="F182" s="3">
        <f>E182*C181</f>
        <v>2568531.5999999996</v>
      </c>
      <c r="G182" s="1"/>
      <c r="H182" s="1"/>
      <c r="I182" s="3">
        <f>$I$180*((F182+G182)/($F$184+$G$184))</f>
        <v>571517.70077812835</v>
      </c>
      <c r="J182" s="24">
        <f>I180-I184</f>
        <v>0</v>
      </c>
      <c r="K182" s="24">
        <v>0</v>
      </c>
      <c r="M182" s="62">
        <f t="shared" si="23"/>
        <v>3140049.3007781282</v>
      </c>
    </row>
    <row r="183" spans="1:13" x14ac:dyDescent="0.3">
      <c r="A183" s="26" t="s">
        <v>111</v>
      </c>
      <c r="B183" s="1" t="s">
        <v>96</v>
      </c>
      <c r="C183" s="3">
        <v>11143.48</v>
      </c>
      <c r="D183" s="1">
        <f>ROUND(E183/C183,2)</f>
        <v>29.02</v>
      </c>
      <c r="E183" s="3">
        <v>323400</v>
      </c>
      <c r="F183" s="3">
        <f>E183*C181</f>
        <v>3360287.6999999997</v>
      </c>
      <c r="G183" s="1"/>
      <c r="H183" s="1"/>
      <c r="I183" s="3">
        <f>$I$180*((F183+G183)/($F$184+$G$184))</f>
        <v>747689.41922187177</v>
      </c>
      <c r="M183" s="62">
        <f t="shared" si="23"/>
        <v>4107977.1192218717</v>
      </c>
    </row>
    <row r="184" spans="1:13" x14ac:dyDescent="0.3">
      <c r="A184" s="27" t="s">
        <v>112</v>
      </c>
      <c r="B184" s="1"/>
      <c r="C184" s="1"/>
      <c r="D184" s="1"/>
      <c r="E184" s="5">
        <f>SUM(E182:E183)</f>
        <v>570600</v>
      </c>
      <c r="F184" s="5">
        <f>SUM(F182:F183)</f>
        <v>5928819.2999999989</v>
      </c>
      <c r="G184" s="5"/>
      <c r="H184" s="5"/>
      <c r="I184" s="5">
        <f t="shared" ref="I184" si="33">SUM(I182:I183)</f>
        <v>1319207.1200000001</v>
      </c>
      <c r="M184" s="62">
        <f t="shared" si="23"/>
        <v>7248026.419999999</v>
      </c>
    </row>
    <row r="185" spans="1:13" s="33" customFormat="1" ht="15" thickBot="1" x14ac:dyDescent="0.35">
      <c r="A185" s="35"/>
      <c r="B185" s="31"/>
      <c r="C185" s="31"/>
      <c r="D185" s="31"/>
      <c r="E185" s="32"/>
      <c r="F185" s="32"/>
      <c r="G185" s="32"/>
      <c r="H185" s="31"/>
      <c r="I185" s="31"/>
      <c r="K185" s="34"/>
      <c r="L185" s="34"/>
      <c r="M185" s="62">
        <f t="shared" si="23"/>
        <v>0</v>
      </c>
    </row>
    <row r="186" spans="1:13" x14ac:dyDescent="0.3">
      <c r="A186" s="40" t="s">
        <v>65</v>
      </c>
      <c r="C186" s="2" t="s">
        <v>12</v>
      </c>
      <c r="D186" s="2" t="s">
        <v>4</v>
      </c>
      <c r="E186" s="1"/>
      <c r="F186" s="1"/>
      <c r="G186" s="5">
        <v>269700.78999999998</v>
      </c>
      <c r="H186" s="1"/>
      <c r="I186" s="5">
        <v>883788.74</v>
      </c>
      <c r="M186" s="62">
        <f t="shared" si="23"/>
        <v>1153489.53</v>
      </c>
    </row>
    <row r="187" spans="1:13" x14ac:dyDescent="0.3">
      <c r="A187" s="41" t="s">
        <v>60</v>
      </c>
      <c r="C187" s="2">
        <v>10.307700000000001</v>
      </c>
      <c r="D187" s="5">
        <v>12000</v>
      </c>
      <c r="E187" s="1" t="s">
        <v>75</v>
      </c>
      <c r="F187" s="1" t="s">
        <v>11</v>
      </c>
      <c r="G187" s="1" t="s">
        <v>3</v>
      </c>
      <c r="H187" s="1" t="s">
        <v>13</v>
      </c>
      <c r="I187" s="1" t="s">
        <v>2</v>
      </c>
      <c r="J187" s="22" t="s">
        <v>54</v>
      </c>
      <c r="K187" s="22" t="s">
        <v>76</v>
      </c>
      <c r="M187" s="62" t="e">
        <f t="shared" si="23"/>
        <v>#VALUE!</v>
      </c>
    </row>
    <row r="188" spans="1:13" x14ac:dyDescent="0.3">
      <c r="A188" s="42">
        <v>44957</v>
      </c>
      <c r="B188" s="1" t="s">
        <v>114</v>
      </c>
      <c r="C188" s="3">
        <v>3000</v>
      </c>
      <c r="D188" s="1">
        <f>ROUND(E188/C188,2)</f>
        <v>10.76</v>
      </c>
      <c r="E188" s="3">
        <v>32280</v>
      </c>
      <c r="F188" s="3">
        <f>E188*$C$187</f>
        <v>332732.55600000004</v>
      </c>
      <c r="G188" s="3">
        <v>25099.59</v>
      </c>
      <c r="H188" s="1">
        <v>6.5</v>
      </c>
      <c r="I188" s="3">
        <f>$I$186*((F188+G188)/($F$195+$G$195))</f>
        <v>82249.411069523005</v>
      </c>
      <c r="J188" s="24">
        <f>I186-I195</f>
        <v>0</v>
      </c>
      <c r="K188" s="24">
        <f>G186-G195</f>
        <v>0</v>
      </c>
      <c r="M188" s="62">
        <f t="shared" si="23"/>
        <v>440081.55706952309</v>
      </c>
    </row>
    <row r="189" spans="1:13" x14ac:dyDescent="0.3">
      <c r="A189" s="43" t="s">
        <v>113</v>
      </c>
      <c r="B189" s="1" t="s">
        <v>100</v>
      </c>
      <c r="C189" s="3">
        <v>1772.4</v>
      </c>
      <c r="D189" s="1">
        <f t="shared" ref="D189:D194" si="34">ROUND(E189/C189,2)</f>
        <v>18.21</v>
      </c>
      <c r="E189" s="3">
        <v>32283</v>
      </c>
      <c r="F189" s="3">
        <f t="shared" ref="F189:F194" si="35">E189*$C$187</f>
        <v>332763.4791</v>
      </c>
      <c r="G189" s="3">
        <v>25101.919999999998</v>
      </c>
      <c r="H189" s="1">
        <v>6.5</v>
      </c>
      <c r="I189" s="3">
        <f t="shared" ref="I189:I194" si="36">$I$186*((F189+G189)/($F$195+$G$195))</f>
        <v>82257.054451823336</v>
      </c>
      <c r="M189" s="62">
        <f t="shared" si="23"/>
        <v>440122.45355182333</v>
      </c>
    </row>
    <row r="190" spans="1:13" ht="15" thickBot="1" x14ac:dyDescent="0.35">
      <c r="A190" s="44" t="s">
        <v>116</v>
      </c>
      <c r="B190" s="1" t="s">
        <v>115</v>
      </c>
      <c r="C190" s="3">
        <v>273</v>
      </c>
      <c r="D190" s="1">
        <f t="shared" si="34"/>
        <v>206.59</v>
      </c>
      <c r="E190" s="3">
        <v>56399.07</v>
      </c>
      <c r="F190" s="3">
        <f t="shared" si="35"/>
        <v>581344.69383900007</v>
      </c>
      <c r="G190" s="3">
        <v>43853.57</v>
      </c>
      <c r="H190" s="1">
        <v>6.5</v>
      </c>
      <c r="I190" s="3">
        <f t="shared" si="36"/>
        <v>143704.77772124473</v>
      </c>
      <c r="M190" s="62">
        <f t="shared" si="23"/>
        <v>768903.04156024475</v>
      </c>
    </row>
    <row r="191" spans="1:13" x14ac:dyDescent="0.3">
      <c r="B191" s="1" t="s">
        <v>102</v>
      </c>
      <c r="C191" s="3">
        <v>17</v>
      </c>
      <c r="D191" s="1">
        <f t="shared" si="34"/>
        <v>499</v>
      </c>
      <c r="E191" s="3">
        <v>8483</v>
      </c>
      <c r="F191" s="3">
        <f t="shared" si="35"/>
        <v>87440.219100000002</v>
      </c>
      <c r="G191" s="3">
        <v>6596.03</v>
      </c>
      <c r="H191" s="1">
        <v>6.5</v>
      </c>
      <c r="I191" s="3">
        <f t="shared" si="36"/>
        <v>21614.676585434448</v>
      </c>
      <c r="M191" s="62">
        <f t="shared" si="23"/>
        <v>115650.92568543446</v>
      </c>
    </row>
    <row r="192" spans="1:13" x14ac:dyDescent="0.3">
      <c r="B192" s="1" t="s">
        <v>44</v>
      </c>
      <c r="C192" s="3">
        <v>109</v>
      </c>
      <c r="D192" s="1">
        <f t="shared" si="34"/>
        <v>533.86</v>
      </c>
      <c r="E192" s="3">
        <v>58190.74</v>
      </c>
      <c r="F192" s="3">
        <f t="shared" si="35"/>
        <v>599812.69069800002</v>
      </c>
      <c r="G192" s="3">
        <v>45246.7</v>
      </c>
      <c r="H192" s="1">
        <v>6.5</v>
      </c>
      <c r="I192" s="3">
        <f t="shared" si="36"/>
        <v>148269.95165989315</v>
      </c>
      <c r="M192" s="62">
        <f t="shared" si="23"/>
        <v>793329.34235789313</v>
      </c>
    </row>
    <row r="193" spans="1:18" x14ac:dyDescent="0.3">
      <c r="B193" s="1" t="s">
        <v>15</v>
      </c>
      <c r="C193" s="3">
        <v>162</v>
      </c>
      <c r="D193" s="1">
        <f t="shared" si="34"/>
        <v>770.41</v>
      </c>
      <c r="E193" s="3">
        <v>124806.42</v>
      </c>
      <c r="F193" s="3">
        <f t="shared" si="35"/>
        <v>1286467.1354340001</v>
      </c>
      <c r="G193" s="3">
        <v>97044.28</v>
      </c>
      <c r="H193" s="1">
        <v>6.5</v>
      </c>
      <c r="I193" s="3">
        <f t="shared" si="36"/>
        <v>318006.64193934284</v>
      </c>
      <c r="M193" s="62">
        <f t="shared" si="23"/>
        <v>1701518.057373343</v>
      </c>
    </row>
    <row r="194" spans="1:18" x14ac:dyDescent="0.3">
      <c r="B194" s="1" t="s">
        <v>10</v>
      </c>
      <c r="C194" s="3">
        <v>918.4</v>
      </c>
      <c r="D194" s="1">
        <f t="shared" si="34"/>
        <v>37.47</v>
      </c>
      <c r="E194" s="3">
        <v>34413.760000000002</v>
      </c>
      <c r="F194" s="3">
        <f t="shared" si="35"/>
        <v>354726.71395200002</v>
      </c>
      <c r="G194" s="3">
        <v>26758.7</v>
      </c>
      <c r="H194" s="1">
        <v>6.5</v>
      </c>
      <c r="I194" s="3">
        <f t="shared" si="36"/>
        <v>87686.226572738349</v>
      </c>
      <c r="M194" s="62">
        <f t="shared" si="23"/>
        <v>469171.64052473835</v>
      </c>
    </row>
    <row r="195" spans="1:18" x14ac:dyDescent="0.3">
      <c r="B195" s="1"/>
      <c r="C195" s="1"/>
      <c r="D195" s="1"/>
      <c r="E195" s="5">
        <f>SUM(E188:E194)</f>
        <v>346855.99</v>
      </c>
      <c r="F195" s="5">
        <f>SUM(F188:F194)</f>
        <v>3575287.4881230006</v>
      </c>
      <c r="G195" s="5">
        <f>SUM(G188:G194)</f>
        <v>269700.78999999998</v>
      </c>
      <c r="H195" s="5"/>
      <c r="I195" s="5">
        <f t="shared" ref="I195" si="37">SUM(I188:I194)</f>
        <v>883788.73999999987</v>
      </c>
      <c r="M195" s="62">
        <f t="shared" si="23"/>
        <v>4728777.0181230009</v>
      </c>
    </row>
    <row r="196" spans="1:18" s="33" customFormat="1" x14ac:dyDescent="0.3">
      <c r="A196" s="35"/>
      <c r="B196" s="31"/>
      <c r="C196" s="31"/>
      <c r="D196" s="31"/>
      <c r="E196" s="32"/>
      <c r="F196" s="32"/>
      <c r="G196" s="32"/>
      <c r="H196" s="31"/>
      <c r="I196" s="31"/>
      <c r="K196" s="34"/>
      <c r="L196" s="34"/>
      <c r="M196" s="62">
        <f t="shared" si="23"/>
        <v>0</v>
      </c>
    </row>
    <row r="197" spans="1:18" x14ac:dyDescent="0.3">
      <c r="A197" s="26" t="s">
        <v>92</v>
      </c>
      <c r="B197" s="1"/>
      <c r="C197" s="2" t="s">
        <v>12</v>
      </c>
      <c r="D197" s="2" t="s">
        <v>4</v>
      </c>
      <c r="E197" s="1"/>
      <c r="F197" s="1"/>
      <c r="G197" s="5">
        <v>0</v>
      </c>
      <c r="H197" s="1"/>
      <c r="I197" s="5">
        <v>1157013.78</v>
      </c>
      <c r="M197" s="62">
        <f t="shared" si="23"/>
        <v>1157013.78</v>
      </c>
    </row>
    <row r="198" spans="1:18" x14ac:dyDescent="0.3">
      <c r="A198" s="27" t="s">
        <v>60</v>
      </c>
      <c r="B198" s="1"/>
      <c r="C198" s="2">
        <v>10.2491</v>
      </c>
      <c r="D198" s="5">
        <v>20000</v>
      </c>
      <c r="E198" s="1" t="s">
        <v>75</v>
      </c>
      <c r="F198" s="1" t="s">
        <v>11</v>
      </c>
      <c r="G198" s="1" t="s">
        <v>3</v>
      </c>
      <c r="H198" s="1" t="s">
        <v>13</v>
      </c>
      <c r="I198" s="1" t="s">
        <v>2</v>
      </c>
      <c r="J198" s="22" t="s">
        <v>54</v>
      </c>
      <c r="K198" s="22" t="s">
        <v>76</v>
      </c>
      <c r="M198" s="62" t="e">
        <f t="shared" si="23"/>
        <v>#VALUE!</v>
      </c>
    </row>
    <row r="199" spans="1:18" x14ac:dyDescent="0.3">
      <c r="A199" s="29">
        <v>44953</v>
      </c>
      <c r="B199" s="1" t="s">
        <v>95</v>
      </c>
      <c r="C199" s="3">
        <v>18000</v>
      </c>
      <c r="D199" s="3">
        <v>20.6</v>
      </c>
      <c r="E199" s="3">
        <f>D199*C199</f>
        <v>370800</v>
      </c>
      <c r="F199" s="3">
        <f>E199*C198</f>
        <v>3800366.2800000003</v>
      </c>
      <c r="G199" s="1"/>
      <c r="H199" s="1"/>
      <c r="I199" s="3">
        <f>$I$197*((F199+G199)/($F$201+$G$201))</f>
        <v>828545.20977983787</v>
      </c>
      <c r="J199" s="24">
        <f>I197-I201</f>
        <v>0</v>
      </c>
      <c r="K199" s="24">
        <v>0</v>
      </c>
      <c r="M199" s="62">
        <f t="shared" si="23"/>
        <v>4628911.4897798384</v>
      </c>
    </row>
    <row r="200" spans="1:18" x14ac:dyDescent="0.3">
      <c r="A200" s="26" t="s">
        <v>117</v>
      </c>
      <c r="B200" s="1" t="s">
        <v>96</v>
      </c>
      <c r="C200" s="3">
        <v>5000</v>
      </c>
      <c r="D200" s="3">
        <v>29.4</v>
      </c>
      <c r="E200" s="3">
        <f>D200*C200</f>
        <v>147000</v>
      </c>
      <c r="F200" s="3">
        <f>E200*C198</f>
        <v>1506617.7</v>
      </c>
      <c r="G200" s="1"/>
      <c r="H200" s="1"/>
      <c r="I200" s="3">
        <f>$I$197*((F200+G200)/($F$201+$G$201))</f>
        <v>328468.57022016222</v>
      </c>
      <c r="M200" s="62">
        <f t="shared" ref="M200:M263" si="38">F200+G200+I200</f>
        <v>1835086.2702201621</v>
      </c>
    </row>
    <row r="201" spans="1:18" x14ac:dyDescent="0.3">
      <c r="A201" s="27" t="s">
        <v>118</v>
      </c>
      <c r="B201" s="1"/>
      <c r="C201" s="1"/>
      <c r="D201" s="1"/>
      <c r="E201" s="5">
        <f>SUM(E199:E200)</f>
        <v>517800</v>
      </c>
      <c r="F201" s="5">
        <f>SUM(F199:F200)</f>
        <v>5306983.9800000004</v>
      </c>
      <c r="G201" s="5"/>
      <c r="H201" s="5"/>
      <c r="I201" s="5">
        <f t="shared" ref="I201" si="39">SUM(I199:I200)</f>
        <v>1157013.78</v>
      </c>
      <c r="M201" s="62">
        <f t="shared" si="38"/>
        <v>6463997.7600000007</v>
      </c>
    </row>
    <row r="202" spans="1:18" s="33" customFormat="1" x14ac:dyDescent="0.3">
      <c r="A202" s="35"/>
      <c r="B202" s="31"/>
      <c r="C202" s="31"/>
      <c r="D202" s="31"/>
      <c r="E202" s="32"/>
      <c r="F202" s="32"/>
      <c r="G202" s="32"/>
      <c r="H202" s="31"/>
      <c r="I202" s="31"/>
      <c r="K202" s="34"/>
      <c r="L202" s="34"/>
      <c r="M202" s="62">
        <f t="shared" si="38"/>
        <v>0</v>
      </c>
    </row>
    <row r="203" spans="1:18" x14ac:dyDescent="0.3">
      <c r="A203" s="26" t="s">
        <v>59</v>
      </c>
      <c r="B203" s="1"/>
      <c r="C203" s="2" t="s">
        <v>12</v>
      </c>
      <c r="D203" s="2" t="s">
        <v>4</v>
      </c>
      <c r="E203" s="1"/>
      <c r="F203" s="1"/>
      <c r="G203" s="25">
        <f>157105.78+268068.21+25709.41</f>
        <v>450883.39999999997</v>
      </c>
      <c r="I203" s="5">
        <f>273122.36+475491.48+466026.27+62273.89</f>
        <v>1276913.9999999998</v>
      </c>
      <c r="J203" s="8"/>
      <c r="K203" s="8"/>
      <c r="L203" s="8"/>
      <c r="M203" s="62">
        <f t="shared" si="38"/>
        <v>1727797.3999999997</v>
      </c>
      <c r="N203" s="8"/>
      <c r="O203" s="8"/>
      <c r="P203" s="8"/>
      <c r="Q203" s="8"/>
      <c r="R203" s="8"/>
    </row>
    <row r="204" spans="1:18" x14ac:dyDescent="0.3">
      <c r="A204" s="27" t="s">
        <v>60</v>
      </c>
      <c r="B204" s="1"/>
      <c r="C204" s="2">
        <v>10.132</v>
      </c>
      <c r="D204" s="5">
        <v>20000</v>
      </c>
      <c r="E204" s="1" t="s">
        <v>75</v>
      </c>
      <c r="F204" s="1" t="s">
        <v>11</v>
      </c>
      <c r="G204" s="20" t="s">
        <v>3</v>
      </c>
      <c r="H204" s="1" t="s">
        <v>13</v>
      </c>
      <c r="I204" s="1" t="s">
        <v>2</v>
      </c>
      <c r="J204" s="15"/>
      <c r="K204" s="46"/>
      <c r="L204" s="47"/>
      <c r="M204" s="62" t="e">
        <f t="shared" si="38"/>
        <v>#VALUE!</v>
      </c>
      <c r="N204" s="8"/>
      <c r="O204" s="8"/>
      <c r="P204" s="8"/>
      <c r="Q204" s="8"/>
      <c r="R204" s="8"/>
    </row>
    <row r="205" spans="1:18" x14ac:dyDescent="0.3">
      <c r="A205" s="29">
        <v>44946</v>
      </c>
      <c r="B205" s="1" t="s">
        <v>5</v>
      </c>
      <c r="C205" s="49">
        <v>2000</v>
      </c>
      <c r="D205" s="49">
        <v>13.58</v>
      </c>
      <c r="E205" s="49">
        <f>D205*C205</f>
        <v>27160</v>
      </c>
      <c r="F205" s="50">
        <f t="shared" ref="F205:F217" si="40">E205*$C$204</f>
        <v>275185.12</v>
      </c>
      <c r="G205" s="3">
        <v>25709.41</v>
      </c>
      <c r="H205" s="1">
        <v>9</v>
      </c>
      <c r="I205" s="3">
        <f>$I$203*((F205+G205)/($F$218+$G$218))</f>
        <v>63407.945397434298</v>
      </c>
      <c r="J205" s="22" t="s">
        <v>54</v>
      </c>
      <c r="K205" s="22" t="s">
        <v>76</v>
      </c>
      <c r="L205" s="8"/>
      <c r="M205" s="62">
        <f t="shared" si="38"/>
        <v>364302.47539743426</v>
      </c>
      <c r="N205" s="8"/>
      <c r="O205" s="8"/>
      <c r="P205" s="8"/>
      <c r="Q205" s="8"/>
      <c r="R205" s="8"/>
    </row>
    <row r="206" spans="1:18" x14ac:dyDescent="0.3">
      <c r="A206" s="26" t="s">
        <v>52</v>
      </c>
      <c r="B206" s="1" t="s">
        <v>49</v>
      </c>
      <c r="C206" s="1">
        <v>1000</v>
      </c>
      <c r="D206" s="1">
        <v>28.13</v>
      </c>
      <c r="E206" s="1">
        <f t="shared" ref="E206:E217" si="41">D206*C206</f>
        <v>28130</v>
      </c>
      <c r="F206" s="3">
        <f t="shared" si="40"/>
        <v>285013.15999999997</v>
      </c>
      <c r="G206" s="1">
        <v>0</v>
      </c>
      <c r="H206" s="1">
        <v>0</v>
      </c>
      <c r="I206" s="3">
        <f t="shared" ref="I206:I217" si="42">$I$203*((F206+G206)/($F$218+$G$218))</f>
        <v>60061.241016346168</v>
      </c>
      <c r="J206" s="24">
        <f>I203-I218</f>
        <v>0</v>
      </c>
      <c r="K206" s="24">
        <f>G203-G218</f>
        <v>0</v>
      </c>
      <c r="L206" s="8"/>
      <c r="M206" s="62">
        <f t="shared" si="38"/>
        <v>345074.40101634612</v>
      </c>
      <c r="N206" s="8"/>
      <c r="O206" s="8"/>
      <c r="P206" s="8"/>
      <c r="Q206" s="8"/>
      <c r="R206" s="8"/>
    </row>
    <row r="207" spans="1:18" x14ac:dyDescent="0.3">
      <c r="A207" s="27" t="s">
        <v>53</v>
      </c>
      <c r="B207" s="1" t="s">
        <v>20</v>
      </c>
      <c r="C207" s="1">
        <v>6875</v>
      </c>
      <c r="D207" s="1">
        <v>24.74</v>
      </c>
      <c r="E207" s="1">
        <f t="shared" si="41"/>
        <v>170087.5</v>
      </c>
      <c r="F207" s="3">
        <f t="shared" si="40"/>
        <v>1723326.55</v>
      </c>
      <c r="G207" s="1">
        <v>0</v>
      </c>
      <c r="H207" s="1">
        <v>0</v>
      </c>
      <c r="I207" s="3">
        <f t="shared" si="42"/>
        <v>363159.13015882624</v>
      </c>
      <c r="J207" s="8"/>
      <c r="K207" s="8"/>
      <c r="L207" s="8"/>
      <c r="M207" s="62">
        <f t="shared" si="38"/>
        <v>2086485.6801588263</v>
      </c>
      <c r="N207" s="8"/>
      <c r="O207" s="8"/>
      <c r="P207" s="8"/>
      <c r="Q207" s="8"/>
      <c r="R207" s="8"/>
    </row>
    <row r="208" spans="1:18" x14ac:dyDescent="0.3">
      <c r="B208" s="1" t="s">
        <v>19</v>
      </c>
      <c r="C208" s="1">
        <v>2000</v>
      </c>
      <c r="D208" s="1">
        <v>12.51</v>
      </c>
      <c r="E208" s="1">
        <f t="shared" si="41"/>
        <v>25020</v>
      </c>
      <c r="F208" s="3">
        <f t="shared" si="40"/>
        <v>253502.63999999998</v>
      </c>
      <c r="G208" s="1">
        <v>0</v>
      </c>
      <c r="H208" s="1">
        <v>0</v>
      </c>
      <c r="I208" s="3">
        <f t="shared" si="42"/>
        <v>53420.982944506977</v>
      </c>
      <c r="J208" s="8"/>
      <c r="K208" s="46"/>
      <c r="L208" s="47"/>
      <c r="M208" s="62">
        <f t="shared" si="38"/>
        <v>306923.62294450693</v>
      </c>
      <c r="N208" s="8"/>
      <c r="O208" s="8"/>
      <c r="P208" s="8"/>
      <c r="Q208" s="8"/>
      <c r="R208" s="8"/>
    </row>
    <row r="209" spans="1:18" x14ac:dyDescent="0.3">
      <c r="B209" s="1" t="s">
        <v>37</v>
      </c>
      <c r="C209" s="1">
        <v>4400</v>
      </c>
      <c r="D209" s="1">
        <v>25.71</v>
      </c>
      <c r="E209" s="1">
        <f t="shared" si="41"/>
        <v>113124</v>
      </c>
      <c r="F209" s="3">
        <f t="shared" si="40"/>
        <v>1146172.368</v>
      </c>
      <c r="G209" s="3">
        <v>158658.17000000001</v>
      </c>
      <c r="H209" s="1">
        <v>13</v>
      </c>
      <c r="I209" s="3">
        <f t="shared" si="42"/>
        <v>274968.85206390696</v>
      </c>
      <c r="J209" s="8"/>
      <c r="K209" s="48"/>
      <c r="L209" s="15"/>
      <c r="M209" s="62">
        <f t="shared" si="38"/>
        <v>1579799.390063907</v>
      </c>
      <c r="N209" s="8"/>
      <c r="O209" s="8"/>
      <c r="P209" s="8"/>
      <c r="Q209" s="8"/>
      <c r="R209" s="8"/>
    </row>
    <row r="210" spans="1:18" x14ac:dyDescent="0.3">
      <c r="B210" s="1" t="s">
        <v>23</v>
      </c>
      <c r="C210" s="1">
        <v>1100</v>
      </c>
      <c r="D210" s="1">
        <v>33.47</v>
      </c>
      <c r="E210" s="1">
        <f t="shared" si="41"/>
        <v>36817</v>
      </c>
      <c r="F210" s="3">
        <f t="shared" si="40"/>
        <v>373029.84399999998</v>
      </c>
      <c r="G210" s="3">
        <v>51636.41</v>
      </c>
      <c r="H210" s="1">
        <v>13</v>
      </c>
      <c r="I210" s="3">
        <f t="shared" si="42"/>
        <v>89490.542236726469</v>
      </c>
      <c r="J210" s="8"/>
      <c r="K210" s="48"/>
      <c r="L210" s="15"/>
      <c r="M210" s="62">
        <f t="shared" si="38"/>
        <v>514156.79623672646</v>
      </c>
      <c r="N210" s="8"/>
      <c r="O210" s="8"/>
      <c r="P210" s="8"/>
      <c r="Q210" s="8"/>
      <c r="R210" s="8"/>
    </row>
    <row r="211" spans="1:18" x14ac:dyDescent="0.3">
      <c r="B211" s="1" t="s">
        <v>25</v>
      </c>
      <c r="C211" s="1">
        <v>500</v>
      </c>
      <c r="D211" s="1">
        <v>30.26</v>
      </c>
      <c r="E211" s="1">
        <f t="shared" si="41"/>
        <v>15130</v>
      </c>
      <c r="F211" s="3">
        <f t="shared" si="40"/>
        <v>153297.16</v>
      </c>
      <c r="G211" s="3">
        <v>21220.06</v>
      </c>
      <c r="H211" s="1">
        <v>13</v>
      </c>
      <c r="I211" s="3">
        <f t="shared" si="42"/>
        <v>36776.269600753556</v>
      </c>
      <c r="J211" s="8"/>
      <c r="K211" s="48"/>
      <c r="L211" s="15"/>
      <c r="M211" s="62">
        <f t="shared" si="38"/>
        <v>211293.48960075356</v>
      </c>
      <c r="N211" s="8"/>
      <c r="O211" s="8"/>
      <c r="P211" s="8"/>
      <c r="Q211" s="8"/>
      <c r="R211" s="8"/>
    </row>
    <row r="212" spans="1:18" x14ac:dyDescent="0.3">
      <c r="B212" s="1" t="s">
        <v>38</v>
      </c>
      <c r="C212" s="1">
        <v>355</v>
      </c>
      <c r="D212" s="1">
        <v>57.23</v>
      </c>
      <c r="E212" s="1">
        <f t="shared" si="41"/>
        <v>20316.649999999998</v>
      </c>
      <c r="F212" s="3">
        <f t="shared" si="40"/>
        <v>205848.29779999997</v>
      </c>
      <c r="G212" s="3">
        <v>28494.42</v>
      </c>
      <c r="H212" s="1">
        <v>13</v>
      </c>
      <c r="I212" s="3">
        <f t="shared" si="42"/>
        <v>49383.384452182479</v>
      </c>
      <c r="J212" s="8"/>
      <c r="K212" s="48"/>
      <c r="L212" s="15"/>
      <c r="M212" s="62">
        <f t="shared" si="38"/>
        <v>283726.10225218243</v>
      </c>
      <c r="N212" s="8"/>
      <c r="O212" s="8"/>
      <c r="P212" s="8"/>
      <c r="Q212" s="8"/>
      <c r="R212" s="8"/>
    </row>
    <row r="213" spans="1:18" x14ac:dyDescent="0.3">
      <c r="B213" s="1" t="s">
        <v>39</v>
      </c>
      <c r="C213" s="1">
        <v>320</v>
      </c>
      <c r="D213" s="1">
        <v>57.23</v>
      </c>
      <c r="E213" s="1">
        <f t="shared" si="41"/>
        <v>18313.599999999999</v>
      </c>
      <c r="F213" s="3">
        <f t="shared" si="40"/>
        <v>185553.39519999997</v>
      </c>
      <c r="G213" s="3">
        <v>25685.11</v>
      </c>
      <c r="H213" s="1">
        <v>13</v>
      </c>
      <c r="I213" s="3">
        <f t="shared" si="42"/>
        <v>44514.599861809511</v>
      </c>
      <c r="J213" s="8"/>
      <c r="K213" s="48"/>
      <c r="L213" s="15"/>
      <c r="M213" s="62">
        <f t="shared" si="38"/>
        <v>255753.10506180947</v>
      </c>
      <c r="N213" s="8"/>
      <c r="O213" s="8"/>
      <c r="P213" s="8"/>
      <c r="Q213" s="8"/>
      <c r="R213" s="8"/>
    </row>
    <row r="214" spans="1:18" x14ac:dyDescent="0.3">
      <c r="B214" s="1" t="s">
        <v>6</v>
      </c>
      <c r="C214" s="1">
        <v>100</v>
      </c>
      <c r="D214" s="1">
        <v>64.510000000000005</v>
      </c>
      <c r="E214" s="1">
        <f t="shared" si="41"/>
        <v>6451.0000000000009</v>
      </c>
      <c r="F214" s="3">
        <f t="shared" si="40"/>
        <v>65361.532000000007</v>
      </c>
      <c r="G214" s="3">
        <v>9047.6299999999992</v>
      </c>
      <c r="H214" s="1">
        <v>13</v>
      </c>
      <c r="I214" s="3">
        <f t="shared" si="42"/>
        <v>15680.351786936251</v>
      </c>
      <c r="J214" s="8"/>
      <c r="K214" s="48"/>
      <c r="L214" s="15"/>
      <c r="M214" s="62">
        <f t="shared" si="38"/>
        <v>90089.513786936266</v>
      </c>
      <c r="N214" s="8"/>
      <c r="O214" s="8"/>
      <c r="P214" s="8"/>
      <c r="Q214" s="8"/>
      <c r="R214" s="8"/>
    </row>
    <row r="215" spans="1:18" x14ac:dyDescent="0.3">
      <c r="B215" s="1" t="s">
        <v>50</v>
      </c>
      <c r="C215" s="1">
        <v>200</v>
      </c>
      <c r="D215" s="1">
        <v>85.36</v>
      </c>
      <c r="E215" s="1">
        <f t="shared" si="41"/>
        <v>17072</v>
      </c>
      <c r="F215" s="3">
        <f t="shared" si="40"/>
        <v>172973.50399999999</v>
      </c>
      <c r="G215" s="3">
        <v>23943.74</v>
      </c>
      <c r="H215" s="1">
        <v>13</v>
      </c>
      <c r="I215" s="3">
        <f t="shared" si="42"/>
        <v>41496.659495156811</v>
      </c>
      <c r="J215" s="8"/>
      <c r="K215" s="48"/>
      <c r="L215" s="15"/>
      <c r="M215" s="62">
        <f t="shared" si="38"/>
        <v>238413.90349515679</v>
      </c>
      <c r="N215" s="8"/>
      <c r="O215" s="8"/>
      <c r="P215" s="8"/>
      <c r="Q215" s="8"/>
      <c r="R215" s="8"/>
    </row>
    <row r="216" spans="1:18" x14ac:dyDescent="0.3">
      <c r="B216" s="1" t="s">
        <v>51</v>
      </c>
      <c r="C216" s="1">
        <v>200</v>
      </c>
      <c r="D216" s="1">
        <v>114.46</v>
      </c>
      <c r="E216" s="1">
        <f t="shared" si="41"/>
        <v>22892</v>
      </c>
      <c r="F216" s="3">
        <f t="shared" si="40"/>
        <v>231941.74400000001</v>
      </c>
      <c r="G216" s="3">
        <v>32106.38</v>
      </c>
      <c r="H216" s="1">
        <v>13</v>
      </c>
      <c r="I216" s="3">
        <f t="shared" si="42"/>
        <v>55643.248246775911</v>
      </c>
      <c r="J216" s="8"/>
      <c r="K216" s="48"/>
      <c r="L216" s="15"/>
      <c r="M216" s="62">
        <f t="shared" si="38"/>
        <v>319691.37224677589</v>
      </c>
      <c r="N216" s="8"/>
      <c r="O216" s="8"/>
      <c r="P216" s="8"/>
      <c r="Q216" s="8"/>
      <c r="R216" s="8"/>
    </row>
    <row r="217" spans="1:18" x14ac:dyDescent="0.3">
      <c r="B217" s="1" t="s">
        <v>7</v>
      </c>
      <c r="C217" s="1">
        <v>225</v>
      </c>
      <c r="D217" s="1">
        <v>235.71</v>
      </c>
      <c r="E217" s="1">
        <f t="shared" si="41"/>
        <v>53034.75</v>
      </c>
      <c r="F217" s="3">
        <f t="shared" si="40"/>
        <v>537348.08699999994</v>
      </c>
      <c r="G217" s="3">
        <v>74382.070000000007</v>
      </c>
      <c r="H217" s="1">
        <v>13</v>
      </c>
      <c r="I217" s="3">
        <f t="shared" si="42"/>
        <v>128910.79273863805</v>
      </c>
      <c r="J217" s="8"/>
      <c r="K217" s="48"/>
      <c r="L217" s="15"/>
      <c r="M217" s="62">
        <f t="shared" si="38"/>
        <v>740640.94973863789</v>
      </c>
      <c r="N217" s="8"/>
      <c r="O217" s="8"/>
      <c r="P217" s="8"/>
      <c r="Q217" s="8"/>
      <c r="R217" s="8"/>
    </row>
    <row r="218" spans="1:18" x14ac:dyDescent="0.3">
      <c r="E218" s="5">
        <f>SUM(E205:E217)</f>
        <v>553548.5</v>
      </c>
      <c r="F218" s="5">
        <f t="shared" ref="F218:G218" si="43">SUM(F205:F217)</f>
        <v>5608553.4019999998</v>
      </c>
      <c r="G218" s="5">
        <f t="shared" si="43"/>
        <v>450883.4</v>
      </c>
      <c r="H218" s="5"/>
      <c r="I218" s="5">
        <f t="shared" ref="I218" si="44">SUM(I205:I217)</f>
        <v>1276913.9999999998</v>
      </c>
      <c r="J218" s="8"/>
      <c r="K218" s="8"/>
      <c r="L218" s="8"/>
      <c r="M218" s="62">
        <f t="shared" si="38"/>
        <v>7336350.8020000001</v>
      </c>
      <c r="N218" s="8"/>
      <c r="O218" s="8"/>
      <c r="P218" s="8"/>
      <c r="Q218" s="8"/>
      <c r="R218" s="8"/>
    </row>
    <row r="219" spans="1:18" s="33" customFormat="1" x14ac:dyDescent="0.3">
      <c r="A219" s="35"/>
      <c r="B219" s="31"/>
      <c r="C219" s="31"/>
      <c r="D219" s="31"/>
      <c r="E219" s="32"/>
      <c r="F219" s="32"/>
      <c r="G219" s="32"/>
      <c r="H219" s="31"/>
      <c r="I219" s="31"/>
      <c r="K219" s="34"/>
      <c r="L219" s="34"/>
      <c r="M219" s="62">
        <f t="shared" si="38"/>
        <v>0</v>
      </c>
    </row>
    <row r="220" spans="1:18" x14ac:dyDescent="0.3">
      <c r="A220" s="26" t="s">
        <v>59</v>
      </c>
      <c r="C220" s="16" t="s">
        <v>12</v>
      </c>
      <c r="D220" s="2" t="s">
        <v>4</v>
      </c>
      <c r="G220" s="51">
        <f>102826.99+34904.45+101805.18</f>
        <v>239536.62</v>
      </c>
      <c r="I220" s="5">
        <f>178760.77+60680.05+344544.35+333607.74</f>
        <v>917592.90999999992</v>
      </c>
      <c r="J220" s="8"/>
      <c r="K220" s="8"/>
      <c r="L220" s="8"/>
      <c r="M220" s="62">
        <f t="shared" si="38"/>
        <v>1157129.5299999998</v>
      </c>
    </row>
    <row r="221" spans="1:18" x14ac:dyDescent="0.3">
      <c r="A221" s="27" t="s">
        <v>60</v>
      </c>
      <c r="C221" s="12">
        <v>89.623599999999996</v>
      </c>
      <c r="D221" s="13">
        <v>15500</v>
      </c>
      <c r="E221" s="1" t="s">
        <v>75</v>
      </c>
      <c r="F221" t="s">
        <v>11</v>
      </c>
      <c r="G221" s="1" t="s">
        <v>3</v>
      </c>
      <c r="H221" s="1" t="s">
        <v>13</v>
      </c>
      <c r="I221" s="1" t="s">
        <v>2</v>
      </c>
      <c r="J221" s="15"/>
      <c r="K221" s="46"/>
      <c r="L221" s="47"/>
      <c r="M221" s="62" t="e">
        <f t="shared" si="38"/>
        <v>#VALUE!</v>
      </c>
    </row>
    <row r="222" spans="1:18" x14ac:dyDescent="0.3">
      <c r="A222" s="29">
        <v>44907</v>
      </c>
      <c r="B222" s="1" t="s">
        <v>34</v>
      </c>
      <c r="C222" s="1">
        <v>5000</v>
      </c>
      <c r="D222" s="1">
        <v>3.98</v>
      </c>
      <c r="E222" s="3">
        <f>C222*D222</f>
        <v>19900</v>
      </c>
      <c r="F222" s="6">
        <f t="shared" ref="F222:F236" si="45">E222*$C$221/10</f>
        <v>178350.96399999998</v>
      </c>
      <c r="G222" s="1"/>
      <c r="H222" s="1">
        <v>0</v>
      </c>
      <c r="I222" s="3">
        <f t="shared" ref="I222:I223" si="46">$I$220*((F222+G222)/($F$237+$G$237))</f>
        <v>38382.209531950124</v>
      </c>
      <c r="J222" s="22" t="s">
        <v>54</v>
      </c>
      <c r="K222" s="22" t="s">
        <v>76</v>
      </c>
      <c r="L222" s="8"/>
      <c r="M222" s="62">
        <f t="shared" si="38"/>
        <v>216733.1735319501</v>
      </c>
    </row>
    <row r="223" spans="1:18" x14ac:dyDescent="0.3">
      <c r="A223" s="26" t="s">
        <v>55</v>
      </c>
      <c r="B223" s="1" t="s">
        <v>56</v>
      </c>
      <c r="C223" s="1">
        <v>500</v>
      </c>
      <c r="D223" s="1">
        <v>6.93</v>
      </c>
      <c r="E223" s="3">
        <f t="shared" ref="E223:E236" si="47">C223*D223</f>
        <v>3465</v>
      </c>
      <c r="F223" s="6">
        <f t="shared" si="45"/>
        <v>31054.577399999998</v>
      </c>
      <c r="G223" s="1"/>
      <c r="H223" s="1">
        <v>0</v>
      </c>
      <c r="I223" s="3">
        <f t="shared" si="46"/>
        <v>6683.1334687541284</v>
      </c>
      <c r="J223" s="24">
        <f>I220-I237</f>
        <v>0</v>
      </c>
      <c r="K223" s="24">
        <f>G220-G237</f>
        <v>0</v>
      </c>
      <c r="L223" s="8"/>
      <c r="M223" s="62">
        <f t="shared" si="38"/>
        <v>37737.710868754126</v>
      </c>
    </row>
    <row r="224" spans="1:18" x14ac:dyDescent="0.3">
      <c r="A224" s="27" t="s">
        <v>64</v>
      </c>
      <c r="B224" s="1" t="s">
        <v>89</v>
      </c>
      <c r="C224" s="1">
        <v>500</v>
      </c>
      <c r="D224" s="1">
        <v>12.7</v>
      </c>
      <c r="E224" s="3">
        <f t="shared" si="47"/>
        <v>6350</v>
      </c>
      <c r="F224" s="6">
        <f t="shared" si="45"/>
        <v>56910.985999999997</v>
      </c>
      <c r="G224" s="1"/>
      <c r="H224" s="1">
        <v>0</v>
      </c>
      <c r="I224" s="3">
        <f t="shared" ref="I224:I236" si="48">$I$220*((F224+G224)/($F$237+$G$237))</f>
        <v>12247.589473762979</v>
      </c>
      <c r="M224" s="62">
        <f t="shared" si="38"/>
        <v>69158.575473762976</v>
      </c>
    </row>
    <row r="225" spans="1:18" x14ac:dyDescent="0.3">
      <c r="B225" s="1" t="s">
        <v>17</v>
      </c>
      <c r="C225" s="1">
        <v>500</v>
      </c>
      <c r="D225" s="1">
        <v>3.78</v>
      </c>
      <c r="E225" s="3">
        <f t="shared" si="47"/>
        <v>1890</v>
      </c>
      <c r="F225" s="6">
        <f t="shared" si="45"/>
        <v>16938.860399999998</v>
      </c>
      <c r="G225" s="1"/>
      <c r="H225" s="1">
        <v>0</v>
      </c>
      <c r="I225" s="3">
        <f t="shared" si="48"/>
        <v>3645.3455284113434</v>
      </c>
      <c r="J225" s="8"/>
      <c r="K225" s="8"/>
      <c r="L225" s="8"/>
      <c r="M225" s="62">
        <f t="shared" si="38"/>
        <v>20584.205928411342</v>
      </c>
    </row>
    <row r="226" spans="1:18" x14ac:dyDescent="0.3">
      <c r="B226" s="1" t="s">
        <v>18</v>
      </c>
      <c r="C226" s="1">
        <v>500</v>
      </c>
      <c r="D226" s="1">
        <v>12.13</v>
      </c>
      <c r="E226" s="3">
        <f t="shared" si="47"/>
        <v>6065</v>
      </c>
      <c r="F226" s="6">
        <f t="shared" si="45"/>
        <v>54356.713399999993</v>
      </c>
      <c r="G226" s="1"/>
      <c r="H226" s="1">
        <v>0</v>
      </c>
      <c r="I226" s="3">
        <f t="shared" si="48"/>
        <v>11697.89451312952</v>
      </c>
      <c r="J226" s="8"/>
      <c r="K226" s="8"/>
      <c r="L226" s="8"/>
      <c r="M226" s="62">
        <f t="shared" si="38"/>
        <v>66054.607913129512</v>
      </c>
    </row>
    <row r="227" spans="1:18" x14ac:dyDescent="0.3">
      <c r="B227" s="1" t="s">
        <v>57</v>
      </c>
      <c r="C227" s="1">
        <v>500</v>
      </c>
      <c r="D227" s="1">
        <v>16.3</v>
      </c>
      <c r="E227" s="3">
        <f t="shared" si="47"/>
        <v>8150</v>
      </c>
      <c r="F227" s="6">
        <f t="shared" si="45"/>
        <v>73043.233999999997</v>
      </c>
      <c r="G227" s="1"/>
      <c r="H227" s="1">
        <v>0</v>
      </c>
      <c r="I227" s="3">
        <f t="shared" si="48"/>
        <v>15719.34711986902</v>
      </c>
      <c r="J227" s="8"/>
      <c r="K227" s="8"/>
      <c r="L227" s="8"/>
      <c r="M227" s="62">
        <f t="shared" si="38"/>
        <v>88762.581119869021</v>
      </c>
    </row>
    <row r="228" spans="1:18" x14ac:dyDescent="0.3">
      <c r="B228" s="1" t="s">
        <v>20</v>
      </c>
      <c r="C228" s="1">
        <v>5500</v>
      </c>
      <c r="D228" s="1">
        <v>24.74</v>
      </c>
      <c r="E228" s="3">
        <f t="shared" si="47"/>
        <v>136070</v>
      </c>
      <c r="F228" s="6">
        <f t="shared" si="45"/>
        <v>1219508.3252000001</v>
      </c>
      <c r="G228" s="1"/>
      <c r="H228" s="1">
        <v>0</v>
      </c>
      <c r="I228" s="3">
        <f t="shared" si="48"/>
        <v>262445.59050313837</v>
      </c>
      <c r="J228" s="8"/>
      <c r="K228" s="8"/>
      <c r="L228" s="47"/>
      <c r="M228" s="62">
        <f t="shared" si="38"/>
        <v>1481953.9157031383</v>
      </c>
    </row>
    <row r="229" spans="1:18" x14ac:dyDescent="0.3">
      <c r="B229" s="1" t="s">
        <v>22</v>
      </c>
      <c r="C229" s="1">
        <v>1000</v>
      </c>
      <c r="D229" s="1">
        <v>9.2200000000000006</v>
      </c>
      <c r="E229" s="3">
        <f t="shared" si="47"/>
        <v>9220</v>
      </c>
      <c r="F229" s="4">
        <f t="shared" si="45"/>
        <v>82632.959199999998</v>
      </c>
      <c r="G229" s="11">
        <v>11476.12</v>
      </c>
      <c r="H229" s="52">
        <v>13</v>
      </c>
      <c r="I229" s="3">
        <f t="shared" si="48"/>
        <v>20252.844816209061</v>
      </c>
      <c r="J229" s="8"/>
      <c r="K229" s="48"/>
      <c r="L229" s="15"/>
      <c r="M229" s="62">
        <f t="shared" si="38"/>
        <v>114361.92401620906</v>
      </c>
    </row>
    <row r="230" spans="1:18" x14ac:dyDescent="0.3">
      <c r="B230" s="1" t="s">
        <v>37</v>
      </c>
      <c r="C230" s="1">
        <v>750</v>
      </c>
      <c r="D230" s="1">
        <v>25.71</v>
      </c>
      <c r="E230" s="3">
        <f t="shared" si="47"/>
        <v>19282.5</v>
      </c>
      <c r="F230" s="4">
        <f t="shared" si="45"/>
        <v>172816.70670000001</v>
      </c>
      <c r="G230" s="11">
        <v>24000.89</v>
      </c>
      <c r="H230" s="14">
        <v>13</v>
      </c>
      <c r="I230" s="3">
        <f t="shared" si="48"/>
        <v>42356.340928520323</v>
      </c>
      <c r="J230" s="8"/>
      <c r="K230" s="48"/>
      <c r="L230" s="15"/>
      <c r="M230" s="62">
        <f t="shared" si="38"/>
        <v>239173.9376285203</v>
      </c>
    </row>
    <row r="231" spans="1:18" x14ac:dyDescent="0.3">
      <c r="B231" s="1" t="s">
        <v>24</v>
      </c>
      <c r="C231" s="1">
        <v>1500</v>
      </c>
      <c r="D231" s="1">
        <v>30.56</v>
      </c>
      <c r="E231" s="3">
        <f t="shared" si="47"/>
        <v>45840</v>
      </c>
      <c r="F231" s="4">
        <f t="shared" si="45"/>
        <v>410834.58240000001</v>
      </c>
      <c r="G231" s="11">
        <v>57056.959999999999</v>
      </c>
      <c r="H231" s="14">
        <v>13</v>
      </c>
      <c r="I231" s="3">
        <f t="shared" si="48"/>
        <v>100693.09868504062</v>
      </c>
      <c r="J231" s="8"/>
      <c r="K231" s="48"/>
      <c r="L231" s="15"/>
      <c r="M231" s="62">
        <f t="shared" si="38"/>
        <v>568584.64108504064</v>
      </c>
    </row>
    <row r="232" spans="1:18" x14ac:dyDescent="0.3">
      <c r="B232" s="1" t="s">
        <v>25</v>
      </c>
      <c r="C232" s="1">
        <v>1200</v>
      </c>
      <c r="D232" s="1">
        <v>30.26</v>
      </c>
      <c r="E232" s="3">
        <f t="shared" si="47"/>
        <v>36312</v>
      </c>
      <c r="F232" s="4">
        <f t="shared" si="45"/>
        <v>325441.21632000001</v>
      </c>
      <c r="G232" s="11">
        <v>45197.47</v>
      </c>
      <c r="H232" s="14">
        <v>13</v>
      </c>
      <c r="I232" s="3">
        <f t="shared" si="48"/>
        <v>79763.694010540785</v>
      </c>
      <c r="J232" s="8"/>
      <c r="K232" s="48"/>
      <c r="L232" s="15"/>
      <c r="M232" s="62">
        <f t="shared" si="38"/>
        <v>450402.38033054076</v>
      </c>
    </row>
    <row r="233" spans="1:18" x14ac:dyDescent="0.3">
      <c r="B233" s="1" t="s">
        <v>46</v>
      </c>
      <c r="C233" s="1">
        <v>4200</v>
      </c>
      <c r="D233" s="1">
        <f>E233/C233</f>
        <v>6.9678571428571425</v>
      </c>
      <c r="E233" s="3">
        <v>29265</v>
      </c>
      <c r="F233" s="3">
        <f t="shared" si="45"/>
        <v>262283.46539999999</v>
      </c>
      <c r="G233" s="11">
        <v>19040.61</v>
      </c>
      <c r="H233" s="14">
        <v>6.5</v>
      </c>
      <c r="I233" s="3">
        <f t="shared" si="48"/>
        <v>60542.647856867952</v>
      </c>
      <c r="J233" s="8"/>
      <c r="K233" s="48"/>
      <c r="L233" s="15"/>
      <c r="M233" s="62">
        <f t="shared" si="38"/>
        <v>341866.7232568679</v>
      </c>
    </row>
    <row r="234" spans="1:18" x14ac:dyDescent="0.3">
      <c r="B234" s="1" t="s">
        <v>8</v>
      </c>
      <c r="C234" s="1">
        <v>1200</v>
      </c>
      <c r="D234" s="1">
        <f>E234/C234</f>
        <v>10.886666666666667</v>
      </c>
      <c r="E234" s="3">
        <v>13064</v>
      </c>
      <c r="F234" s="3">
        <f t="shared" si="45"/>
        <v>117084.27103999999</v>
      </c>
      <c r="G234" s="11">
        <v>8499.7900000000009</v>
      </c>
      <c r="H234" s="14">
        <v>6.5</v>
      </c>
      <c r="I234" s="3">
        <f t="shared" si="48"/>
        <v>27026.451871101151</v>
      </c>
      <c r="J234" s="8"/>
      <c r="K234" s="48"/>
      <c r="L234" s="15"/>
      <c r="M234" s="62">
        <f t="shared" si="38"/>
        <v>152610.51291110116</v>
      </c>
    </row>
    <row r="235" spans="1:18" x14ac:dyDescent="0.3">
      <c r="B235" s="1" t="s">
        <v>10</v>
      </c>
      <c r="C235" s="1">
        <v>590.79999999999995</v>
      </c>
      <c r="D235" s="1">
        <f>E235/C235</f>
        <v>35.271428571428572</v>
      </c>
      <c r="E235" s="3">
        <v>20838.36</v>
      </c>
      <c r="F235" s="3">
        <f t="shared" si="45"/>
        <v>186760.88412959999</v>
      </c>
      <c r="G235" s="11">
        <v>13558</v>
      </c>
      <c r="H235" s="14">
        <v>6.5</v>
      </c>
      <c r="I235" s="3">
        <f t="shared" si="48"/>
        <v>43109.839226149314</v>
      </c>
      <c r="J235" s="8"/>
      <c r="K235" s="48"/>
      <c r="L235" s="15"/>
      <c r="M235" s="62">
        <f t="shared" si="38"/>
        <v>243428.7233557493</v>
      </c>
    </row>
    <row r="236" spans="1:18" x14ac:dyDescent="0.3">
      <c r="B236" s="1" t="s">
        <v>58</v>
      </c>
      <c r="C236" s="1">
        <v>500</v>
      </c>
      <c r="D236" s="1">
        <v>186.61</v>
      </c>
      <c r="E236" s="3">
        <f t="shared" si="47"/>
        <v>93305</v>
      </c>
      <c r="F236" s="3">
        <f t="shared" si="45"/>
        <v>836232.99979999999</v>
      </c>
      <c r="G236" s="11">
        <v>60706.78</v>
      </c>
      <c r="H236" s="14">
        <v>6.5</v>
      </c>
      <c r="I236" s="3">
        <f t="shared" si="48"/>
        <v>193026.88246655514</v>
      </c>
      <c r="J236" s="8"/>
      <c r="K236" s="48"/>
      <c r="L236" s="15"/>
      <c r="M236" s="62">
        <f t="shared" si="38"/>
        <v>1089966.6622665552</v>
      </c>
    </row>
    <row r="237" spans="1:18" x14ac:dyDescent="0.3">
      <c r="E237" s="5">
        <f>SUM(E222:E236)</f>
        <v>449016.86</v>
      </c>
      <c r="F237" s="5">
        <f>SUM(F222:F236)</f>
        <v>4024250.7453896003</v>
      </c>
      <c r="G237" s="5">
        <f t="shared" ref="G237:I237" si="49">SUM(G222:G236)</f>
        <v>239536.62</v>
      </c>
      <c r="H237" s="5"/>
      <c r="I237" s="5">
        <f t="shared" si="49"/>
        <v>917592.90999999968</v>
      </c>
      <c r="J237" s="8"/>
      <c r="K237" s="8"/>
      <c r="L237" s="8"/>
      <c r="M237" s="62">
        <f t="shared" si="38"/>
        <v>5181380.2753896005</v>
      </c>
    </row>
    <row r="238" spans="1:18" s="33" customFormat="1" x14ac:dyDescent="0.3">
      <c r="A238" s="35"/>
      <c r="B238" s="31"/>
      <c r="C238" s="31"/>
      <c r="D238" s="31"/>
      <c r="E238" s="32"/>
      <c r="F238" s="32"/>
      <c r="G238" s="32"/>
      <c r="H238" s="31"/>
      <c r="I238" s="31"/>
      <c r="K238" s="34"/>
      <c r="L238" s="34"/>
      <c r="M238" s="62">
        <f t="shared" si="38"/>
        <v>0</v>
      </c>
    </row>
    <row r="239" spans="1:18" x14ac:dyDescent="0.3">
      <c r="A239" s="26" t="s">
        <v>61</v>
      </c>
      <c r="B239" s="1"/>
      <c r="C239" s="2" t="s">
        <v>12</v>
      </c>
      <c r="D239" s="2" t="s">
        <v>4</v>
      </c>
      <c r="E239" s="1"/>
      <c r="F239" s="1"/>
      <c r="G239" s="1"/>
      <c r="H239" s="1"/>
      <c r="I239" s="1"/>
      <c r="J239" s="7"/>
      <c r="K239" s="7"/>
      <c r="L239" s="7"/>
      <c r="M239" s="62">
        <f t="shared" si="38"/>
        <v>0</v>
      </c>
      <c r="N239" s="7"/>
      <c r="O239" s="7"/>
      <c r="P239" s="7"/>
      <c r="Q239" s="7"/>
      <c r="R239" s="7"/>
    </row>
    <row r="240" spans="1:18" x14ac:dyDescent="0.3">
      <c r="A240" s="27" t="s">
        <v>60</v>
      </c>
      <c r="B240" s="1"/>
      <c r="C240" s="2">
        <v>10.2867</v>
      </c>
      <c r="D240" s="5">
        <v>20000</v>
      </c>
      <c r="E240" s="1" t="s">
        <v>75</v>
      </c>
      <c r="F240" s="1" t="s">
        <v>11</v>
      </c>
      <c r="G240" s="1" t="s">
        <v>3</v>
      </c>
      <c r="H240" s="1" t="s">
        <v>13</v>
      </c>
      <c r="I240" s="1" t="s">
        <v>2</v>
      </c>
      <c r="J240" s="21"/>
      <c r="K240" s="7"/>
      <c r="L240" s="7"/>
      <c r="M240" s="62" t="e">
        <f t="shared" si="38"/>
        <v>#VALUE!</v>
      </c>
      <c r="N240" s="7"/>
      <c r="O240" s="7"/>
      <c r="P240" s="7"/>
      <c r="Q240" s="7"/>
      <c r="R240" s="7"/>
    </row>
    <row r="241" spans="1:18" x14ac:dyDescent="0.3">
      <c r="A241" s="29">
        <v>44936</v>
      </c>
      <c r="B241" s="1" t="s">
        <v>1</v>
      </c>
      <c r="C241" s="1">
        <v>24560</v>
      </c>
      <c r="D241" s="1">
        <v>21</v>
      </c>
      <c r="E241" s="3">
        <f>D241*C241</f>
        <v>515760</v>
      </c>
      <c r="F241" s="3">
        <f>E241*C240</f>
        <v>5305468.392</v>
      </c>
      <c r="G241" s="1"/>
      <c r="H241" s="3">
        <v>0</v>
      </c>
      <c r="I241" s="1">
        <v>1105859.32</v>
      </c>
      <c r="J241" s="7"/>
      <c r="K241" s="21"/>
      <c r="L241" s="21"/>
      <c r="M241" s="62">
        <f t="shared" si="38"/>
        <v>6411327.7120000003</v>
      </c>
      <c r="N241" s="7"/>
      <c r="O241" s="7"/>
      <c r="P241" s="7"/>
      <c r="Q241" s="7"/>
      <c r="R241" s="7"/>
    </row>
    <row r="242" spans="1:18" x14ac:dyDescent="0.3">
      <c r="A242" s="26" t="s">
        <v>62</v>
      </c>
      <c r="B242" s="1"/>
      <c r="C242" s="1"/>
      <c r="D242" s="1"/>
      <c r="E242" s="1"/>
      <c r="F242" s="1"/>
      <c r="G242" s="1"/>
      <c r="H242" s="1"/>
      <c r="I242" s="1"/>
      <c r="J242" s="7"/>
      <c r="K242" s="7"/>
      <c r="L242" s="7"/>
      <c r="M242" s="62">
        <f t="shared" si="38"/>
        <v>0</v>
      </c>
      <c r="N242" s="7"/>
      <c r="O242" s="7"/>
      <c r="P242" s="7"/>
      <c r="Q242" s="7"/>
      <c r="R242" s="7"/>
    </row>
    <row r="243" spans="1:18" x14ac:dyDescent="0.3">
      <c r="A243" s="27" t="s">
        <v>63</v>
      </c>
      <c r="B243" s="1"/>
      <c r="C243" s="1"/>
      <c r="D243" s="1"/>
      <c r="E243" s="1"/>
      <c r="F243" s="1"/>
      <c r="G243" s="1"/>
      <c r="H243" s="1"/>
      <c r="I243" s="1"/>
      <c r="J243" s="7"/>
      <c r="K243" s="7"/>
      <c r="L243" s="7"/>
      <c r="M243" s="62">
        <f t="shared" si="38"/>
        <v>0</v>
      </c>
      <c r="N243" s="7"/>
      <c r="O243" s="7"/>
      <c r="P243" s="7"/>
      <c r="Q243" s="7"/>
      <c r="R243" s="7"/>
    </row>
    <row r="244" spans="1:18" s="33" customFormat="1" x14ac:dyDescent="0.3">
      <c r="A244" s="35"/>
      <c r="B244" s="31"/>
      <c r="C244" s="31"/>
      <c r="D244" s="31"/>
      <c r="E244" s="32"/>
      <c r="F244" s="32"/>
      <c r="G244" s="32"/>
      <c r="H244" s="31"/>
      <c r="I244" s="31"/>
      <c r="K244" s="34"/>
      <c r="L244" s="34"/>
      <c r="M244" s="62">
        <f t="shared" si="38"/>
        <v>0</v>
      </c>
    </row>
    <row r="245" spans="1:18" x14ac:dyDescent="0.3">
      <c r="A245" s="53" t="s">
        <v>65</v>
      </c>
      <c r="B245" s="1"/>
      <c r="C245" s="2" t="s">
        <v>12</v>
      </c>
      <c r="D245" s="2" t="s">
        <v>4</v>
      </c>
      <c r="E245" s="1"/>
      <c r="F245" s="1"/>
      <c r="G245" s="5">
        <v>228510.13</v>
      </c>
      <c r="H245" s="1"/>
      <c r="I245" s="5">
        <v>748810.11</v>
      </c>
      <c r="M245" s="62">
        <f t="shared" si="38"/>
        <v>977320.24</v>
      </c>
    </row>
    <row r="246" spans="1:18" x14ac:dyDescent="0.3">
      <c r="A246" s="54" t="s">
        <v>60</v>
      </c>
      <c r="B246" s="1"/>
      <c r="C246" s="2">
        <v>89.743099999999998</v>
      </c>
      <c r="D246" s="5">
        <v>12000</v>
      </c>
      <c r="E246" s="1" t="s">
        <v>75</v>
      </c>
      <c r="F246" s="1" t="s">
        <v>11</v>
      </c>
      <c r="G246" s="1" t="s">
        <v>3</v>
      </c>
      <c r="H246" s="1" t="s">
        <v>13</v>
      </c>
      <c r="I246" s="1" t="s">
        <v>2</v>
      </c>
      <c r="J246" s="22" t="s">
        <v>54</v>
      </c>
      <c r="K246" s="22" t="s">
        <v>76</v>
      </c>
      <c r="M246" s="62" t="e">
        <f t="shared" si="38"/>
        <v>#VALUE!</v>
      </c>
    </row>
    <row r="247" spans="1:18" x14ac:dyDescent="0.3">
      <c r="A247" s="55">
        <v>44904</v>
      </c>
      <c r="B247" s="1" t="s">
        <v>42</v>
      </c>
      <c r="C247" s="3">
        <v>358</v>
      </c>
      <c r="D247" s="3">
        <v>177.54</v>
      </c>
      <c r="E247" s="3">
        <f>D247*C247</f>
        <v>63559.32</v>
      </c>
      <c r="F247" s="3">
        <f>E247*$C$246/10</f>
        <v>570401.04106920003</v>
      </c>
      <c r="G247" s="3">
        <v>40829.20893079997</v>
      </c>
      <c r="H247" s="1">
        <v>6.5</v>
      </c>
      <c r="I247" s="3">
        <f>$I$245*((F247+G247)/($F$256+$G$256))</f>
        <v>133794.16637932762</v>
      </c>
      <c r="J247" s="24">
        <f>I245-I256</f>
        <v>0</v>
      </c>
      <c r="K247" s="24">
        <f>G245-G256</f>
        <v>-2.1481001167558134E-3</v>
      </c>
      <c r="M247" s="62">
        <f t="shared" si="38"/>
        <v>745024.41637932765</v>
      </c>
    </row>
    <row r="248" spans="1:18" x14ac:dyDescent="0.3">
      <c r="A248" s="53" t="s">
        <v>48</v>
      </c>
      <c r="B248" s="1" t="s">
        <v>43</v>
      </c>
      <c r="C248" s="3">
        <v>5</v>
      </c>
      <c r="D248" s="3">
        <v>213.69</v>
      </c>
      <c r="E248" s="3">
        <f t="shared" ref="E248:E250" si="50">D248*C248</f>
        <v>1068.45</v>
      </c>
      <c r="F248" s="3">
        <f t="shared" ref="F248:F255" si="51">E248*$C$246/10</f>
        <v>9588.6015195</v>
      </c>
      <c r="G248" s="3">
        <v>686.34848050000073</v>
      </c>
      <c r="H248" s="1">
        <v>6.5</v>
      </c>
      <c r="I248" s="3">
        <f t="shared" ref="I248:I255" si="52">$I$245*((F248+G248)/($F$256+$G$256))</f>
        <v>2249.1170386924932</v>
      </c>
      <c r="M248" s="62">
        <f t="shared" si="38"/>
        <v>12524.067038692494</v>
      </c>
    </row>
    <row r="249" spans="1:18" x14ac:dyDescent="0.3">
      <c r="A249" s="54" t="s">
        <v>47</v>
      </c>
      <c r="B249" s="1" t="s">
        <v>44</v>
      </c>
      <c r="C249" s="3">
        <v>31</v>
      </c>
      <c r="D249" s="3">
        <v>533.86</v>
      </c>
      <c r="E249" s="3">
        <f t="shared" si="50"/>
        <v>16549.66</v>
      </c>
      <c r="F249" s="3">
        <f t="shared" si="51"/>
        <v>148521.77923459999</v>
      </c>
      <c r="G249" s="3">
        <v>10631.160765400011</v>
      </c>
      <c r="H249" s="1">
        <v>6.5</v>
      </c>
      <c r="I249" s="3">
        <f t="shared" si="52"/>
        <v>34837.501799230566</v>
      </c>
      <c r="M249" s="62">
        <f t="shared" si="38"/>
        <v>193990.44179923058</v>
      </c>
    </row>
    <row r="250" spans="1:18" x14ac:dyDescent="0.3">
      <c r="B250" s="1" t="s">
        <v>45</v>
      </c>
      <c r="C250" s="3">
        <v>29</v>
      </c>
      <c r="D250" s="3">
        <v>567.72</v>
      </c>
      <c r="E250" s="3">
        <f t="shared" si="50"/>
        <v>16463.88</v>
      </c>
      <c r="F250" s="3">
        <f t="shared" si="51"/>
        <v>147751.96292280001</v>
      </c>
      <c r="G250" s="3">
        <v>10576.057077199977</v>
      </c>
      <c r="H250" s="1">
        <v>6.5</v>
      </c>
      <c r="I250" s="3">
        <f t="shared" si="52"/>
        <v>34656.932392317802</v>
      </c>
      <c r="M250" s="62">
        <f t="shared" si="38"/>
        <v>192984.95239231779</v>
      </c>
    </row>
    <row r="251" spans="1:18" x14ac:dyDescent="0.3">
      <c r="B251" s="1" t="s">
        <v>46</v>
      </c>
      <c r="C251" s="3">
        <v>2335.1999999999998</v>
      </c>
      <c r="D251" s="3">
        <f>ROUND(E251/C251,2)</f>
        <v>7.37</v>
      </c>
      <c r="E251" s="3">
        <v>17213.759999999998</v>
      </c>
      <c r="F251" s="3">
        <f t="shared" si="51"/>
        <v>154481.61850559997</v>
      </c>
      <c r="G251" s="3">
        <v>11057.771494400047</v>
      </c>
      <c r="H251" s="1">
        <v>6.5</v>
      </c>
      <c r="I251" s="3">
        <f t="shared" si="52"/>
        <v>36235.452495998696</v>
      </c>
      <c r="M251" s="62">
        <f t="shared" si="38"/>
        <v>201774.84249599872</v>
      </c>
    </row>
    <row r="252" spans="1:18" x14ac:dyDescent="0.3">
      <c r="B252" s="1" t="s">
        <v>8</v>
      </c>
      <c r="C252" s="3">
        <v>3300</v>
      </c>
      <c r="D252" s="3">
        <f>E252/C252</f>
        <v>11.466666666666667</v>
      </c>
      <c r="E252" s="3">
        <v>37840</v>
      </c>
      <c r="F252" s="3">
        <f t="shared" si="51"/>
        <v>339587.89040000003</v>
      </c>
      <c r="G252" s="3">
        <v>24307.639599999995</v>
      </c>
      <c r="H252" s="1">
        <v>6.5</v>
      </c>
      <c r="I252" s="3">
        <f t="shared" si="52"/>
        <v>79654.269541655711</v>
      </c>
      <c r="M252" s="62">
        <f t="shared" si="38"/>
        <v>443549.79954165575</v>
      </c>
    </row>
    <row r="253" spans="1:18" x14ac:dyDescent="0.3">
      <c r="B253" s="1" t="s">
        <v>9</v>
      </c>
      <c r="C253" s="3">
        <v>4429.6000000000004</v>
      </c>
      <c r="D253" s="3">
        <f t="shared" ref="D253:D255" si="53">E253/C253</f>
        <v>19.410714285714285</v>
      </c>
      <c r="E253" s="3">
        <v>85981.7</v>
      </c>
      <c r="F253" s="3">
        <f t="shared" si="51"/>
        <v>771626.43012699997</v>
      </c>
      <c r="G253" s="3">
        <v>55232.879873000085</v>
      </c>
      <c r="H253" s="1">
        <v>6.5</v>
      </c>
      <c r="I253" s="3">
        <f t="shared" si="52"/>
        <v>180993.90875113927</v>
      </c>
      <c r="M253" s="62">
        <f t="shared" si="38"/>
        <v>1007853.2187511394</v>
      </c>
    </row>
    <row r="254" spans="1:18" x14ac:dyDescent="0.3">
      <c r="B254" s="1" t="s">
        <v>10</v>
      </c>
      <c r="C254" s="3">
        <v>1288</v>
      </c>
      <c r="D254" s="3">
        <f t="shared" si="53"/>
        <v>37.471428571428568</v>
      </c>
      <c r="E254" s="3">
        <v>48263.199999999997</v>
      </c>
      <c r="F254" s="3">
        <f t="shared" si="51"/>
        <v>433128.91839199996</v>
      </c>
      <c r="G254" s="3">
        <v>31003.291608000058</v>
      </c>
      <c r="H254" s="1">
        <v>6.5</v>
      </c>
      <c r="I254" s="3">
        <f t="shared" si="52"/>
        <v>101595.40063134152</v>
      </c>
      <c r="M254" s="62">
        <f t="shared" si="38"/>
        <v>565727.61063134158</v>
      </c>
    </row>
    <row r="255" spans="1:18" x14ac:dyDescent="0.3">
      <c r="B255" s="1" t="s">
        <v>16</v>
      </c>
      <c r="C255" s="3">
        <v>1136.8</v>
      </c>
      <c r="D255" s="3">
        <f t="shared" si="53"/>
        <v>60.50714285714286</v>
      </c>
      <c r="E255" s="3">
        <v>68784.52</v>
      </c>
      <c r="F255" s="3">
        <f t="shared" si="51"/>
        <v>617293.60568120005</v>
      </c>
      <c r="G255" s="3">
        <v>44185.774318799959</v>
      </c>
      <c r="H255" s="1">
        <v>6.5</v>
      </c>
      <c r="I255" s="3">
        <f t="shared" si="52"/>
        <v>144793.36097029634</v>
      </c>
      <c r="M255" s="62">
        <f t="shared" si="38"/>
        <v>806272.74097029632</v>
      </c>
    </row>
    <row r="256" spans="1:18" x14ac:dyDescent="0.3">
      <c r="B256" s="1"/>
      <c r="C256" s="1"/>
      <c r="D256" s="1"/>
      <c r="E256" s="5">
        <f>SUM(E247:E255)</f>
        <v>355724.49000000005</v>
      </c>
      <c r="F256" s="5">
        <f t="shared" ref="F256:G256" si="54">SUM(F247:F255)</f>
        <v>3192381.8478518999</v>
      </c>
      <c r="G256" s="5">
        <f t="shared" si="54"/>
        <v>228510.13214810012</v>
      </c>
      <c r="H256" s="5"/>
      <c r="I256" s="5">
        <f t="shared" ref="I256" si="55">SUM(I247:I255)</f>
        <v>748810.11</v>
      </c>
      <c r="M256" s="62">
        <f t="shared" si="38"/>
        <v>4169702.09</v>
      </c>
    </row>
    <row r="257" spans="1:13" s="33" customFormat="1" x14ac:dyDescent="0.3">
      <c r="A257" s="35"/>
      <c r="B257" s="31"/>
      <c r="C257" s="31"/>
      <c r="D257" s="31"/>
      <c r="E257" s="32"/>
      <c r="F257" s="32"/>
      <c r="G257" s="32"/>
      <c r="H257" s="31"/>
      <c r="I257" s="31"/>
      <c r="K257" s="34"/>
      <c r="L257" s="34"/>
      <c r="M257" s="62">
        <f t="shared" si="38"/>
        <v>0</v>
      </c>
    </row>
    <row r="258" spans="1:13" x14ac:dyDescent="0.3">
      <c r="A258" s="53" t="s">
        <v>119</v>
      </c>
      <c r="B258" s="1"/>
      <c r="C258" s="2" t="s">
        <v>12</v>
      </c>
      <c r="D258" s="2" t="s">
        <v>4</v>
      </c>
      <c r="E258" s="1"/>
      <c r="F258" s="1"/>
      <c r="G258" s="5"/>
      <c r="H258" s="1"/>
      <c r="I258" s="5"/>
      <c r="M258" s="62">
        <f t="shared" si="38"/>
        <v>0</v>
      </c>
    </row>
    <row r="259" spans="1:13" x14ac:dyDescent="0.3">
      <c r="A259" s="54" t="s">
        <v>120</v>
      </c>
      <c r="B259" s="1"/>
      <c r="C259" s="2">
        <v>73.040700000000001</v>
      </c>
      <c r="D259" s="5">
        <v>12000</v>
      </c>
      <c r="E259" s="1" t="s">
        <v>75</v>
      </c>
      <c r="F259" s="1" t="s">
        <v>11</v>
      </c>
      <c r="G259" s="1" t="s">
        <v>3</v>
      </c>
      <c r="H259" s="1" t="s">
        <v>13</v>
      </c>
      <c r="I259" s="1" t="s">
        <v>2</v>
      </c>
      <c r="M259" s="62" t="e">
        <f t="shared" si="38"/>
        <v>#VALUE!</v>
      </c>
    </row>
    <row r="260" spans="1:13" x14ac:dyDescent="0.3">
      <c r="A260" s="55">
        <v>44919</v>
      </c>
      <c r="B260" s="1" t="s">
        <v>123</v>
      </c>
      <c r="C260" s="1">
        <v>5400</v>
      </c>
      <c r="D260" s="1">
        <v>9.35</v>
      </c>
      <c r="E260" s="3">
        <f>D260*C260</f>
        <v>50490</v>
      </c>
      <c r="F260" s="3">
        <f>E260*C259</f>
        <v>3687824.943</v>
      </c>
      <c r="G260" s="1"/>
      <c r="H260" s="1"/>
      <c r="I260" s="3">
        <v>774443.53</v>
      </c>
      <c r="M260" s="62">
        <f t="shared" si="38"/>
        <v>4462268.4730000002</v>
      </c>
    </row>
    <row r="261" spans="1:13" x14ac:dyDescent="0.3">
      <c r="A261" s="53" t="s">
        <v>121</v>
      </c>
      <c r="B261" s="1"/>
      <c r="C261" s="1"/>
      <c r="D261" s="1"/>
      <c r="E261" s="1"/>
      <c r="F261" s="1"/>
      <c r="G261" s="1"/>
      <c r="H261" s="1"/>
      <c r="I261" s="1"/>
      <c r="M261" s="62">
        <f t="shared" si="38"/>
        <v>0</v>
      </c>
    </row>
    <row r="262" spans="1:13" x14ac:dyDescent="0.3">
      <c r="A262" s="54" t="s">
        <v>122</v>
      </c>
      <c r="B262" s="1"/>
      <c r="C262" s="1"/>
      <c r="D262" s="1"/>
      <c r="E262" s="1"/>
      <c r="F262" s="1"/>
      <c r="G262" s="1"/>
      <c r="H262" s="1"/>
      <c r="I262" s="1"/>
      <c r="M262" s="62">
        <f t="shared" si="38"/>
        <v>0</v>
      </c>
    </row>
    <row r="263" spans="1:13" s="33" customFormat="1" x14ac:dyDescent="0.3">
      <c r="A263" s="35"/>
      <c r="B263" s="31"/>
      <c r="C263" s="31"/>
      <c r="D263" s="31"/>
      <c r="E263" s="32"/>
      <c r="F263" s="32"/>
      <c r="G263" s="32"/>
      <c r="H263" s="31"/>
      <c r="I263" s="31"/>
      <c r="K263" s="34"/>
      <c r="L263" s="34"/>
      <c r="M263" s="62">
        <f t="shared" si="38"/>
        <v>0</v>
      </c>
    </row>
    <row r="264" spans="1:13" x14ac:dyDescent="0.3">
      <c r="A264" s="53" t="s">
        <v>61</v>
      </c>
      <c r="B264" s="1"/>
      <c r="C264" s="2" t="s">
        <v>12</v>
      </c>
      <c r="D264" s="2" t="s">
        <v>4</v>
      </c>
      <c r="E264" s="1"/>
      <c r="F264" s="1"/>
      <c r="G264" s="5"/>
      <c r="H264" s="1"/>
      <c r="I264" s="5"/>
      <c r="M264" s="62">
        <f t="shared" ref="M264:M327" si="56">F264+G264+I264</f>
        <v>0</v>
      </c>
    </row>
    <row r="265" spans="1:13" x14ac:dyDescent="0.3">
      <c r="A265" s="54" t="s">
        <v>60</v>
      </c>
      <c r="B265" s="1"/>
      <c r="C265" s="2">
        <v>84.361599999999996</v>
      </c>
      <c r="D265" s="5">
        <v>15500</v>
      </c>
      <c r="E265" s="1" t="s">
        <v>75</v>
      </c>
      <c r="F265" s="1" t="s">
        <v>11</v>
      </c>
      <c r="G265" s="1" t="s">
        <v>3</v>
      </c>
      <c r="H265" s="1" t="s">
        <v>13</v>
      </c>
      <c r="I265" s="1" t="s">
        <v>2</v>
      </c>
      <c r="M265" s="62" t="e">
        <f t="shared" si="56"/>
        <v>#VALUE!</v>
      </c>
    </row>
    <row r="266" spans="1:13" x14ac:dyDescent="0.3">
      <c r="A266" s="55">
        <v>44889</v>
      </c>
      <c r="B266" s="1" t="s">
        <v>1</v>
      </c>
      <c r="C266" s="1">
        <v>20800</v>
      </c>
      <c r="D266" s="1">
        <v>23</v>
      </c>
      <c r="E266" s="3">
        <f>D266*C266</f>
        <v>478400</v>
      </c>
      <c r="F266" s="3">
        <f>E266*C265/10</f>
        <v>4035858.9439999997</v>
      </c>
      <c r="G266" s="1"/>
      <c r="H266" s="1"/>
      <c r="I266" s="3">
        <v>872059.07</v>
      </c>
      <c r="M266" s="62">
        <f t="shared" si="56"/>
        <v>4907918.0139999995</v>
      </c>
    </row>
    <row r="267" spans="1:13" x14ac:dyDescent="0.3">
      <c r="A267" s="53" t="s">
        <v>124</v>
      </c>
      <c r="B267" s="1"/>
      <c r="C267" s="1"/>
      <c r="D267" s="1"/>
      <c r="E267" s="1"/>
      <c r="F267" s="1"/>
      <c r="G267" s="1"/>
      <c r="H267" s="1"/>
      <c r="I267" s="1"/>
      <c r="M267" s="62">
        <f t="shared" si="56"/>
        <v>0</v>
      </c>
    </row>
    <row r="268" spans="1:13" x14ac:dyDescent="0.3">
      <c r="A268" s="54" t="s">
        <v>125</v>
      </c>
      <c r="B268" s="1"/>
      <c r="C268" s="1"/>
      <c r="D268" s="1"/>
      <c r="E268" s="1"/>
      <c r="F268" s="1"/>
      <c r="G268" s="1"/>
      <c r="H268" s="1"/>
      <c r="I268" s="1"/>
      <c r="M268" s="62">
        <f t="shared" si="56"/>
        <v>0</v>
      </c>
    </row>
    <row r="269" spans="1:13" s="33" customFormat="1" x14ac:dyDescent="0.3">
      <c r="A269" s="35"/>
      <c r="B269" s="31"/>
      <c r="C269" s="31"/>
      <c r="D269" s="31"/>
      <c r="E269" s="32"/>
      <c r="F269" s="32"/>
      <c r="G269" s="32"/>
      <c r="H269" s="31"/>
      <c r="I269" s="31"/>
      <c r="K269" s="34"/>
      <c r="L269" s="34"/>
      <c r="M269" s="62">
        <f t="shared" si="56"/>
        <v>0</v>
      </c>
    </row>
    <row r="270" spans="1:13" x14ac:dyDescent="0.3">
      <c r="A270" s="53" t="s">
        <v>126</v>
      </c>
      <c r="C270" s="2" t="s">
        <v>12</v>
      </c>
      <c r="D270" s="2" t="s">
        <v>4</v>
      </c>
      <c r="E270" s="1"/>
      <c r="F270" s="1"/>
      <c r="G270" s="5">
        <v>425600.75</v>
      </c>
      <c r="H270" s="1"/>
      <c r="I270" s="5">
        <f>323573.11+739890.53</f>
        <v>1063463.6400000001</v>
      </c>
      <c r="M270" s="62">
        <f t="shared" si="56"/>
        <v>1489064.3900000001</v>
      </c>
    </row>
    <row r="271" spans="1:13" x14ac:dyDescent="0.3">
      <c r="A271" s="54" t="s">
        <v>60</v>
      </c>
      <c r="C271" s="12">
        <v>84.720100000000002</v>
      </c>
      <c r="D271" s="13">
        <v>15500</v>
      </c>
      <c r="E271" s="56" t="s">
        <v>75</v>
      </c>
      <c r="F271" s="56" t="s">
        <v>11</v>
      </c>
      <c r="G271" s="56" t="s">
        <v>3</v>
      </c>
      <c r="H271" s="56" t="s">
        <v>13</v>
      </c>
      <c r="I271" s="56" t="s">
        <v>2</v>
      </c>
      <c r="M271" s="62" t="e">
        <f t="shared" si="56"/>
        <v>#VALUE!</v>
      </c>
    </row>
    <row r="272" spans="1:13" x14ac:dyDescent="0.3">
      <c r="A272" s="55">
        <v>44884</v>
      </c>
      <c r="B272" s="1" t="s">
        <v>34</v>
      </c>
      <c r="C272" s="1">
        <v>13000</v>
      </c>
      <c r="D272" s="1">
        <v>4.0999999999999996</v>
      </c>
      <c r="E272" s="3">
        <f>D272*C272</f>
        <v>53299.999999999993</v>
      </c>
      <c r="F272" s="3">
        <f>E272*$C$271/10</f>
        <v>451558.13299999991</v>
      </c>
      <c r="G272" s="1"/>
      <c r="H272" s="1">
        <v>0</v>
      </c>
      <c r="I272" s="3">
        <f>$I$270*((F272+G272)/($F$287+$G$287))</f>
        <v>96284.195666215834</v>
      </c>
      <c r="J272" s="22" t="s">
        <v>54</v>
      </c>
      <c r="K272" s="22" t="s">
        <v>76</v>
      </c>
      <c r="M272" s="62">
        <f t="shared" si="56"/>
        <v>547842.32866621576</v>
      </c>
    </row>
    <row r="273" spans="1:13" x14ac:dyDescent="0.3">
      <c r="A273" s="53" t="s">
        <v>127</v>
      </c>
      <c r="B273" s="1" t="s">
        <v>36</v>
      </c>
      <c r="C273" s="1">
        <v>1066</v>
      </c>
      <c r="D273" s="1">
        <v>17</v>
      </c>
      <c r="E273" s="3">
        <f t="shared" ref="E273:E286" si="57">D273*C273</f>
        <v>18122</v>
      </c>
      <c r="F273" s="3">
        <f t="shared" ref="F273:F286" si="58">E273*$C$271/10</f>
        <v>153529.76522</v>
      </c>
      <c r="G273" s="1"/>
      <c r="H273" s="1">
        <v>0</v>
      </c>
      <c r="I273" s="3">
        <f t="shared" ref="I273:I286" si="59">$I$270*((F273+G273)/($F$287+$G$287))</f>
        <v>32736.626526513388</v>
      </c>
      <c r="J273" s="24">
        <f>I270-I287</f>
        <v>0</v>
      </c>
      <c r="K273" s="24">
        <f>G270-G287</f>
        <v>-1.3000000035390258E-3</v>
      </c>
      <c r="M273" s="62">
        <f t="shared" si="56"/>
        <v>186266.3917465134</v>
      </c>
    </row>
    <row r="274" spans="1:13" x14ac:dyDescent="0.3">
      <c r="A274" s="54" t="s">
        <v>128</v>
      </c>
      <c r="B274" s="1" t="s">
        <v>20</v>
      </c>
      <c r="C274" s="1">
        <v>3900</v>
      </c>
      <c r="D274" s="1">
        <v>25.5</v>
      </c>
      <c r="E274" s="3">
        <f t="shared" si="57"/>
        <v>99450</v>
      </c>
      <c r="F274" s="3">
        <f t="shared" si="58"/>
        <v>842541.39450000005</v>
      </c>
      <c r="G274" s="1"/>
      <c r="H274" s="1">
        <v>0</v>
      </c>
      <c r="I274" s="3">
        <f t="shared" si="59"/>
        <v>179652.2187430613</v>
      </c>
      <c r="M274" s="62">
        <f t="shared" si="56"/>
        <v>1022193.6132430614</v>
      </c>
    </row>
    <row r="275" spans="1:13" x14ac:dyDescent="0.3">
      <c r="B275" s="1" t="s">
        <v>35</v>
      </c>
      <c r="C275" s="1">
        <v>443</v>
      </c>
      <c r="D275" s="1">
        <v>25.5</v>
      </c>
      <c r="E275" s="3">
        <f t="shared" si="57"/>
        <v>11296.5</v>
      </c>
      <c r="F275" s="3">
        <f t="shared" si="58"/>
        <v>95704.060964999997</v>
      </c>
      <c r="G275" s="1"/>
      <c r="H275" s="1">
        <v>0</v>
      </c>
      <c r="I275" s="3">
        <f t="shared" si="59"/>
        <v>20406.649462352856</v>
      </c>
      <c r="M275" s="62">
        <f t="shared" si="56"/>
        <v>116110.71042735285</v>
      </c>
    </row>
    <row r="276" spans="1:13" x14ac:dyDescent="0.3">
      <c r="B276" s="1" t="s">
        <v>24</v>
      </c>
      <c r="C276" s="1">
        <v>2000</v>
      </c>
      <c r="D276" s="1">
        <v>31.5</v>
      </c>
      <c r="E276" s="3">
        <f t="shared" si="57"/>
        <v>63000</v>
      </c>
      <c r="F276" s="3">
        <f t="shared" si="58"/>
        <v>533736.63</v>
      </c>
      <c r="G276" s="3">
        <f>75254.31</f>
        <v>75254.31</v>
      </c>
      <c r="H276" s="1">
        <v>13</v>
      </c>
      <c r="I276" s="3">
        <f t="shared" si="59"/>
        <v>129853.05443698588</v>
      </c>
      <c r="M276" s="62">
        <f t="shared" si="56"/>
        <v>738843.99443698581</v>
      </c>
    </row>
    <row r="277" spans="1:13" x14ac:dyDescent="0.3">
      <c r="B277" s="1" t="s">
        <v>129</v>
      </c>
      <c r="C277" s="1">
        <v>1487</v>
      </c>
      <c r="D277" s="1">
        <v>35</v>
      </c>
      <c r="E277" s="3">
        <f t="shared" si="57"/>
        <v>52045</v>
      </c>
      <c r="F277" s="3">
        <f t="shared" si="58"/>
        <v>440925.76045000006</v>
      </c>
      <c r="G277" s="3">
        <v>62168.42</v>
      </c>
      <c r="H277" s="1">
        <v>13</v>
      </c>
      <c r="I277" s="3">
        <f t="shared" si="59"/>
        <v>107273.05073028617</v>
      </c>
      <c r="M277" s="62">
        <f t="shared" si="56"/>
        <v>610367.23118028627</v>
      </c>
    </row>
    <row r="278" spans="1:13" x14ac:dyDescent="0.3">
      <c r="B278" s="1" t="s">
        <v>23</v>
      </c>
      <c r="C278" s="1">
        <v>1100</v>
      </c>
      <c r="D278" s="1">
        <v>34.5</v>
      </c>
      <c r="E278" s="3">
        <f t="shared" si="57"/>
        <v>37950</v>
      </c>
      <c r="F278" s="3">
        <f t="shared" si="58"/>
        <v>321512.7795</v>
      </c>
      <c r="G278" s="3">
        <v>45331.76</v>
      </c>
      <c r="H278" s="1">
        <v>13</v>
      </c>
      <c r="I278" s="3">
        <f t="shared" si="59"/>
        <v>78221.005976877961</v>
      </c>
      <c r="M278" s="62">
        <f t="shared" si="56"/>
        <v>445065.54547687795</v>
      </c>
    </row>
    <row r="279" spans="1:13" x14ac:dyDescent="0.3">
      <c r="B279" s="1" t="s">
        <v>25</v>
      </c>
      <c r="C279" s="1">
        <v>1300</v>
      </c>
      <c r="D279" s="1">
        <v>31.2</v>
      </c>
      <c r="E279" s="3">
        <f t="shared" si="57"/>
        <v>40560</v>
      </c>
      <c r="F279" s="3">
        <f t="shared" si="58"/>
        <v>343624.72560000001</v>
      </c>
      <c r="G279" s="3">
        <v>48449.440000000002</v>
      </c>
      <c r="H279" s="1">
        <v>13</v>
      </c>
      <c r="I279" s="3">
        <f t="shared" si="59"/>
        <v>83600.632825494293</v>
      </c>
      <c r="M279" s="62">
        <f t="shared" si="56"/>
        <v>475674.79842549429</v>
      </c>
    </row>
    <row r="280" spans="1:13" x14ac:dyDescent="0.3">
      <c r="B280" s="1" t="s">
        <v>26</v>
      </c>
      <c r="C280" s="1">
        <v>2800</v>
      </c>
      <c r="D280" s="1">
        <v>27.5</v>
      </c>
      <c r="E280" s="3">
        <f t="shared" si="57"/>
        <v>77000</v>
      </c>
      <c r="F280" s="3">
        <f t="shared" si="58"/>
        <v>652344.77</v>
      </c>
      <c r="G280" s="3">
        <v>91977.49</v>
      </c>
      <c r="H280" s="1">
        <v>13</v>
      </c>
      <c r="I280" s="3">
        <f t="shared" si="59"/>
        <v>158709.28875631609</v>
      </c>
      <c r="M280" s="62">
        <f t="shared" si="56"/>
        <v>903031.54875631607</v>
      </c>
    </row>
    <row r="281" spans="1:13" x14ac:dyDescent="0.3">
      <c r="B281" s="1" t="s">
        <v>28</v>
      </c>
      <c r="C281" s="1">
        <v>500</v>
      </c>
      <c r="D281" s="1">
        <v>59</v>
      </c>
      <c r="E281" s="3">
        <f t="shared" si="57"/>
        <v>29500</v>
      </c>
      <c r="F281" s="3">
        <f t="shared" si="58"/>
        <v>249924.29500000001</v>
      </c>
      <c r="G281" s="3">
        <v>35238.129999999997</v>
      </c>
      <c r="H281" s="1">
        <v>13</v>
      </c>
      <c r="I281" s="3">
        <f t="shared" si="59"/>
        <v>60804.208182321898</v>
      </c>
      <c r="M281" s="62">
        <f t="shared" si="56"/>
        <v>345966.63318232191</v>
      </c>
    </row>
    <row r="282" spans="1:13" x14ac:dyDescent="0.3">
      <c r="B282" s="1" t="s">
        <v>30</v>
      </c>
      <c r="C282" s="1">
        <v>230</v>
      </c>
      <c r="D282" s="1">
        <v>69</v>
      </c>
      <c r="E282" s="3">
        <f t="shared" si="57"/>
        <v>15870</v>
      </c>
      <c r="F282" s="3">
        <f t="shared" si="58"/>
        <v>134450.79869999998</v>
      </c>
      <c r="G282" s="3">
        <v>18956.921300000016</v>
      </c>
      <c r="H282" s="1">
        <v>13</v>
      </c>
      <c r="I282" s="3">
        <f t="shared" si="59"/>
        <v>32710.603241837867</v>
      </c>
      <c r="M282" s="62">
        <f t="shared" si="56"/>
        <v>186118.32324183788</v>
      </c>
    </row>
    <row r="283" spans="1:13" x14ac:dyDescent="0.3">
      <c r="B283" s="1" t="s">
        <v>32</v>
      </c>
      <c r="C283" s="1">
        <v>220</v>
      </c>
      <c r="D283" s="1">
        <v>71</v>
      </c>
      <c r="E283" s="3">
        <f t="shared" si="57"/>
        <v>15620</v>
      </c>
      <c r="F283" s="3">
        <f t="shared" si="58"/>
        <v>132332.79620000001</v>
      </c>
      <c r="G283" s="3">
        <v>18658.29</v>
      </c>
      <c r="H283" s="1">
        <v>13</v>
      </c>
      <c r="I283" s="3">
        <f t="shared" si="59"/>
        <v>32195.312685322104</v>
      </c>
      <c r="M283" s="62">
        <f t="shared" si="56"/>
        <v>183186.39888532212</v>
      </c>
    </row>
    <row r="284" spans="1:13" x14ac:dyDescent="0.3">
      <c r="B284" s="1" t="s">
        <v>130</v>
      </c>
      <c r="C284" s="1">
        <v>111</v>
      </c>
      <c r="D284" s="1">
        <v>99</v>
      </c>
      <c r="E284" s="3">
        <f t="shared" si="57"/>
        <v>10989</v>
      </c>
      <c r="F284" s="3">
        <f t="shared" si="58"/>
        <v>93098.917890000012</v>
      </c>
      <c r="G284" s="3">
        <v>13126.5</v>
      </c>
      <c r="H284" s="1">
        <v>13</v>
      </c>
      <c r="I284" s="3">
        <f t="shared" si="59"/>
        <v>22650.082400013616</v>
      </c>
      <c r="M284" s="62">
        <f t="shared" si="56"/>
        <v>128875.50029001363</v>
      </c>
    </row>
    <row r="285" spans="1:13" x14ac:dyDescent="0.3">
      <c r="B285" s="1" t="s">
        <v>131</v>
      </c>
      <c r="C285" s="1">
        <v>125</v>
      </c>
      <c r="D285" s="1">
        <v>81.5</v>
      </c>
      <c r="E285" s="3">
        <f t="shared" si="57"/>
        <v>10187.5</v>
      </c>
      <c r="F285" s="3">
        <f t="shared" si="58"/>
        <v>86308.601875000008</v>
      </c>
      <c r="G285" s="3">
        <v>12169.09</v>
      </c>
      <c r="H285" s="1">
        <v>13</v>
      </c>
      <c r="I285" s="3">
        <f t="shared" si="59"/>
        <v>20998.061291146791</v>
      </c>
      <c r="M285" s="62">
        <f t="shared" si="56"/>
        <v>119475.75316614679</v>
      </c>
    </row>
    <row r="286" spans="1:13" x14ac:dyDescent="0.3">
      <c r="B286" s="1" t="s">
        <v>132</v>
      </c>
      <c r="C286" s="1">
        <v>25</v>
      </c>
      <c r="D286" s="1">
        <v>143</v>
      </c>
      <c r="E286" s="3">
        <f t="shared" si="57"/>
        <v>3575</v>
      </c>
      <c r="F286" s="3">
        <f t="shared" si="58"/>
        <v>30287.435749999997</v>
      </c>
      <c r="G286" s="3">
        <v>4270.3999999999996</v>
      </c>
      <c r="H286" s="1">
        <v>13</v>
      </c>
      <c r="I286" s="3">
        <f t="shared" si="59"/>
        <v>7368.6490752541695</v>
      </c>
      <c r="M286" s="62">
        <f t="shared" si="56"/>
        <v>41926.484825254171</v>
      </c>
    </row>
    <row r="287" spans="1:13" x14ac:dyDescent="0.3">
      <c r="E287" s="5">
        <f>SUM(E272:E286)</f>
        <v>538465</v>
      </c>
      <c r="F287" s="5">
        <f t="shared" ref="F287:G287" si="60">SUM(F272:F286)</f>
        <v>4561880.8646499999</v>
      </c>
      <c r="G287" s="5">
        <f t="shared" si="60"/>
        <v>425600.7513</v>
      </c>
      <c r="H287" s="5"/>
      <c r="I287" s="5">
        <f t="shared" ref="I287" si="61">SUM(I272:I286)</f>
        <v>1063463.6399999999</v>
      </c>
      <c r="M287" s="62">
        <f t="shared" si="56"/>
        <v>6050945.2559499992</v>
      </c>
    </row>
    <row r="288" spans="1:13" s="33" customFormat="1" x14ac:dyDescent="0.3">
      <c r="A288" s="35"/>
      <c r="B288" s="31"/>
      <c r="C288" s="31"/>
      <c r="D288" s="31"/>
      <c r="E288" s="32"/>
      <c r="F288" s="32"/>
      <c r="G288" s="32"/>
      <c r="H288" s="31"/>
      <c r="I288" s="31"/>
      <c r="K288" s="34"/>
      <c r="L288" s="34"/>
      <c r="M288" s="62">
        <f t="shared" si="56"/>
        <v>0</v>
      </c>
    </row>
    <row r="289" spans="1:13" x14ac:dyDescent="0.3">
      <c r="A289" s="53" t="s">
        <v>126</v>
      </c>
      <c r="C289" s="2" t="s">
        <v>12</v>
      </c>
      <c r="D289" s="2" t="s">
        <v>4</v>
      </c>
      <c r="E289" s="1"/>
      <c r="F289" s="1"/>
      <c r="G289" s="5">
        <f>153545.01+250443.07</f>
        <v>403988.08</v>
      </c>
      <c r="H289" s="1"/>
      <c r="I289" s="5">
        <f>406852.12+266932.09+435385.65</f>
        <v>1109169.8599999999</v>
      </c>
      <c r="M289" s="62">
        <f t="shared" si="56"/>
        <v>1513157.94</v>
      </c>
    </row>
    <row r="290" spans="1:13" x14ac:dyDescent="0.3">
      <c r="A290" s="54" t="s">
        <v>60</v>
      </c>
      <c r="C290" s="12">
        <v>84.720100000000002</v>
      </c>
      <c r="D290" s="13">
        <v>15500</v>
      </c>
      <c r="E290" s="56" t="s">
        <v>75</v>
      </c>
      <c r="F290" s="56" t="s">
        <v>11</v>
      </c>
      <c r="G290" s="56" t="s">
        <v>3</v>
      </c>
      <c r="H290" s="56" t="s">
        <v>13</v>
      </c>
      <c r="I290" s="56" t="s">
        <v>2</v>
      </c>
      <c r="J290" s="22" t="s">
        <v>54</v>
      </c>
      <c r="K290" s="22" t="s">
        <v>76</v>
      </c>
      <c r="M290" s="62" t="e">
        <f t="shared" si="56"/>
        <v>#VALUE!</v>
      </c>
    </row>
    <row r="291" spans="1:13" x14ac:dyDescent="0.3">
      <c r="A291" s="55" t="s">
        <v>137</v>
      </c>
      <c r="B291" s="1" t="s">
        <v>17</v>
      </c>
      <c r="C291" s="1">
        <v>500</v>
      </c>
      <c r="D291" s="1">
        <v>3.9</v>
      </c>
      <c r="E291" s="3">
        <f t="shared" ref="E291:E307" si="62">D291*C291</f>
        <v>1950</v>
      </c>
      <c r="F291" s="3">
        <f>E291*$C$290/10</f>
        <v>16520.4195</v>
      </c>
      <c r="H291" s="1">
        <v>0</v>
      </c>
      <c r="I291" s="3">
        <f>$I$289*((F291+G291)/($F$308+$G$308))</f>
        <v>3507.3723079717247</v>
      </c>
      <c r="J291" s="24">
        <f>I289-I308</f>
        <v>0</v>
      </c>
      <c r="K291" s="24">
        <f>G289-G308</f>
        <v>0</v>
      </c>
      <c r="M291" s="62">
        <f t="shared" si="56"/>
        <v>20027.791807971724</v>
      </c>
    </row>
    <row r="292" spans="1:13" x14ac:dyDescent="0.3">
      <c r="A292" s="58">
        <v>45249</v>
      </c>
      <c r="B292" s="1" t="s">
        <v>18</v>
      </c>
      <c r="C292" s="1">
        <v>1000</v>
      </c>
      <c r="D292" s="1">
        <v>12.5</v>
      </c>
      <c r="E292" s="3">
        <f t="shared" si="62"/>
        <v>12500</v>
      </c>
      <c r="F292" s="3">
        <f t="shared" ref="F292:F306" si="63">E292*$C$290/10</f>
        <v>105900.125</v>
      </c>
      <c r="H292" s="1">
        <v>0</v>
      </c>
      <c r="I292" s="3">
        <f t="shared" ref="I292:I307" si="64">$I$289*((F292+G292)/($F$308+$G$308))</f>
        <v>22483.155820331569</v>
      </c>
      <c r="M292" s="62">
        <f t="shared" si="56"/>
        <v>128383.28082033157</v>
      </c>
    </row>
    <row r="293" spans="1:13" x14ac:dyDescent="0.3">
      <c r="A293" s="54" t="s">
        <v>0</v>
      </c>
      <c r="B293" s="1" t="s">
        <v>19</v>
      </c>
      <c r="C293" s="1">
        <v>1027</v>
      </c>
      <c r="D293" s="1">
        <v>12.9</v>
      </c>
      <c r="E293" s="3">
        <f t="shared" si="62"/>
        <v>13248.300000000001</v>
      </c>
      <c r="F293" s="3">
        <f t="shared" si="63"/>
        <v>112239.730083</v>
      </c>
      <c r="H293" s="1">
        <v>0</v>
      </c>
      <c r="I293" s="3">
        <f t="shared" si="64"/>
        <v>23829.0874603599</v>
      </c>
      <c r="M293" s="62">
        <f t="shared" si="56"/>
        <v>136068.81754335991</v>
      </c>
    </row>
    <row r="294" spans="1:13" x14ac:dyDescent="0.3">
      <c r="B294" s="1" t="s">
        <v>20</v>
      </c>
      <c r="C294" s="1">
        <v>7800</v>
      </c>
      <c r="D294" s="1">
        <v>25.5</v>
      </c>
      <c r="E294" s="3">
        <f t="shared" si="62"/>
        <v>198900</v>
      </c>
      <c r="F294" s="3">
        <f t="shared" si="63"/>
        <v>1685082.7890000001</v>
      </c>
      <c r="H294" s="1">
        <v>0</v>
      </c>
      <c r="I294" s="3">
        <f t="shared" si="64"/>
        <v>357751.97541311593</v>
      </c>
      <c r="M294" s="62">
        <f t="shared" si="56"/>
        <v>2042834.764413116</v>
      </c>
    </row>
    <row r="295" spans="1:13" x14ac:dyDescent="0.3">
      <c r="B295" s="1" t="s">
        <v>21</v>
      </c>
      <c r="C295" s="1">
        <v>1320</v>
      </c>
      <c r="D295" s="1">
        <v>56</v>
      </c>
      <c r="E295" s="3">
        <f t="shared" si="62"/>
        <v>73920</v>
      </c>
      <c r="F295" s="3">
        <f t="shared" si="63"/>
        <v>626250.97920000006</v>
      </c>
      <c r="G295" s="11">
        <v>61906.720000000001</v>
      </c>
      <c r="H295" s="1">
        <v>13</v>
      </c>
      <c r="I295" s="3">
        <f t="shared" si="64"/>
        <v>146099.51385868961</v>
      </c>
      <c r="M295" s="62">
        <f t="shared" si="56"/>
        <v>834257.21305868961</v>
      </c>
    </row>
    <row r="296" spans="1:13" x14ac:dyDescent="0.3">
      <c r="B296" s="1" t="s">
        <v>22</v>
      </c>
      <c r="C296" s="1">
        <v>6200</v>
      </c>
      <c r="D296" s="1">
        <v>9.5</v>
      </c>
      <c r="E296" s="3">
        <f t="shared" si="62"/>
        <v>58900</v>
      </c>
      <c r="F296" s="3">
        <f t="shared" si="63"/>
        <v>499001.38899999997</v>
      </c>
      <c r="G296" s="11">
        <v>166575.31</v>
      </c>
      <c r="H296" s="1">
        <v>13</v>
      </c>
      <c r="I296" s="3">
        <f t="shared" si="64"/>
        <v>141305.44826079215</v>
      </c>
      <c r="M296" s="62">
        <f t="shared" si="56"/>
        <v>806882.1472607922</v>
      </c>
    </row>
    <row r="297" spans="1:13" x14ac:dyDescent="0.3">
      <c r="B297" s="1" t="s">
        <v>23</v>
      </c>
      <c r="C297" s="1">
        <v>817</v>
      </c>
      <c r="D297" s="1">
        <v>34.5</v>
      </c>
      <c r="E297" s="3">
        <f t="shared" si="62"/>
        <v>28186.5</v>
      </c>
      <c r="F297" s="3">
        <f t="shared" si="63"/>
        <v>238796.30986500002</v>
      </c>
      <c r="G297" s="11">
        <v>23605.71</v>
      </c>
      <c r="H297" s="1">
        <v>13</v>
      </c>
      <c r="I297" s="3">
        <f t="shared" si="64"/>
        <v>55709.334622546812</v>
      </c>
      <c r="M297" s="62">
        <f t="shared" si="56"/>
        <v>318111.35448754684</v>
      </c>
    </row>
    <row r="298" spans="1:13" x14ac:dyDescent="0.3">
      <c r="B298" s="1" t="s">
        <v>24</v>
      </c>
      <c r="C298" s="1">
        <v>1369</v>
      </c>
      <c r="D298" s="1">
        <v>31.5</v>
      </c>
      <c r="E298" s="3">
        <f t="shared" si="62"/>
        <v>43123.5</v>
      </c>
      <c r="F298" s="3">
        <f t="shared" si="63"/>
        <v>365342.72323500004</v>
      </c>
      <c r="G298" s="11">
        <v>36115.18</v>
      </c>
      <c r="H298" s="1">
        <v>13</v>
      </c>
      <c r="I298" s="3">
        <f t="shared" si="64"/>
        <v>85231.633047988376</v>
      </c>
      <c r="M298" s="62">
        <f t="shared" si="56"/>
        <v>486689.53628298838</v>
      </c>
    </row>
    <row r="299" spans="1:13" x14ac:dyDescent="0.3">
      <c r="B299" s="1" t="s">
        <v>25</v>
      </c>
      <c r="C299" s="1">
        <v>219</v>
      </c>
      <c r="D299" s="1">
        <v>31.2</v>
      </c>
      <c r="E299" s="3">
        <f t="shared" si="62"/>
        <v>6832.8</v>
      </c>
      <c r="F299" s="3">
        <f t="shared" si="63"/>
        <v>57887.549928</v>
      </c>
      <c r="G299" s="11">
        <v>5722.35</v>
      </c>
      <c r="H299" s="1">
        <v>13</v>
      </c>
      <c r="I299" s="3">
        <f t="shared" si="64"/>
        <v>13504.717693174789</v>
      </c>
      <c r="M299" s="62">
        <f t="shared" si="56"/>
        <v>77114.617621174781</v>
      </c>
    </row>
    <row r="300" spans="1:13" x14ac:dyDescent="0.3">
      <c r="B300" s="1" t="s">
        <v>26</v>
      </c>
      <c r="C300" s="1">
        <v>145</v>
      </c>
      <c r="D300" s="1">
        <v>27.5</v>
      </c>
      <c r="E300" s="3">
        <f t="shared" si="62"/>
        <v>3987.5</v>
      </c>
      <c r="F300" s="3">
        <f t="shared" si="63"/>
        <v>33782.139875000001</v>
      </c>
      <c r="G300" s="11">
        <v>3339.46</v>
      </c>
      <c r="H300" s="1">
        <v>13</v>
      </c>
      <c r="I300" s="3">
        <f t="shared" si="64"/>
        <v>7881.1117011394072</v>
      </c>
      <c r="M300" s="62">
        <f t="shared" si="56"/>
        <v>45002.711576139409</v>
      </c>
    </row>
    <row r="301" spans="1:13" x14ac:dyDescent="0.3">
      <c r="B301" s="1" t="s">
        <v>27</v>
      </c>
      <c r="C301" s="1">
        <v>1200</v>
      </c>
      <c r="D301" s="1">
        <v>27.5</v>
      </c>
      <c r="E301" s="3">
        <f t="shared" si="62"/>
        <v>33000</v>
      </c>
      <c r="F301" s="3">
        <f t="shared" si="63"/>
        <v>279576.33</v>
      </c>
      <c r="G301" s="11">
        <v>27636.93</v>
      </c>
      <c r="H301" s="1">
        <v>13</v>
      </c>
      <c r="I301" s="3">
        <f t="shared" si="64"/>
        <v>65222.997561636832</v>
      </c>
      <c r="M301" s="62">
        <f t="shared" si="56"/>
        <v>372436.25756163686</v>
      </c>
    </row>
    <row r="302" spans="1:13" x14ac:dyDescent="0.3">
      <c r="B302" s="1" t="s">
        <v>28</v>
      </c>
      <c r="C302" s="1">
        <v>99</v>
      </c>
      <c r="D302" s="1">
        <v>59</v>
      </c>
      <c r="E302" s="3">
        <f t="shared" si="62"/>
        <v>5841</v>
      </c>
      <c r="F302" s="3">
        <f t="shared" si="63"/>
        <v>49485.010410000003</v>
      </c>
      <c r="G302" s="11">
        <v>4891.74</v>
      </c>
      <c r="H302" s="1">
        <v>13</v>
      </c>
      <c r="I302" s="3">
        <f t="shared" si="64"/>
        <v>11544.471288124623</v>
      </c>
      <c r="M302" s="62">
        <f t="shared" si="56"/>
        <v>65921.221698124631</v>
      </c>
    </row>
    <row r="303" spans="1:13" x14ac:dyDescent="0.3">
      <c r="B303" s="1" t="s">
        <v>29</v>
      </c>
      <c r="C303" s="1">
        <v>4</v>
      </c>
      <c r="D303" s="1">
        <v>56.5</v>
      </c>
      <c r="E303" s="3">
        <f t="shared" si="62"/>
        <v>226</v>
      </c>
      <c r="F303" s="3">
        <f t="shared" si="63"/>
        <v>1914.6742600000002</v>
      </c>
      <c r="G303" s="11">
        <v>189.26</v>
      </c>
      <c r="H303" s="1">
        <v>13</v>
      </c>
      <c r="I303" s="3">
        <f t="shared" si="64"/>
        <v>446.67635475703162</v>
      </c>
      <c r="M303" s="62">
        <f t="shared" si="56"/>
        <v>2550.6106147570317</v>
      </c>
    </row>
    <row r="304" spans="1:13" x14ac:dyDescent="0.3">
      <c r="B304" s="1" t="s">
        <v>30</v>
      </c>
      <c r="C304" s="1">
        <v>70</v>
      </c>
      <c r="D304" s="1">
        <v>69</v>
      </c>
      <c r="E304" s="3">
        <f t="shared" si="62"/>
        <v>4830</v>
      </c>
      <c r="F304" s="3">
        <f t="shared" si="63"/>
        <v>40919.808299999997</v>
      </c>
      <c r="G304" s="11">
        <v>4045.04</v>
      </c>
      <c r="H304" s="1">
        <v>13</v>
      </c>
      <c r="I304" s="3">
        <f t="shared" si="64"/>
        <v>9546.2747637594475</v>
      </c>
      <c r="M304" s="62">
        <f t="shared" si="56"/>
        <v>54511.123063759442</v>
      </c>
    </row>
    <row r="305" spans="1:13" x14ac:dyDescent="0.3">
      <c r="B305" s="1" t="s">
        <v>31</v>
      </c>
      <c r="C305" s="1">
        <v>821</v>
      </c>
      <c r="D305" s="1">
        <v>91.5</v>
      </c>
      <c r="E305" s="3">
        <f t="shared" si="62"/>
        <v>75121.5</v>
      </c>
      <c r="F305" s="3">
        <f t="shared" si="63"/>
        <v>636430.09921500005</v>
      </c>
      <c r="G305" s="11">
        <v>62912.959999999999</v>
      </c>
      <c r="H305" s="1">
        <v>13</v>
      </c>
      <c r="I305" s="3">
        <f t="shared" si="64"/>
        <v>148474.22486232393</v>
      </c>
      <c r="M305" s="62">
        <f t="shared" si="56"/>
        <v>847817.28407732397</v>
      </c>
    </row>
    <row r="306" spans="1:13" x14ac:dyDescent="0.3">
      <c r="B306" s="1" t="s">
        <v>32</v>
      </c>
      <c r="C306" s="1">
        <v>99</v>
      </c>
      <c r="D306" s="1">
        <v>71</v>
      </c>
      <c r="E306" s="3">
        <f t="shared" si="62"/>
        <v>7029</v>
      </c>
      <c r="F306" s="3">
        <f t="shared" si="63"/>
        <v>59549.758290000005</v>
      </c>
      <c r="G306" s="11">
        <v>5886.67</v>
      </c>
      <c r="H306" s="1">
        <v>13</v>
      </c>
      <c r="I306" s="3">
        <f t="shared" si="64"/>
        <v>13892.499310742296</v>
      </c>
      <c r="M306" s="62">
        <f t="shared" si="56"/>
        <v>79328.927600742303</v>
      </c>
    </row>
    <row r="307" spans="1:13" x14ac:dyDescent="0.3">
      <c r="B307" s="1" t="s">
        <v>7</v>
      </c>
      <c r="C307" s="1">
        <v>6</v>
      </c>
      <c r="D307" s="1">
        <v>231</v>
      </c>
      <c r="E307" s="3">
        <f t="shared" si="62"/>
        <v>1386</v>
      </c>
      <c r="F307" s="3">
        <f t="shared" ref="F307" si="65">E307*$C$290/10</f>
        <v>11742.20586</v>
      </c>
      <c r="G307" s="11">
        <v>1160.75</v>
      </c>
      <c r="H307" s="1">
        <v>13</v>
      </c>
      <c r="I307" s="3">
        <f t="shared" si="64"/>
        <v>2739.3656725451488</v>
      </c>
      <c r="M307" s="62">
        <f t="shared" si="56"/>
        <v>15642.321532545149</v>
      </c>
    </row>
    <row r="308" spans="1:13" x14ac:dyDescent="0.3">
      <c r="E308" s="5">
        <f>SUM(E291:E307)</f>
        <v>568982.1</v>
      </c>
      <c r="F308" s="5">
        <f>SUM(F291:F307)</f>
        <v>4820422.0410210015</v>
      </c>
      <c r="G308" s="5">
        <f t="shared" ref="G308:I308" si="66">SUM(G291:G307)</f>
        <v>403988.07999999996</v>
      </c>
      <c r="H308" s="5">
        <f t="shared" si="66"/>
        <v>169</v>
      </c>
      <c r="I308" s="5">
        <f t="shared" si="66"/>
        <v>1109169.8599999996</v>
      </c>
      <c r="M308" s="62">
        <f t="shared" si="56"/>
        <v>6333579.981021001</v>
      </c>
    </row>
    <row r="309" spans="1:13" s="33" customFormat="1" x14ac:dyDescent="0.3">
      <c r="A309" s="35"/>
      <c r="B309" s="31"/>
      <c r="C309" s="31"/>
      <c r="D309" s="31"/>
      <c r="E309" s="32"/>
      <c r="F309" s="32"/>
      <c r="G309" s="32"/>
      <c r="H309" s="31"/>
      <c r="I309" s="31"/>
      <c r="K309" s="34"/>
      <c r="L309" s="34"/>
      <c r="M309" s="62">
        <f t="shared" si="56"/>
        <v>0</v>
      </c>
    </row>
    <row r="310" spans="1:13" x14ac:dyDescent="0.3">
      <c r="A310" s="26" t="s">
        <v>59</v>
      </c>
      <c r="C310" s="16" t="s">
        <v>12</v>
      </c>
      <c r="D310" s="2" t="s">
        <v>4</v>
      </c>
      <c r="E310" s="1"/>
      <c r="F310" s="1"/>
      <c r="G310" s="51">
        <f>21966.71+123887.84+142121.37</f>
        <v>287975.92</v>
      </c>
      <c r="I310" s="5">
        <f>53208.26+215374.25+465720.81</f>
        <v>734303.32000000007</v>
      </c>
      <c r="M310" s="62">
        <f t="shared" si="56"/>
        <v>1022279.24</v>
      </c>
    </row>
    <row r="311" spans="1:13" x14ac:dyDescent="0.3">
      <c r="A311" s="27" t="s">
        <v>60</v>
      </c>
      <c r="C311" s="12">
        <v>85.002600000000001</v>
      </c>
      <c r="D311" s="13">
        <v>12000</v>
      </c>
      <c r="E311" s="1" t="s">
        <v>75</v>
      </c>
      <c r="F311" s="1" t="s">
        <v>11</v>
      </c>
      <c r="G311" s="20" t="s">
        <v>3</v>
      </c>
      <c r="H311" s="1" t="s">
        <v>13</v>
      </c>
      <c r="I311" s="1" t="s">
        <v>2</v>
      </c>
      <c r="J311" s="22" t="s">
        <v>54</v>
      </c>
      <c r="K311" s="22" t="s">
        <v>76</v>
      </c>
      <c r="M311" s="62" t="e">
        <f t="shared" si="56"/>
        <v>#VALUE!</v>
      </c>
    </row>
    <row r="312" spans="1:13" x14ac:dyDescent="0.3">
      <c r="A312" s="29">
        <v>44882</v>
      </c>
      <c r="B312" s="1" t="s">
        <v>5</v>
      </c>
      <c r="C312" s="1">
        <v>2000</v>
      </c>
      <c r="D312" s="1">
        <v>13.58</v>
      </c>
      <c r="E312" s="3">
        <f>C312*D312</f>
        <v>27160</v>
      </c>
      <c r="F312" s="3">
        <f>E312*$C$311/10</f>
        <v>230867.06159999999</v>
      </c>
      <c r="G312" s="3">
        <v>21966.708400000003</v>
      </c>
      <c r="H312" s="1">
        <v>9</v>
      </c>
      <c r="I312" s="3">
        <f>$I$310*((F312+G312)/($F$323+$G$323))</f>
        <v>56123.975079867058</v>
      </c>
      <c r="J312" s="24">
        <f>I310-I323</f>
        <v>0</v>
      </c>
      <c r="K312" s="24">
        <f>G310-G323</f>
        <v>3.600799769628793E-3</v>
      </c>
      <c r="M312" s="62">
        <f t="shared" si="56"/>
        <v>308957.74507986708</v>
      </c>
    </row>
    <row r="313" spans="1:13" x14ac:dyDescent="0.3">
      <c r="A313" s="26" t="s">
        <v>140</v>
      </c>
      <c r="B313" s="1" t="s">
        <v>6</v>
      </c>
      <c r="C313" s="1">
        <v>40</v>
      </c>
      <c r="D313" s="1">
        <v>64.510000000000005</v>
      </c>
      <c r="E313" s="3">
        <f t="shared" ref="E313:E322" si="67">C313*D313</f>
        <v>2580.4</v>
      </c>
      <c r="F313" s="3">
        <f t="shared" ref="F313:F322" si="68">E313*$C$311/10</f>
        <v>21934.070904</v>
      </c>
      <c r="G313" s="3">
        <v>3165.8690959999985</v>
      </c>
      <c r="H313" s="1">
        <v>13</v>
      </c>
      <c r="I313" s="3">
        <f t="shared" ref="I313:I322" si="69">$I$310*((F313+G313)/($F$323+$G$323))</f>
        <v>5571.6782100198016</v>
      </c>
      <c r="M313" s="62">
        <f t="shared" si="56"/>
        <v>30671.618210019798</v>
      </c>
    </row>
    <row r="314" spans="1:13" x14ac:dyDescent="0.3">
      <c r="A314" s="27" t="s">
        <v>141</v>
      </c>
      <c r="B314" s="1" t="s">
        <v>7</v>
      </c>
      <c r="C314" s="1">
        <v>380</v>
      </c>
      <c r="D314" s="1">
        <v>235.71</v>
      </c>
      <c r="E314" s="3">
        <f t="shared" si="67"/>
        <v>89569.8</v>
      </c>
      <c r="F314" s="3">
        <f t="shared" si="68"/>
        <v>761366.58814799995</v>
      </c>
      <c r="G314" s="3">
        <v>109892.2218520001</v>
      </c>
      <c r="H314" s="1">
        <v>13</v>
      </c>
      <c r="I314" s="3">
        <f t="shared" si="69"/>
        <v>193401.80601885036</v>
      </c>
      <c r="M314" s="62">
        <f t="shared" si="56"/>
        <v>1064660.6160188504</v>
      </c>
    </row>
    <row r="315" spans="1:13" x14ac:dyDescent="0.3">
      <c r="B315" s="1" t="s">
        <v>142</v>
      </c>
      <c r="C315" s="1">
        <v>70</v>
      </c>
      <c r="D315" s="1">
        <v>126.1</v>
      </c>
      <c r="E315" s="3">
        <f t="shared" si="67"/>
        <v>8827</v>
      </c>
      <c r="F315" s="3">
        <f t="shared" si="68"/>
        <v>75031.79501999999</v>
      </c>
      <c r="G315" s="3">
        <v>10829.754980000012</v>
      </c>
      <c r="H315" s="1">
        <v>13</v>
      </c>
      <c r="I315" s="3">
        <f t="shared" si="69"/>
        <v>19059.524732470505</v>
      </c>
      <c r="M315" s="62">
        <f t="shared" si="56"/>
        <v>104921.0747324705</v>
      </c>
    </row>
    <row r="316" spans="1:13" x14ac:dyDescent="0.3">
      <c r="B316" s="1" t="s">
        <v>8</v>
      </c>
      <c r="C316" s="1">
        <f>990*3</f>
        <v>2970</v>
      </c>
      <c r="D316" s="1">
        <f>ROUND(E316/C316,2)</f>
        <v>10.91</v>
      </c>
      <c r="E316" s="3">
        <v>32392.799999999999</v>
      </c>
      <c r="F316" s="3">
        <f t="shared" si="68"/>
        <v>275347.22212799999</v>
      </c>
      <c r="G316" s="3">
        <v>20267.627871999983</v>
      </c>
      <c r="H316" s="1">
        <v>6.5</v>
      </c>
      <c r="I316" s="3">
        <f t="shared" si="69"/>
        <v>65620.508188596155</v>
      </c>
      <c r="M316" s="62">
        <f t="shared" si="56"/>
        <v>361235.35818859615</v>
      </c>
    </row>
    <row r="317" spans="1:13" x14ac:dyDescent="0.3">
      <c r="B317" s="1" t="s">
        <v>9</v>
      </c>
      <c r="C317" s="1">
        <f>633*2.8</f>
        <v>1772.3999999999999</v>
      </c>
      <c r="D317" s="1">
        <f>ROUND(E317/C317,2)</f>
        <v>18.28</v>
      </c>
      <c r="E317" s="3">
        <v>32403.27</v>
      </c>
      <c r="F317" s="3">
        <f t="shared" si="68"/>
        <v>275436.2198502</v>
      </c>
      <c r="G317" s="3">
        <v>20274.180149800028</v>
      </c>
      <c r="H317" s="1">
        <v>6.5</v>
      </c>
      <c r="I317" s="3">
        <f t="shared" si="69"/>
        <v>65641.718352961791</v>
      </c>
      <c r="M317" s="62">
        <f t="shared" si="56"/>
        <v>361352.11835296184</v>
      </c>
    </row>
    <row r="318" spans="1:13" x14ac:dyDescent="0.3">
      <c r="B318" s="1" t="s">
        <v>10</v>
      </c>
      <c r="C318" s="1">
        <f>459*2.8</f>
        <v>1285.1999999999998</v>
      </c>
      <c r="D318" s="1">
        <f>ROUND(E318/C318,2)</f>
        <v>35</v>
      </c>
      <c r="E318" s="3">
        <v>44986.59</v>
      </c>
      <c r="F318" s="3">
        <f t="shared" si="68"/>
        <v>382397.71151339996</v>
      </c>
      <c r="G318" s="3">
        <v>28147.358486600046</v>
      </c>
      <c r="H318" s="1">
        <v>6.5</v>
      </c>
      <c r="I318" s="3">
        <f t="shared" si="69"/>
        <v>91132.688793282141</v>
      </c>
      <c r="M318" s="62">
        <f t="shared" si="56"/>
        <v>501677.75879328215</v>
      </c>
    </row>
    <row r="319" spans="1:13" x14ac:dyDescent="0.3">
      <c r="B319" s="1" t="s">
        <v>143</v>
      </c>
      <c r="C319" s="1">
        <v>133</v>
      </c>
      <c r="D319" s="1">
        <v>175.68</v>
      </c>
      <c r="E319" s="3">
        <f t="shared" si="67"/>
        <v>23365.440000000002</v>
      </c>
      <c r="F319" s="3">
        <f t="shared" si="68"/>
        <v>198612.31501440002</v>
      </c>
      <c r="G319" s="3">
        <v>14619.364985599968</v>
      </c>
      <c r="H319" s="52">
        <v>6.5</v>
      </c>
      <c r="I319" s="3">
        <f t="shared" si="69"/>
        <v>47333.113351741682</v>
      </c>
      <c r="M319" s="62">
        <f t="shared" si="56"/>
        <v>260564.79335174168</v>
      </c>
    </row>
    <row r="320" spans="1:13" x14ac:dyDescent="0.3">
      <c r="B320" s="1" t="s">
        <v>144</v>
      </c>
      <c r="C320" s="1">
        <v>5</v>
      </c>
      <c r="D320" s="1">
        <v>210.08</v>
      </c>
      <c r="E320" s="3">
        <f t="shared" si="67"/>
        <v>1050.4000000000001</v>
      </c>
      <c r="F320" s="3">
        <f t="shared" si="68"/>
        <v>8928.6731040000013</v>
      </c>
      <c r="G320" s="3">
        <v>657.21689599999809</v>
      </c>
      <c r="H320" s="14">
        <v>6.5</v>
      </c>
      <c r="I320" s="3">
        <f t="shared" si="69"/>
        <v>2127.8733907988112</v>
      </c>
      <c r="M320" s="62">
        <f t="shared" si="56"/>
        <v>11713.763390798811</v>
      </c>
    </row>
    <row r="321" spans="1:13" x14ac:dyDescent="0.3">
      <c r="B321" s="1" t="s">
        <v>145</v>
      </c>
      <c r="C321" s="1">
        <v>22</v>
      </c>
      <c r="D321" s="1">
        <v>523.23</v>
      </c>
      <c r="E321" s="3">
        <f t="shared" si="67"/>
        <v>11511.060000000001</v>
      </c>
      <c r="F321" s="3">
        <f t="shared" si="68"/>
        <v>97847.00287560001</v>
      </c>
      <c r="G321" s="3">
        <v>7202.2771243999887</v>
      </c>
      <c r="H321" s="14">
        <v>6.5</v>
      </c>
      <c r="I321" s="3">
        <f t="shared" si="69"/>
        <v>23318.812090955955</v>
      </c>
      <c r="M321" s="62">
        <f t="shared" si="56"/>
        <v>128368.09209095595</v>
      </c>
    </row>
    <row r="322" spans="1:13" x14ac:dyDescent="0.3">
      <c r="B322" s="1" t="s">
        <v>146</v>
      </c>
      <c r="C322" s="1">
        <v>108</v>
      </c>
      <c r="D322" s="1">
        <v>754.04</v>
      </c>
      <c r="E322" s="3">
        <f t="shared" si="67"/>
        <v>81436.319999999992</v>
      </c>
      <c r="F322" s="3">
        <f t="shared" si="68"/>
        <v>692229.89344319992</v>
      </c>
      <c r="G322" s="3">
        <v>50953.336556800059</v>
      </c>
      <c r="H322" s="14">
        <v>6.5</v>
      </c>
      <c r="I322" s="3">
        <f t="shared" si="69"/>
        <v>164971.62179045586</v>
      </c>
      <c r="M322" s="62">
        <f t="shared" si="56"/>
        <v>908154.85179045587</v>
      </c>
    </row>
    <row r="323" spans="1:13" x14ac:dyDescent="0.3">
      <c r="E323" s="5">
        <f>SUM(E312:E322)</f>
        <v>355283.08</v>
      </c>
      <c r="F323" s="5">
        <f>SUM(F312:F322)</f>
        <v>3019998.5536007993</v>
      </c>
      <c r="G323" s="5">
        <f>SUM(G312:G322)</f>
        <v>287975.91639920021</v>
      </c>
      <c r="H323" s="5"/>
      <c r="I323" s="5">
        <f>SUM(I312:I322)</f>
        <v>734303.32000000007</v>
      </c>
      <c r="M323" s="62">
        <f t="shared" si="56"/>
        <v>4042277.79</v>
      </c>
    </row>
    <row r="324" spans="1:13" s="33" customFormat="1" x14ac:dyDescent="0.3">
      <c r="A324" s="35"/>
      <c r="B324" s="31"/>
      <c r="C324" s="31"/>
      <c r="D324" s="31"/>
      <c r="E324" s="32"/>
      <c r="F324" s="32"/>
      <c r="G324" s="32"/>
      <c r="H324" s="31"/>
      <c r="I324" s="31"/>
      <c r="K324" s="34"/>
      <c r="L324" s="34"/>
      <c r="M324" s="62">
        <f t="shared" si="56"/>
        <v>0</v>
      </c>
    </row>
    <row r="325" spans="1:13" x14ac:dyDescent="0.3">
      <c r="M325" s="62">
        <f t="shared" si="56"/>
        <v>0</v>
      </c>
    </row>
    <row r="326" spans="1:13" x14ac:dyDescent="0.3">
      <c r="M326" s="62">
        <f t="shared" si="56"/>
        <v>0</v>
      </c>
    </row>
    <row r="327" spans="1:13" x14ac:dyDescent="0.3">
      <c r="M327" s="62">
        <f t="shared" si="56"/>
        <v>0</v>
      </c>
    </row>
    <row r="328" spans="1:13" x14ac:dyDescent="0.3">
      <c r="M328" s="62">
        <f t="shared" ref="M328:M391" si="70">F328+G328+I328</f>
        <v>0</v>
      </c>
    </row>
    <row r="329" spans="1:13" x14ac:dyDescent="0.3">
      <c r="M329" s="62">
        <f t="shared" si="70"/>
        <v>0</v>
      </c>
    </row>
    <row r="330" spans="1:13" x14ac:dyDescent="0.3">
      <c r="M330" s="62">
        <f t="shared" si="70"/>
        <v>0</v>
      </c>
    </row>
    <row r="331" spans="1:13" x14ac:dyDescent="0.3">
      <c r="M331" s="62">
        <f t="shared" si="70"/>
        <v>0</v>
      </c>
    </row>
    <row r="332" spans="1:13" x14ac:dyDescent="0.3">
      <c r="M332" s="62">
        <f t="shared" si="70"/>
        <v>0</v>
      </c>
    </row>
    <row r="333" spans="1:13" x14ac:dyDescent="0.3">
      <c r="M333" s="62">
        <f t="shared" si="70"/>
        <v>0</v>
      </c>
    </row>
    <row r="334" spans="1:13" x14ac:dyDescent="0.3">
      <c r="M334" s="62">
        <f t="shared" si="70"/>
        <v>0</v>
      </c>
    </row>
    <row r="335" spans="1:13" x14ac:dyDescent="0.3">
      <c r="M335" s="62">
        <f t="shared" si="70"/>
        <v>0</v>
      </c>
    </row>
    <row r="336" spans="1:13" x14ac:dyDescent="0.3">
      <c r="M336" s="62">
        <f t="shared" si="70"/>
        <v>0</v>
      </c>
    </row>
    <row r="337" spans="13:13" x14ac:dyDescent="0.3">
      <c r="M337" s="62">
        <f t="shared" si="70"/>
        <v>0</v>
      </c>
    </row>
    <row r="338" spans="13:13" x14ac:dyDescent="0.3">
      <c r="M338" s="62">
        <f t="shared" si="70"/>
        <v>0</v>
      </c>
    </row>
    <row r="339" spans="13:13" x14ac:dyDescent="0.3">
      <c r="M339" s="62">
        <f t="shared" si="70"/>
        <v>0</v>
      </c>
    </row>
    <row r="340" spans="13:13" x14ac:dyDescent="0.3">
      <c r="M340" s="62">
        <f t="shared" si="70"/>
        <v>0</v>
      </c>
    </row>
    <row r="341" spans="13:13" x14ac:dyDescent="0.3">
      <c r="M341" s="62">
        <f t="shared" si="70"/>
        <v>0</v>
      </c>
    </row>
    <row r="342" spans="13:13" x14ac:dyDescent="0.3">
      <c r="M342" s="62">
        <f t="shared" si="70"/>
        <v>0</v>
      </c>
    </row>
    <row r="343" spans="13:13" x14ac:dyDescent="0.3">
      <c r="M343" s="62">
        <f t="shared" si="70"/>
        <v>0</v>
      </c>
    </row>
    <row r="344" spans="13:13" x14ac:dyDescent="0.3">
      <c r="M344" s="62">
        <f t="shared" si="70"/>
        <v>0</v>
      </c>
    </row>
    <row r="345" spans="13:13" x14ac:dyDescent="0.3">
      <c r="M345" s="62">
        <f t="shared" si="70"/>
        <v>0</v>
      </c>
    </row>
    <row r="346" spans="13:13" x14ac:dyDescent="0.3">
      <c r="M346" s="62">
        <f t="shared" si="70"/>
        <v>0</v>
      </c>
    </row>
    <row r="347" spans="13:13" x14ac:dyDescent="0.3">
      <c r="M347" s="62">
        <f t="shared" si="70"/>
        <v>0</v>
      </c>
    </row>
    <row r="348" spans="13:13" x14ac:dyDescent="0.3">
      <c r="M348" s="62">
        <f t="shared" si="70"/>
        <v>0</v>
      </c>
    </row>
    <row r="349" spans="13:13" x14ac:dyDescent="0.3">
      <c r="M349" s="62">
        <f t="shared" si="70"/>
        <v>0</v>
      </c>
    </row>
    <row r="350" spans="13:13" x14ac:dyDescent="0.3">
      <c r="M350" s="62">
        <f t="shared" si="70"/>
        <v>0</v>
      </c>
    </row>
    <row r="351" spans="13:13" x14ac:dyDescent="0.3">
      <c r="M351" s="62">
        <f t="shared" si="70"/>
        <v>0</v>
      </c>
    </row>
    <row r="352" spans="13:13" x14ac:dyDescent="0.3">
      <c r="M352" s="62">
        <f t="shared" si="70"/>
        <v>0</v>
      </c>
    </row>
    <row r="353" spans="13:13" x14ac:dyDescent="0.3">
      <c r="M353" s="62">
        <f t="shared" si="70"/>
        <v>0</v>
      </c>
    </row>
    <row r="354" spans="13:13" x14ac:dyDescent="0.3">
      <c r="M354" s="62">
        <f t="shared" si="70"/>
        <v>0</v>
      </c>
    </row>
    <row r="355" spans="13:13" x14ac:dyDescent="0.3">
      <c r="M355" s="62">
        <f t="shared" si="70"/>
        <v>0</v>
      </c>
    </row>
    <row r="356" spans="13:13" x14ac:dyDescent="0.3">
      <c r="M356" s="62">
        <f t="shared" si="70"/>
        <v>0</v>
      </c>
    </row>
    <row r="357" spans="13:13" x14ac:dyDescent="0.3">
      <c r="M357" s="62">
        <f t="shared" si="70"/>
        <v>0</v>
      </c>
    </row>
    <row r="358" spans="13:13" x14ac:dyDescent="0.3">
      <c r="M358" s="62">
        <f t="shared" si="70"/>
        <v>0</v>
      </c>
    </row>
    <row r="359" spans="13:13" x14ac:dyDescent="0.3">
      <c r="M359" s="62">
        <f t="shared" si="70"/>
        <v>0</v>
      </c>
    </row>
    <row r="360" spans="13:13" x14ac:dyDescent="0.3">
      <c r="M360" s="62">
        <f t="shared" si="70"/>
        <v>0</v>
      </c>
    </row>
    <row r="361" spans="13:13" x14ac:dyDescent="0.3">
      <c r="M361" s="62">
        <f t="shared" si="70"/>
        <v>0</v>
      </c>
    </row>
    <row r="362" spans="13:13" x14ac:dyDescent="0.3">
      <c r="M362" s="62">
        <f t="shared" si="70"/>
        <v>0</v>
      </c>
    </row>
    <row r="363" spans="13:13" x14ac:dyDescent="0.3">
      <c r="M363" s="62">
        <f t="shared" si="70"/>
        <v>0</v>
      </c>
    </row>
    <row r="364" spans="13:13" x14ac:dyDescent="0.3">
      <c r="M364" s="62">
        <f t="shared" si="70"/>
        <v>0</v>
      </c>
    </row>
    <row r="365" spans="13:13" x14ac:dyDescent="0.3">
      <c r="M365" s="62">
        <f t="shared" si="70"/>
        <v>0</v>
      </c>
    </row>
    <row r="366" spans="13:13" x14ac:dyDescent="0.3">
      <c r="M366" s="62">
        <f t="shared" si="70"/>
        <v>0</v>
      </c>
    </row>
    <row r="367" spans="13:13" x14ac:dyDescent="0.3">
      <c r="M367" s="62">
        <f t="shared" si="70"/>
        <v>0</v>
      </c>
    </row>
    <row r="368" spans="13:13" x14ac:dyDescent="0.3">
      <c r="M368" s="62">
        <f t="shared" si="70"/>
        <v>0</v>
      </c>
    </row>
    <row r="369" spans="13:13" x14ac:dyDescent="0.3">
      <c r="M369" s="62">
        <f t="shared" si="70"/>
        <v>0</v>
      </c>
    </row>
    <row r="370" spans="13:13" x14ac:dyDescent="0.3">
      <c r="M370" s="62">
        <f t="shared" si="70"/>
        <v>0</v>
      </c>
    </row>
    <row r="371" spans="13:13" x14ac:dyDescent="0.3">
      <c r="M371" s="62">
        <f t="shared" si="70"/>
        <v>0</v>
      </c>
    </row>
    <row r="372" spans="13:13" x14ac:dyDescent="0.3">
      <c r="M372" s="62">
        <f t="shared" si="70"/>
        <v>0</v>
      </c>
    </row>
    <row r="373" spans="13:13" x14ac:dyDescent="0.3">
      <c r="M373" s="62">
        <f t="shared" si="70"/>
        <v>0</v>
      </c>
    </row>
    <row r="374" spans="13:13" x14ac:dyDescent="0.3">
      <c r="M374" s="62">
        <f t="shared" si="70"/>
        <v>0</v>
      </c>
    </row>
    <row r="375" spans="13:13" x14ac:dyDescent="0.3">
      <c r="M375" s="62">
        <f t="shared" si="70"/>
        <v>0</v>
      </c>
    </row>
    <row r="376" spans="13:13" x14ac:dyDescent="0.3">
      <c r="M376" s="62">
        <f t="shared" si="70"/>
        <v>0</v>
      </c>
    </row>
    <row r="377" spans="13:13" x14ac:dyDescent="0.3">
      <c r="M377" s="62">
        <f t="shared" si="70"/>
        <v>0</v>
      </c>
    </row>
    <row r="378" spans="13:13" x14ac:dyDescent="0.3">
      <c r="M378" s="62">
        <f t="shared" si="70"/>
        <v>0</v>
      </c>
    </row>
    <row r="379" spans="13:13" x14ac:dyDescent="0.3">
      <c r="M379" s="62">
        <f t="shared" si="70"/>
        <v>0</v>
      </c>
    </row>
    <row r="380" spans="13:13" x14ac:dyDescent="0.3">
      <c r="M380" s="62">
        <f t="shared" si="70"/>
        <v>0</v>
      </c>
    </row>
    <row r="381" spans="13:13" x14ac:dyDescent="0.3">
      <c r="M381" s="62">
        <f t="shared" si="70"/>
        <v>0</v>
      </c>
    </row>
    <row r="382" spans="13:13" x14ac:dyDescent="0.3">
      <c r="M382" s="62">
        <f t="shared" si="70"/>
        <v>0</v>
      </c>
    </row>
    <row r="383" spans="13:13" x14ac:dyDescent="0.3">
      <c r="M383" s="62">
        <f t="shared" si="70"/>
        <v>0</v>
      </c>
    </row>
    <row r="384" spans="13:13" x14ac:dyDescent="0.3">
      <c r="M384" s="62">
        <f t="shared" si="70"/>
        <v>0</v>
      </c>
    </row>
    <row r="385" spans="13:13" x14ac:dyDescent="0.3">
      <c r="M385" s="62">
        <f t="shared" si="70"/>
        <v>0</v>
      </c>
    </row>
    <row r="386" spans="13:13" x14ac:dyDescent="0.3">
      <c r="M386" s="62">
        <f t="shared" si="70"/>
        <v>0</v>
      </c>
    </row>
    <row r="387" spans="13:13" x14ac:dyDescent="0.3">
      <c r="M387" s="62">
        <f t="shared" si="70"/>
        <v>0</v>
      </c>
    </row>
    <row r="388" spans="13:13" x14ac:dyDescent="0.3">
      <c r="M388" s="62">
        <f t="shared" si="70"/>
        <v>0</v>
      </c>
    </row>
    <row r="389" spans="13:13" x14ac:dyDescent="0.3">
      <c r="M389" s="62">
        <f t="shared" si="70"/>
        <v>0</v>
      </c>
    </row>
    <row r="390" spans="13:13" x14ac:dyDescent="0.3">
      <c r="M390" s="62">
        <f t="shared" si="70"/>
        <v>0</v>
      </c>
    </row>
    <row r="391" spans="13:13" x14ac:dyDescent="0.3">
      <c r="M391" s="62">
        <f t="shared" si="70"/>
        <v>0</v>
      </c>
    </row>
    <row r="392" spans="13:13" x14ac:dyDescent="0.3">
      <c r="M392" s="62">
        <f t="shared" ref="M392:M455" si="71">F392+G392+I392</f>
        <v>0</v>
      </c>
    </row>
    <row r="393" spans="13:13" x14ac:dyDescent="0.3">
      <c r="M393" s="62">
        <f t="shared" si="71"/>
        <v>0</v>
      </c>
    </row>
    <row r="394" spans="13:13" x14ac:dyDescent="0.3">
      <c r="M394" s="62">
        <f t="shared" si="71"/>
        <v>0</v>
      </c>
    </row>
    <row r="395" spans="13:13" x14ac:dyDescent="0.3">
      <c r="M395" s="62">
        <f t="shared" si="71"/>
        <v>0</v>
      </c>
    </row>
    <row r="396" spans="13:13" x14ac:dyDescent="0.3">
      <c r="M396" s="62">
        <f t="shared" si="71"/>
        <v>0</v>
      </c>
    </row>
    <row r="397" spans="13:13" x14ac:dyDescent="0.3">
      <c r="M397" s="62">
        <f t="shared" si="71"/>
        <v>0</v>
      </c>
    </row>
    <row r="398" spans="13:13" x14ac:dyDescent="0.3">
      <c r="M398" s="62">
        <f t="shared" si="71"/>
        <v>0</v>
      </c>
    </row>
    <row r="399" spans="13:13" x14ac:dyDescent="0.3">
      <c r="M399" s="62">
        <f t="shared" si="71"/>
        <v>0</v>
      </c>
    </row>
    <row r="400" spans="13:13" x14ac:dyDescent="0.3">
      <c r="M400" s="62">
        <f t="shared" si="71"/>
        <v>0</v>
      </c>
    </row>
    <row r="401" spans="13:13" x14ac:dyDescent="0.3">
      <c r="M401" s="62">
        <f t="shared" si="71"/>
        <v>0</v>
      </c>
    </row>
    <row r="402" spans="13:13" x14ac:dyDescent="0.3">
      <c r="M402" s="62">
        <f t="shared" si="71"/>
        <v>0</v>
      </c>
    </row>
    <row r="403" spans="13:13" x14ac:dyDescent="0.3">
      <c r="M403" s="62">
        <f t="shared" si="71"/>
        <v>0</v>
      </c>
    </row>
    <row r="404" spans="13:13" x14ac:dyDescent="0.3">
      <c r="M404" s="62">
        <f t="shared" si="71"/>
        <v>0</v>
      </c>
    </row>
    <row r="405" spans="13:13" x14ac:dyDescent="0.3">
      <c r="M405" s="62">
        <f t="shared" si="71"/>
        <v>0</v>
      </c>
    </row>
    <row r="406" spans="13:13" x14ac:dyDescent="0.3">
      <c r="M406" s="62">
        <f t="shared" si="71"/>
        <v>0</v>
      </c>
    </row>
    <row r="407" spans="13:13" x14ac:dyDescent="0.3">
      <c r="M407" s="62">
        <f t="shared" si="71"/>
        <v>0</v>
      </c>
    </row>
    <row r="408" spans="13:13" x14ac:dyDescent="0.3">
      <c r="M408" s="62">
        <f t="shared" si="71"/>
        <v>0</v>
      </c>
    </row>
    <row r="409" spans="13:13" x14ac:dyDescent="0.3">
      <c r="M409" s="62">
        <f t="shared" si="71"/>
        <v>0</v>
      </c>
    </row>
    <row r="410" spans="13:13" x14ac:dyDescent="0.3">
      <c r="M410" s="62">
        <f t="shared" si="71"/>
        <v>0</v>
      </c>
    </row>
    <row r="411" spans="13:13" x14ac:dyDescent="0.3">
      <c r="M411" s="62">
        <f t="shared" si="71"/>
        <v>0</v>
      </c>
    </row>
    <row r="412" spans="13:13" x14ac:dyDescent="0.3">
      <c r="M412" s="62">
        <f t="shared" si="71"/>
        <v>0</v>
      </c>
    </row>
    <row r="413" spans="13:13" x14ac:dyDescent="0.3">
      <c r="M413" s="62">
        <f t="shared" si="71"/>
        <v>0</v>
      </c>
    </row>
    <row r="414" spans="13:13" x14ac:dyDescent="0.3">
      <c r="M414" s="62">
        <f t="shared" si="71"/>
        <v>0</v>
      </c>
    </row>
    <row r="415" spans="13:13" x14ac:dyDescent="0.3">
      <c r="M415" s="62">
        <f t="shared" si="71"/>
        <v>0</v>
      </c>
    </row>
    <row r="416" spans="13:13" x14ac:dyDescent="0.3">
      <c r="M416" s="62">
        <f t="shared" si="71"/>
        <v>0</v>
      </c>
    </row>
    <row r="417" spans="13:13" x14ac:dyDescent="0.3">
      <c r="M417" s="62">
        <f t="shared" si="71"/>
        <v>0</v>
      </c>
    </row>
    <row r="418" spans="13:13" x14ac:dyDescent="0.3">
      <c r="M418" s="62">
        <f t="shared" si="71"/>
        <v>0</v>
      </c>
    </row>
    <row r="419" spans="13:13" x14ac:dyDescent="0.3">
      <c r="M419" s="62">
        <f t="shared" si="71"/>
        <v>0</v>
      </c>
    </row>
    <row r="420" spans="13:13" x14ac:dyDescent="0.3">
      <c r="M420" s="62">
        <f t="shared" si="71"/>
        <v>0</v>
      </c>
    </row>
    <row r="421" spans="13:13" x14ac:dyDescent="0.3">
      <c r="M421" s="62">
        <f t="shared" si="71"/>
        <v>0</v>
      </c>
    </row>
    <row r="422" spans="13:13" x14ac:dyDescent="0.3">
      <c r="M422" s="62">
        <f t="shared" si="71"/>
        <v>0</v>
      </c>
    </row>
    <row r="423" spans="13:13" x14ac:dyDescent="0.3">
      <c r="M423" s="62">
        <f t="shared" si="71"/>
        <v>0</v>
      </c>
    </row>
    <row r="424" spans="13:13" x14ac:dyDescent="0.3">
      <c r="M424" s="62">
        <f t="shared" si="71"/>
        <v>0</v>
      </c>
    </row>
    <row r="425" spans="13:13" x14ac:dyDescent="0.3">
      <c r="M425" s="62">
        <f t="shared" si="71"/>
        <v>0</v>
      </c>
    </row>
    <row r="426" spans="13:13" x14ac:dyDescent="0.3">
      <c r="M426" s="62">
        <f t="shared" si="71"/>
        <v>0</v>
      </c>
    </row>
    <row r="427" spans="13:13" x14ac:dyDescent="0.3">
      <c r="M427" s="62">
        <f t="shared" si="71"/>
        <v>0</v>
      </c>
    </row>
    <row r="428" spans="13:13" x14ac:dyDescent="0.3">
      <c r="M428" s="62">
        <f t="shared" si="71"/>
        <v>0</v>
      </c>
    </row>
    <row r="429" spans="13:13" x14ac:dyDescent="0.3">
      <c r="M429" s="62">
        <f t="shared" si="71"/>
        <v>0</v>
      </c>
    </row>
    <row r="430" spans="13:13" x14ac:dyDescent="0.3">
      <c r="M430" s="62">
        <f t="shared" si="71"/>
        <v>0</v>
      </c>
    </row>
    <row r="431" spans="13:13" x14ac:dyDescent="0.3">
      <c r="M431" s="62">
        <f t="shared" si="71"/>
        <v>0</v>
      </c>
    </row>
    <row r="432" spans="13:13" x14ac:dyDescent="0.3">
      <c r="M432" s="62">
        <f t="shared" si="71"/>
        <v>0</v>
      </c>
    </row>
    <row r="433" spans="13:13" x14ac:dyDescent="0.3">
      <c r="M433" s="62">
        <f t="shared" si="71"/>
        <v>0</v>
      </c>
    </row>
    <row r="434" spans="13:13" x14ac:dyDescent="0.3">
      <c r="M434" s="62">
        <f t="shared" si="71"/>
        <v>0</v>
      </c>
    </row>
    <row r="435" spans="13:13" x14ac:dyDescent="0.3">
      <c r="M435" s="62">
        <f t="shared" si="71"/>
        <v>0</v>
      </c>
    </row>
    <row r="436" spans="13:13" x14ac:dyDescent="0.3">
      <c r="M436" s="62">
        <f t="shared" si="71"/>
        <v>0</v>
      </c>
    </row>
    <row r="437" spans="13:13" x14ac:dyDescent="0.3">
      <c r="M437" s="62">
        <f t="shared" si="71"/>
        <v>0</v>
      </c>
    </row>
    <row r="438" spans="13:13" x14ac:dyDescent="0.3">
      <c r="M438" s="62">
        <f t="shared" si="71"/>
        <v>0</v>
      </c>
    </row>
    <row r="439" spans="13:13" x14ac:dyDescent="0.3">
      <c r="M439" s="62">
        <f t="shared" si="71"/>
        <v>0</v>
      </c>
    </row>
    <row r="440" spans="13:13" x14ac:dyDescent="0.3">
      <c r="M440" s="62">
        <f t="shared" si="71"/>
        <v>0</v>
      </c>
    </row>
    <row r="441" spans="13:13" x14ac:dyDescent="0.3">
      <c r="M441" s="62">
        <f t="shared" si="71"/>
        <v>0</v>
      </c>
    </row>
    <row r="442" spans="13:13" x14ac:dyDescent="0.3">
      <c r="M442" s="62">
        <f t="shared" si="71"/>
        <v>0</v>
      </c>
    </row>
    <row r="443" spans="13:13" x14ac:dyDescent="0.3">
      <c r="M443" s="62">
        <f t="shared" si="71"/>
        <v>0</v>
      </c>
    </row>
    <row r="444" spans="13:13" x14ac:dyDescent="0.3">
      <c r="M444" s="62">
        <f t="shared" si="71"/>
        <v>0</v>
      </c>
    </row>
    <row r="445" spans="13:13" x14ac:dyDescent="0.3">
      <c r="M445" s="62">
        <f t="shared" si="71"/>
        <v>0</v>
      </c>
    </row>
    <row r="446" spans="13:13" x14ac:dyDescent="0.3">
      <c r="M446" s="62">
        <f t="shared" si="71"/>
        <v>0</v>
      </c>
    </row>
    <row r="447" spans="13:13" x14ac:dyDescent="0.3">
      <c r="M447" s="62">
        <f t="shared" si="71"/>
        <v>0</v>
      </c>
    </row>
    <row r="448" spans="13:13" x14ac:dyDescent="0.3">
      <c r="M448" s="62">
        <f t="shared" si="71"/>
        <v>0</v>
      </c>
    </row>
    <row r="449" spans="13:13" x14ac:dyDescent="0.3">
      <c r="M449" s="62">
        <f t="shared" si="71"/>
        <v>0</v>
      </c>
    </row>
    <row r="450" spans="13:13" x14ac:dyDescent="0.3">
      <c r="M450" s="62">
        <f t="shared" si="71"/>
        <v>0</v>
      </c>
    </row>
    <row r="451" spans="13:13" x14ac:dyDescent="0.3">
      <c r="M451" s="62">
        <f t="shared" si="71"/>
        <v>0</v>
      </c>
    </row>
    <row r="452" spans="13:13" x14ac:dyDescent="0.3">
      <c r="M452" s="62">
        <f t="shared" si="71"/>
        <v>0</v>
      </c>
    </row>
    <row r="453" spans="13:13" x14ac:dyDescent="0.3">
      <c r="M453" s="62">
        <f t="shared" si="71"/>
        <v>0</v>
      </c>
    </row>
    <row r="454" spans="13:13" x14ac:dyDescent="0.3">
      <c r="M454" s="62">
        <f t="shared" si="71"/>
        <v>0</v>
      </c>
    </row>
    <row r="455" spans="13:13" x14ac:dyDescent="0.3">
      <c r="M455" s="62">
        <f t="shared" si="71"/>
        <v>0</v>
      </c>
    </row>
    <row r="456" spans="13:13" x14ac:dyDescent="0.3">
      <c r="M456" s="62">
        <f t="shared" ref="M456:M519" si="72">F456+G456+I456</f>
        <v>0</v>
      </c>
    </row>
    <row r="457" spans="13:13" x14ac:dyDescent="0.3">
      <c r="M457" s="62">
        <f t="shared" si="72"/>
        <v>0</v>
      </c>
    </row>
    <row r="458" spans="13:13" x14ac:dyDescent="0.3">
      <c r="M458" s="62">
        <f t="shared" si="72"/>
        <v>0</v>
      </c>
    </row>
    <row r="459" spans="13:13" x14ac:dyDescent="0.3">
      <c r="M459" s="62">
        <f t="shared" si="72"/>
        <v>0</v>
      </c>
    </row>
    <row r="460" spans="13:13" x14ac:dyDescent="0.3">
      <c r="M460" s="62">
        <f t="shared" si="72"/>
        <v>0</v>
      </c>
    </row>
    <row r="461" spans="13:13" x14ac:dyDescent="0.3">
      <c r="M461" s="62">
        <f t="shared" si="72"/>
        <v>0</v>
      </c>
    </row>
    <row r="462" spans="13:13" x14ac:dyDescent="0.3">
      <c r="M462" s="62">
        <f t="shared" si="72"/>
        <v>0</v>
      </c>
    </row>
    <row r="463" spans="13:13" x14ac:dyDescent="0.3">
      <c r="M463" s="62">
        <f t="shared" si="72"/>
        <v>0</v>
      </c>
    </row>
    <row r="464" spans="13:13" x14ac:dyDescent="0.3">
      <c r="M464" s="62">
        <f t="shared" si="72"/>
        <v>0</v>
      </c>
    </row>
    <row r="465" spans="13:13" x14ac:dyDescent="0.3">
      <c r="M465" s="62">
        <f t="shared" si="72"/>
        <v>0</v>
      </c>
    </row>
    <row r="466" spans="13:13" x14ac:dyDescent="0.3">
      <c r="M466" s="62">
        <f t="shared" si="72"/>
        <v>0</v>
      </c>
    </row>
    <row r="467" spans="13:13" x14ac:dyDescent="0.3">
      <c r="M467" s="62">
        <f t="shared" si="72"/>
        <v>0</v>
      </c>
    </row>
    <row r="468" spans="13:13" x14ac:dyDescent="0.3">
      <c r="M468" s="62">
        <f t="shared" si="72"/>
        <v>0</v>
      </c>
    </row>
    <row r="469" spans="13:13" x14ac:dyDescent="0.3">
      <c r="M469" s="62">
        <f t="shared" si="72"/>
        <v>0</v>
      </c>
    </row>
    <row r="470" spans="13:13" x14ac:dyDescent="0.3">
      <c r="M470" s="62">
        <f t="shared" si="72"/>
        <v>0</v>
      </c>
    </row>
    <row r="471" spans="13:13" x14ac:dyDescent="0.3">
      <c r="M471" s="62">
        <f t="shared" si="72"/>
        <v>0</v>
      </c>
    </row>
    <row r="472" spans="13:13" x14ac:dyDescent="0.3">
      <c r="M472" s="62">
        <f t="shared" si="72"/>
        <v>0</v>
      </c>
    </row>
    <row r="473" spans="13:13" x14ac:dyDescent="0.3">
      <c r="M473" s="62">
        <f t="shared" si="72"/>
        <v>0</v>
      </c>
    </row>
    <row r="474" spans="13:13" x14ac:dyDescent="0.3">
      <c r="M474" s="62">
        <f t="shared" si="72"/>
        <v>0</v>
      </c>
    </row>
    <row r="475" spans="13:13" x14ac:dyDescent="0.3">
      <c r="M475" s="62">
        <f t="shared" si="72"/>
        <v>0</v>
      </c>
    </row>
    <row r="476" spans="13:13" x14ac:dyDescent="0.3">
      <c r="M476" s="62">
        <f t="shared" si="72"/>
        <v>0</v>
      </c>
    </row>
    <row r="477" spans="13:13" x14ac:dyDescent="0.3">
      <c r="M477" s="62">
        <f t="shared" si="72"/>
        <v>0</v>
      </c>
    </row>
    <row r="478" spans="13:13" x14ac:dyDescent="0.3">
      <c r="M478" s="62">
        <f t="shared" si="72"/>
        <v>0</v>
      </c>
    </row>
    <row r="479" spans="13:13" x14ac:dyDescent="0.3">
      <c r="M479" s="62">
        <f t="shared" si="72"/>
        <v>0</v>
      </c>
    </row>
    <row r="480" spans="13:13" x14ac:dyDescent="0.3">
      <c r="M480" s="62">
        <f t="shared" si="72"/>
        <v>0</v>
      </c>
    </row>
    <row r="481" spans="13:13" x14ac:dyDescent="0.3">
      <c r="M481" s="62">
        <f t="shared" si="72"/>
        <v>0</v>
      </c>
    </row>
    <row r="482" spans="13:13" x14ac:dyDescent="0.3">
      <c r="M482" s="62">
        <f t="shared" si="72"/>
        <v>0</v>
      </c>
    </row>
    <row r="483" spans="13:13" x14ac:dyDescent="0.3">
      <c r="M483" s="62">
        <f t="shared" si="72"/>
        <v>0</v>
      </c>
    </row>
    <row r="484" spans="13:13" x14ac:dyDescent="0.3">
      <c r="M484" s="62">
        <f t="shared" si="72"/>
        <v>0</v>
      </c>
    </row>
    <row r="485" spans="13:13" x14ac:dyDescent="0.3">
      <c r="M485" s="62">
        <f t="shared" si="72"/>
        <v>0</v>
      </c>
    </row>
    <row r="486" spans="13:13" x14ac:dyDescent="0.3">
      <c r="M486" s="62">
        <f t="shared" si="72"/>
        <v>0</v>
      </c>
    </row>
    <row r="487" spans="13:13" x14ac:dyDescent="0.3">
      <c r="M487" s="62">
        <f t="shared" si="72"/>
        <v>0</v>
      </c>
    </row>
    <row r="488" spans="13:13" x14ac:dyDescent="0.3">
      <c r="M488" s="62">
        <f t="shared" si="72"/>
        <v>0</v>
      </c>
    </row>
    <row r="489" spans="13:13" x14ac:dyDescent="0.3">
      <c r="M489" s="62">
        <f t="shared" si="72"/>
        <v>0</v>
      </c>
    </row>
    <row r="490" spans="13:13" x14ac:dyDescent="0.3">
      <c r="M490" s="62">
        <f t="shared" si="72"/>
        <v>0</v>
      </c>
    </row>
    <row r="491" spans="13:13" x14ac:dyDescent="0.3">
      <c r="M491" s="62">
        <f t="shared" si="72"/>
        <v>0</v>
      </c>
    </row>
    <row r="492" spans="13:13" x14ac:dyDescent="0.3">
      <c r="M492" s="62">
        <f t="shared" si="72"/>
        <v>0</v>
      </c>
    </row>
    <row r="493" spans="13:13" x14ac:dyDescent="0.3">
      <c r="M493" s="62">
        <f t="shared" si="72"/>
        <v>0</v>
      </c>
    </row>
    <row r="494" spans="13:13" x14ac:dyDescent="0.3">
      <c r="M494" s="62">
        <f t="shared" si="72"/>
        <v>0</v>
      </c>
    </row>
    <row r="495" spans="13:13" x14ac:dyDescent="0.3">
      <c r="M495" s="62">
        <f t="shared" si="72"/>
        <v>0</v>
      </c>
    </row>
    <row r="496" spans="13:13" x14ac:dyDescent="0.3">
      <c r="M496" s="62">
        <f t="shared" si="72"/>
        <v>0</v>
      </c>
    </row>
    <row r="497" spans="13:13" x14ac:dyDescent="0.3">
      <c r="M497" s="62">
        <f t="shared" si="72"/>
        <v>0</v>
      </c>
    </row>
    <row r="498" spans="13:13" x14ac:dyDescent="0.3">
      <c r="M498" s="62">
        <f t="shared" si="72"/>
        <v>0</v>
      </c>
    </row>
    <row r="499" spans="13:13" x14ac:dyDescent="0.3">
      <c r="M499" s="62">
        <f t="shared" si="72"/>
        <v>0</v>
      </c>
    </row>
    <row r="500" spans="13:13" x14ac:dyDescent="0.3">
      <c r="M500" s="62">
        <f t="shared" si="72"/>
        <v>0</v>
      </c>
    </row>
    <row r="501" spans="13:13" x14ac:dyDescent="0.3">
      <c r="M501" s="62">
        <f t="shared" si="72"/>
        <v>0</v>
      </c>
    </row>
    <row r="502" spans="13:13" x14ac:dyDescent="0.3">
      <c r="M502" s="62">
        <f t="shared" si="72"/>
        <v>0</v>
      </c>
    </row>
    <row r="503" spans="13:13" x14ac:dyDescent="0.3">
      <c r="M503" s="62">
        <f t="shared" si="72"/>
        <v>0</v>
      </c>
    </row>
    <row r="504" spans="13:13" x14ac:dyDescent="0.3">
      <c r="M504" s="62">
        <f t="shared" si="72"/>
        <v>0</v>
      </c>
    </row>
    <row r="505" spans="13:13" x14ac:dyDescent="0.3">
      <c r="M505" s="62">
        <f t="shared" si="72"/>
        <v>0</v>
      </c>
    </row>
    <row r="506" spans="13:13" x14ac:dyDescent="0.3">
      <c r="M506" s="62">
        <f t="shared" si="72"/>
        <v>0</v>
      </c>
    </row>
    <row r="507" spans="13:13" x14ac:dyDescent="0.3">
      <c r="M507" s="62">
        <f t="shared" si="72"/>
        <v>0</v>
      </c>
    </row>
    <row r="508" spans="13:13" x14ac:dyDescent="0.3">
      <c r="M508" s="62">
        <f t="shared" si="72"/>
        <v>0</v>
      </c>
    </row>
    <row r="509" spans="13:13" x14ac:dyDescent="0.3">
      <c r="M509" s="62">
        <f t="shared" si="72"/>
        <v>0</v>
      </c>
    </row>
    <row r="510" spans="13:13" x14ac:dyDescent="0.3">
      <c r="M510" s="62">
        <f t="shared" si="72"/>
        <v>0</v>
      </c>
    </row>
    <row r="511" spans="13:13" x14ac:dyDescent="0.3">
      <c r="M511" s="62">
        <f t="shared" si="72"/>
        <v>0</v>
      </c>
    </row>
    <row r="512" spans="13:13" x14ac:dyDescent="0.3">
      <c r="M512" s="62">
        <f t="shared" si="72"/>
        <v>0</v>
      </c>
    </row>
    <row r="513" spans="13:13" x14ac:dyDescent="0.3">
      <c r="M513" s="62">
        <f t="shared" si="72"/>
        <v>0</v>
      </c>
    </row>
    <row r="514" spans="13:13" x14ac:dyDescent="0.3">
      <c r="M514" s="62">
        <f t="shared" si="72"/>
        <v>0</v>
      </c>
    </row>
    <row r="515" spans="13:13" x14ac:dyDescent="0.3">
      <c r="M515" s="62">
        <f t="shared" si="72"/>
        <v>0</v>
      </c>
    </row>
    <row r="516" spans="13:13" x14ac:dyDescent="0.3">
      <c r="M516" s="62">
        <f t="shared" si="72"/>
        <v>0</v>
      </c>
    </row>
    <row r="517" spans="13:13" x14ac:dyDescent="0.3">
      <c r="M517" s="62">
        <f t="shared" si="72"/>
        <v>0</v>
      </c>
    </row>
    <row r="518" spans="13:13" x14ac:dyDescent="0.3">
      <c r="M518" s="62">
        <f t="shared" si="72"/>
        <v>0</v>
      </c>
    </row>
    <row r="519" spans="13:13" x14ac:dyDescent="0.3">
      <c r="M519" s="62">
        <f t="shared" si="72"/>
        <v>0</v>
      </c>
    </row>
    <row r="520" spans="13:13" x14ac:dyDescent="0.3">
      <c r="M520" s="62">
        <f t="shared" ref="M520:M562" si="73">F520+G520+I520</f>
        <v>0</v>
      </c>
    </row>
    <row r="521" spans="13:13" x14ac:dyDescent="0.3">
      <c r="M521" s="62">
        <f t="shared" si="73"/>
        <v>0</v>
      </c>
    </row>
    <row r="522" spans="13:13" x14ac:dyDescent="0.3">
      <c r="M522" s="62">
        <f t="shared" si="73"/>
        <v>0</v>
      </c>
    </row>
    <row r="523" spans="13:13" x14ac:dyDescent="0.3">
      <c r="M523" s="62">
        <f t="shared" si="73"/>
        <v>0</v>
      </c>
    </row>
    <row r="524" spans="13:13" x14ac:dyDescent="0.3">
      <c r="M524" s="62">
        <f t="shared" si="73"/>
        <v>0</v>
      </c>
    </row>
    <row r="525" spans="13:13" x14ac:dyDescent="0.3">
      <c r="M525" s="62">
        <f t="shared" si="73"/>
        <v>0</v>
      </c>
    </row>
    <row r="526" spans="13:13" x14ac:dyDescent="0.3">
      <c r="M526" s="62">
        <f t="shared" si="73"/>
        <v>0</v>
      </c>
    </row>
    <row r="527" spans="13:13" x14ac:dyDescent="0.3">
      <c r="M527" s="62">
        <f t="shared" si="73"/>
        <v>0</v>
      </c>
    </row>
    <row r="528" spans="13:13" x14ac:dyDescent="0.3">
      <c r="M528" s="62">
        <f t="shared" si="73"/>
        <v>0</v>
      </c>
    </row>
    <row r="529" spans="13:13" x14ac:dyDescent="0.3">
      <c r="M529" s="62">
        <f t="shared" si="73"/>
        <v>0</v>
      </c>
    </row>
    <row r="530" spans="13:13" x14ac:dyDescent="0.3">
      <c r="M530" s="62">
        <f t="shared" si="73"/>
        <v>0</v>
      </c>
    </row>
    <row r="531" spans="13:13" x14ac:dyDescent="0.3">
      <c r="M531" s="62">
        <f t="shared" si="73"/>
        <v>0</v>
      </c>
    </row>
    <row r="532" spans="13:13" x14ac:dyDescent="0.3">
      <c r="M532" s="62">
        <f t="shared" si="73"/>
        <v>0</v>
      </c>
    </row>
    <row r="533" spans="13:13" x14ac:dyDescent="0.3">
      <c r="M533" s="62">
        <f t="shared" si="73"/>
        <v>0</v>
      </c>
    </row>
    <row r="534" spans="13:13" x14ac:dyDescent="0.3">
      <c r="M534" s="62">
        <f t="shared" si="73"/>
        <v>0</v>
      </c>
    </row>
    <row r="535" spans="13:13" x14ac:dyDescent="0.3">
      <c r="M535" s="62">
        <f t="shared" si="73"/>
        <v>0</v>
      </c>
    </row>
    <row r="536" spans="13:13" x14ac:dyDescent="0.3">
      <c r="M536" s="62">
        <f t="shared" si="73"/>
        <v>0</v>
      </c>
    </row>
    <row r="537" spans="13:13" x14ac:dyDescent="0.3">
      <c r="M537" s="62">
        <f t="shared" si="73"/>
        <v>0</v>
      </c>
    </row>
    <row r="538" spans="13:13" x14ac:dyDescent="0.3">
      <c r="M538" s="62">
        <f t="shared" si="73"/>
        <v>0</v>
      </c>
    </row>
    <row r="539" spans="13:13" x14ac:dyDescent="0.3">
      <c r="M539" s="62">
        <f t="shared" si="73"/>
        <v>0</v>
      </c>
    </row>
    <row r="540" spans="13:13" x14ac:dyDescent="0.3">
      <c r="M540" s="62">
        <f t="shared" si="73"/>
        <v>0</v>
      </c>
    </row>
    <row r="541" spans="13:13" x14ac:dyDescent="0.3">
      <c r="M541" s="62">
        <f t="shared" si="73"/>
        <v>0</v>
      </c>
    </row>
    <row r="542" spans="13:13" x14ac:dyDescent="0.3">
      <c r="M542" s="62">
        <f t="shared" si="73"/>
        <v>0</v>
      </c>
    </row>
    <row r="543" spans="13:13" x14ac:dyDescent="0.3">
      <c r="M543" s="62">
        <f t="shared" si="73"/>
        <v>0</v>
      </c>
    </row>
    <row r="544" spans="13:13" x14ac:dyDescent="0.3">
      <c r="M544" s="62">
        <f t="shared" si="73"/>
        <v>0</v>
      </c>
    </row>
    <row r="545" spans="13:13" x14ac:dyDescent="0.3">
      <c r="M545" s="62">
        <f t="shared" si="73"/>
        <v>0</v>
      </c>
    </row>
    <row r="546" spans="13:13" x14ac:dyDescent="0.3">
      <c r="M546" s="62">
        <f t="shared" si="73"/>
        <v>0</v>
      </c>
    </row>
    <row r="547" spans="13:13" x14ac:dyDescent="0.3">
      <c r="M547" s="62">
        <f t="shared" si="73"/>
        <v>0</v>
      </c>
    </row>
    <row r="548" spans="13:13" x14ac:dyDescent="0.3">
      <c r="M548" s="62">
        <f t="shared" si="73"/>
        <v>0</v>
      </c>
    </row>
    <row r="549" spans="13:13" x14ac:dyDescent="0.3">
      <c r="M549" s="62">
        <f t="shared" si="73"/>
        <v>0</v>
      </c>
    </row>
    <row r="550" spans="13:13" x14ac:dyDescent="0.3">
      <c r="M550" s="62">
        <f t="shared" si="73"/>
        <v>0</v>
      </c>
    </row>
    <row r="551" spans="13:13" x14ac:dyDescent="0.3">
      <c r="M551" s="62">
        <f t="shared" si="73"/>
        <v>0</v>
      </c>
    </row>
    <row r="552" spans="13:13" x14ac:dyDescent="0.3">
      <c r="M552" s="62">
        <f t="shared" si="73"/>
        <v>0</v>
      </c>
    </row>
    <row r="553" spans="13:13" x14ac:dyDescent="0.3">
      <c r="M553" s="62">
        <f t="shared" si="73"/>
        <v>0</v>
      </c>
    </row>
    <row r="554" spans="13:13" x14ac:dyDescent="0.3">
      <c r="M554" s="62">
        <f t="shared" si="73"/>
        <v>0</v>
      </c>
    </row>
    <row r="555" spans="13:13" x14ac:dyDescent="0.3">
      <c r="M555" s="62">
        <f t="shared" si="73"/>
        <v>0</v>
      </c>
    </row>
    <row r="556" spans="13:13" x14ac:dyDescent="0.3">
      <c r="M556" s="62">
        <f t="shared" si="73"/>
        <v>0</v>
      </c>
    </row>
    <row r="557" spans="13:13" x14ac:dyDescent="0.3">
      <c r="M557" s="62">
        <f t="shared" si="73"/>
        <v>0</v>
      </c>
    </row>
    <row r="558" spans="13:13" x14ac:dyDescent="0.3">
      <c r="M558" s="62">
        <f t="shared" si="73"/>
        <v>0</v>
      </c>
    </row>
    <row r="559" spans="13:13" x14ac:dyDescent="0.3">
      <c r="M559" s="62">
        <f t="shared" si="73"/>
        <v>0</v>
      </c>
    </row>
    <row r="560" spans="13:13" x14ac:dyDescent="0.3">
      <c r="M560" s="62">
        <f t="shared" si="73"/>
        <v>0</v>
      </c>
    </row>
    <row r="561" spans="13:13" x14ac:dyDescent="0.3">
      <c r="M561" s="62">
        <f t="shared" si="73"/>
        <v>0</v>
      </c>
    </row>
    <row r="562" spans="13:13" x14ac:dyDescent="0.3">
      <c r="M562" s="62">
        <f t="shared" si="73"/>
        <v>0</v>
      </c>
    </row>
  </sheetData>
  <autoFilter ref="A1:N372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2"/>
  <sheetViews>
    <sheetView topLeftCell="A22" workbookViewId="0">
      <selection activeCell="C36" sqref="C36"/>
    </sheetView>
  </sheetViews>
  <sheetFormatPr defaultRowHeight="14.4" x14ac:dyDescent="0.3"/>
  <cols>
    <col min="2" max="2" width="48.33203125" customWidth="1"/>
    <col min="3" max="3" width="11.77734375" customWidth="1"/>
  </cols>
  <sheetData>
    <row r="2" spans="1:2" x14ac:dyDescent="0.3">
      <c r="A2" s="1">
        <v>1</v>
      </c>
      <c r="B2" s="60" t="s">
        <v>123</v>
      </c>
    </row>
    <row r="3" spans="1:2" x14ac:dyDescent="0.3">
      <c r="A3" s="1">
        <v>2</v>
      </c>
      <c r="B3" s="60" t="s">
        <v>106</v>
      </c>
    </row>
    <row r="4" spans="1:2" x14ac:dyDescent="0.3">
      <c r="A4" s="1">
        <v>3</v>
      </c>
      <c r="B4" s="60" t="s">
        <v>95</v>
      </c>
    </row>
    <row r="5" spans="1:2" x14ac:dyDescent="0.3">
      <c r="A5" s="1">
        <v>4</v>
      </c>
      <c r="B5" s="60" t="s">
        <v>96</v>
      </c>
    </row>
    <row r="6" spans="1:2" x14ac:dyDescent="0.3">
      <c r="A6" s="1">
        <v>5</v>
      </c>
      <c r="B6" s="60" t="s">
        <v>1</v>
      </c>
    </row>
    <row r="7" spans="1:2" x14ac:dyDescent="0.3">
      <c r="A7" s="1">
        <v>6</v>
      </c>
      <c r="B7" s="59" t="s">
        <v>84</v>
      </c>
    </row>
    <row r="8" spans="1:2" x14ac:dyDescent="0.3">
      <c r="A8" s="1">
        <v>7</v>
      </c>
      <c r="B8" s="1" t="s">
        <v>22</v>
      </c>
    </row>
    <row r="9" spans="1:2" x14ac:dyDescent="0.3">
      <c r="A9" s="1">
        <v>8</v>
      </c>
      <c r="B9" s="1" t="s">
        <v>90</v>
      </c>
    </row>
    <row r="10" spans="1:2" x14ac:dyDescent="0.3">
      <c r="A10" s="1">
        <v>9</v>
      </c>
      <c r="B10" s="1" t="s">
        <v>49</v>
      </c>
    </row>
    <row r="11" spans="1:2" x14ac:dyDescent="0.3">
      <c r="A11" s="1">
        <v>10</v>
      </c>
      <c r="B11" s="1" t="s">
        <v>33</v>
      </c>
    </row>
    <row r="12" spans="1:2" x14ac:dyDescent="0.3">
      <c r="A12" s="1">
        <v>11</v>
      </c>
      <c r="B12" s="1" t="s">
        <v>135</v>
      </c>
    </row>
    <row r="13" spans="1:2" x14ac:dyDescent="0.3">
      <c r="A13" s="1">
        <v>12</v>
      </c>
      <c r="B13" s="1" t="s">
        <v>77</v>
      </c>
    </row>
    <row r="14" spans="1:2" x14ac:dyDescent="0.3">
      <c r="A14" s="1">
        <v>13</v>
      </c>
      <c r="B14" s="1" t="s">
        <v>18</v>
      </c>
    </row>
    <row r="15" spans="1:2" x14ac:dyDescent="0.3">
      <c r="A15" s="1">
        <v>14</v>
      </c>
      <c r="B15" s="1" t="s">
        <v>57</v>
      </c>
    </row>
    <row r="16" spans="1:2" x14ac:dyDescent="0.3">
      <c r="A16" s="1">
        <v>15</v>
      </c>
      <c r="B16" s="1" t="s">
        <v>35</v>
      </c>
    </row>
    <row r="17" spans="1:2" x14ac:dyDescent="0.3">
      <c r="A17" s="1">
        <v>16</v>
      </c>
      <c r="B17" s="1" t="s">
        <v>20</v>
      </c>
    </row>
    <row r="18" spans="1:2" x14ac:dyDescent="0.3">
      <c r="A18" s="1">
        <v>17</v>
      </c>
      <c r="B18" s="1" t="s">
        <v>149</v>
      </c>
    </row>
    <row r="19" spans="1:2" x14ac:dyDescent="0.3">
      <c r="A19" s="1">
        <v>18</v>
      </c>
      <c r="B19" s="1" t="s">
        <v>56</v>
      </c>
    </row>
    <row r="20" spans="1:2" x14ac:dyDescent="0.3">
      <c r="A20" s="1">
        <v>19</v>
      </c>
      <c r="B20" s="1" t="s">
        <v>36</v>
      </c>
    </row>
    <row r="21" spans="1:2" x14ac:dyDescent="0.3">
      <c r="A21" s="1">
        <v>20</v>
      </c>
      <c r="B21" s="1" t="s">
        <v>19</v>
      </c>
    </row>
    <row r="22" spans="1:2" x14ac:dyDescent="0.3">
      <c r="A22" s="1">
        <v>21</v>
      </c>
      <c r="B22" s="1" t="s">
        <v>17</v>
      </c>
    </row>
    <row r="23" spans="1:2" x14ac:dyDescent="0.3">
      <c r="A23" s="1">
        <v>22</v>
      </c>
      <c r="B23" s="1" t="s">
        <v>89</v>
      </c>
    </row>
    <row r="24" spans="1:2" x14ac:dyDescent="0.3">
      <c r="A24" s="1">
        <v>23</v>
      </c>
      <c r="B24" s="1" t="s">
        <v>37</v>
      </c>
    </row>
    <row r="25" spans="1:2" x14ac:dyDescent="0.3">
      <c r="A25" s="1">
        <v>24</v>
      </c>
      <c r="B25" s="1" t="s">
        <v>79</v>
      </c>
    </row>
    <row r="26" spans="1:2" x14ac:dyDescent="0.3">
      <c r="A26" s="1">
        <v>25</v>
      </c>
      <c r="B26" s="1" t="s">
        <v>80</v>
      </c>
    </row>
    <row r="27" spans="1:2" x14ac:dyDescent="0.3">
      <c r="A27" s="1">
        <v>26</v>
      </c>
      <c r="B27" s="1" t="s">
        <v>7</v>
      </c>
    </row>
    <row r="28" spans="1:2" x14ac:dyDescent="0.3">
      <c r="A28" s="1">
        <v>27</v>
      </c>
      <c r="B28" s="1" t="s">
        <v>132</v>
      </c>
    </row>
    <row r="29" spans="1:2" x14ac:dyDescent="0.3">
      <c r="A29" s="1">
        <v>28</v>
      </c>
      <c r="B29" s="1" t="s">
        <v>142</v>
      </c>
    </row>
    <row r="30" spans="1:2" x14ac:dyDescent="0.3">
      <c r="A30" s="1">
        <v>29</v>
      </c>
      <c r="B30" s="1" t="s">
        <v>81</v>
      </c>
    </row>
    <row r="31" spans="1:2" x14ac:dyDescent="0.3">
      <c r="A31" s="1">
        <v>30</v>
      </c>
      <c r="B31" s="1" t="s">
        <v>5</v>
      </c>
    </row>
    <row r="32" spans="1:2" x14ac:dyDescent="0.3">
      <c r="A32" s="1">
        <v>31</v>
      </c>
      <c r="B32" s="17" t="s">
        <v>73</v>
      </c>
    </row>
    <row r="33" spans="1:2" x14ac:dyDescent="0.3">
      <c r="A33" s="1">
        <v>32</v>
      </c>
      <c r="B33" s="1" t="s">
        <v>21</v>
      </c>
    </row>
    <row r="34" spans="1:2" x14ac:dyDescent="0.3">
      <c r="A34" s="1">
        <v>33</v>
      </c>
      <c r="B34" s="17" t="s">
        <v>74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23</v>
      </c>
    </row>
    <row r="37" spans="1:2" x14ac:dyDescent="0.3">
      <c r="A37" s="1">
        <v>36</v>
      </c>
      <c r="B37" s="1" t="s">
        <v>24</v>
      </c>
    </row>
    <row r="38" spans="1:2" x14ac:dyDescent="0.3">
      <c r="A38" s="1">
        <v>37</v>
      </c>
      <c r="B38" s="1" t="s">
        <v>91</v>
      </c>
    </row>
    <row r="39" spans="1:2" x14ac:dyDescent="0.3">
      <c r="A39" s="1">
        <v>38</v>
      </c>
      <c r="B39" s="1" t="s">
        <v>129</v>
      </c>
    </row>
    <row r="40" spans="1:2" x14ac:dyDescent="0.3">
      <c r="A40" s="1">
        <v>39</v>
      </c>
      <c r="B40" s="1" t="s">
        <v>27</v>
      </c>
    </row>
    <row r="41" spans="1:2" x14ac:dyDescent="0.3">
      <c r="A41" s="1">
        <v>40</v>
      </c>
      <c r="B41" s="1" t="s">
        <v>25</v>
      </c>
    </row>
    <row r="42" spans="1:2" x14ac:dyDescent="0.3">
      <c r="A42" s="1">
        <v>41</v>
      </c>
      <c r="B42" s="1" t="s">
        <v>26</v>
      </c>
    </row>
    <row r="43" spans="1:2" x14ac:dyDescent="0.3">
      <c r="A43" s="1">
        <v>42</v>
      </c>
      <c r="B43" s="1" t="s">
        <v>136</v>
      </c>
    </row>
    <row r="44" spans="1:2" x14ac:dyDescent="0.3">
      <c r="A44" s="1">
        <v>43</v>
      </c>
      <c r="B44" s="1" t="s">
        <v>28</v>
      </c>
    </row>
    <row r="45" spans="1:2" x14ac:dyDescent="0.3">
      <c r="A45" s="1">
        <v>44</v>
      </c>
      <c r="B45" s="1" t="s">
        <v>38</v>
      </c>
    </row>
    <row r="46" spans="1:2" x14ac:dyDescent="0.3">
      <c r="A46" s="1">
        <v>45</v>
      </c>
      <c r="B46" s="1" t="s">
        <v>39</v>
      </c>
    </row>
    <row r="47" spans="1:2" x14ac:dyDescent="0.3">
      <c r="A47" s="1">
        <v>46</v>
      </c>
      <c r="B47" s="1" t="s">
        <v>29</v>
      </c>
    </row>
    <row r="48" spans="1:2" x14ac:dyDescent="0.3">
      <c r="A48" s="1">
        <v>47</v>
      </c>
      <c r="B48" s="1" t="s">
        <v>131</v>
      </c>
    </row>
    <row r="49" spans="1:2" x14ac:dyDescent="0.3">
      <c r="A49" s="1">
        <v>48</v>
      </c>
      <c r="B49" s="1" t="s">
        <v>6</v>
      </c>
    </row>
    <row r="50" spans="1:2" x14ac:dyDescent="0.3">
      <c r="A50" s="1">
        <v>49</v>
      </c>
      <c r="B50" s="1" t="s">
        <v>40</v>
      </c>
    </row>
    <row r="51" spans="1:2" x14ac:dyDescent="0.3">
      <c r="A51" s="1">
        <v>50</v>
      </c>
      <c r="B51" s="1" t="s">
        <v>78</v>
      </c>
    </row>
    <row r="52" spans="1:2" x14ac:dyDescent="0.3">
      <c r="A52" s="1">
        <v>51</v>
      </c>
      <c r="B52" s="1" t="s">
        <v>41</v>
      </c>
    </row>
    <row r="53" spans="1:2" x14ac:dyDescent="0.3">
      <c r="A53" s="1">
        <v>52</v>
      </c>
      <c r="B53" s="1" t="s">
        <v>30</v>
      </c>
    </row>
    <row r="54" spans="1:2" x14ac:dyDescent="0.3">
      <c r="A54" s="1">
        <v>53</v>
      </c>
      <c r="B54" s="1" t="s">
        <v>32</v>
      </c>
    </row>
    <row r="55" spans="1:2" x14ac:dyDescent="0.3">
      <c r="A55" s="1">
        <v>54</v>
      </c>
      <c r="B55" s="1" t="s">
        <v>50</v>
      </c>
    </row>
    <row r="56" spans="1:2" x14ac:dyDescent="0.3">
      <c r="A56" s="1">
        <v>55</v>
      </c>
      <c r="B56" s="1" t="s">
        <v>31</v>
      </c>
    </row>
    <row r="57" spans="1:2" x14ac:dyDescent="0.3">
      <c r="A57" s="1">
        <v>56</v>
      </c>
      <c r="B57" s="1" t="s">
        <v>130</v>
      </c>
    </row>
    <row r="58" spans="1:2" x14ac:dyDescent="0.3">
      <c r="A58" s="1">
        <v>57</v>
      </c>
      <c r="B58" s="1" t="s">
        <v>51</v>
      </c>
    </row>
    <row r="59" spans="1:2" x14ac:dyDescent="0.3">
      <c r="A59" s="1">
        <v>58</v>
      </c>
      <c r="B59" s="1" t="s">
        <v>88</v>
      </c>
    </row>
    <row r="60" spans="1:2" x14ac:dyDescent="0.3">
      <c r="A60" s="1">
        <v>59</v>
      </c>
      <c r="B60" s="45" t="s">
        <v>102</v>
      </c>
    </row>
    <row r="61" spans="1:2" x14ac:dyDescent="0.3">
      <c r="A61" s="1">
        <v>60</v>
      </c>
      <c r="B61" s="45" t="s">
        <v>44</v>
      </c>
    </row>
    <row r="62" spans="1:2" x14ac:dyDescent="0.3">
      <c r="A62" s="1">
        <v>61</v>
      </c>
      <c r="B62" s="45" t="s">
        <v>145</v>
      </c>
    </row>
    <row r="63" spans="1:2" x14ac:dyDescent="0.3">
      <c r="A63" s="1">
        <v>62</v>
      </c>
      <c r="B63" s="45" t="s">
        <v>45</v>
      </c>
    </row>
    <row r="64" spans="1:2" x14ac:dyDescent="0.3">
      <c r="A64" s="1">
        <v>63</v>
      </c>
      <c r="B64" s="45" t="s">
        <v>103</v>
      </c>
    </row>
    <row r="65" spans="1:2" x14ac:dyDescent="0.3">
      <c r="A65" s="1">
        <v>64</v>
      </c>
      <c r="B65" s="45" t="s">
        <v>15</v>
      </c>
    </row>
    <row r="66" spans="1:2" x14ac:dyDescent="0.3">
      <c r="A66" s="1">
        <v>65</v>
      </c>
      <c r="B66" s="45" t="s">
        <v>146</v>
      </c>
    </row>
    <row r="67" spans="1:2" x14ac:dyDescent="0.3">
      <c r="A67" s="1">
        <v>66</v>
      </c>
      <c r="B67" s="45" t="s">
        <v>99</v>
      </c>
    </row>
    <row r="68" spans="1:2" x14ac:dyDescent="0.3">
      <c r="A68" s="1">
        <v>67</v>
      </c>
      <c r="B68" s="45" t="s">
        <v>46</v>
      </c>
    </row>
    <row r="69" spans="1:2" x14ac:dyDescent="0.3">
      <c r="A69" s="1">
        <v>68</v>
      </c>
      <c r="B69" s="45" t="s">
        <v>114</v>
      </c>
    </row>
    <row r="70" spans="1:2" x14ac:dyDescent="0.3">
      <c r="A70" s="1">
        <v>69</v>
      </c>
      <c r="B70" s="45" t="s">
        <v>8</v>
      </c>
    </row>
    <row r="71" spans="1:2" x14ac:dyDescent="0.3">
      <c r="A71" s="1">
        <v>70</v>
      </c>
      <c r="B71" s="45" t="s">
        <v>100</v>
      </c>
    </row>
    <row r="72" spans="1:2" x14ac:dyDescent="0.3">
      <c r="A72" s="1">
        <v>71</v>
      </c>
      <c r="B72" s="45" t="s">
        <v>9</v>
      </c>
    </row>
    <row r="73" spans="1:2" x14ac:dyDescent="0.3">
      <c r="A73" s="1">
        <v>72</v>
      </c>
      <c r="B73" s="45" t="s">
        <v>101</v>
      </c>
    </row>
    <row r="74" spans="1:2" x14ac:dyDescent="0.3">
      <c r="A74" s="1">
        <v>73</v>
      </c>
      <c r="B74" s="45" t="s">
        <v>10</v>
      </c>
    </row>
    <row r="75" spans="1:2" x14ac:dyDescent="0.3">
      <c r="A75" s="1">
        <v>74</v>
      </c>
      <c r="B75" s="45" t="s">
        <v>16</v>
      </c>
    </row>
    <row r="76" spans="1:2" x14ac:dyDescent="0.3">
      <c r="A76" s="1">
        <v>75</v>
      </c>
      <c r="B76" s="45" t="s">
        <v>42</v>
      </c>
    </row>
    <row r="77" spans="1:2" x14ac:dyDescent="0.3">
      <c r="A77" s="1">
        <v>76</v>
      </c>
      <c r="B77" s="45" t="s">
        <v>58</v>
      </c>
    </row>
    <row r="78" spans="1:2" x14ac:dyDescent="0.3">
      <c r="A78" s="1">
        <v>77</v>
      </c>
      <c r="B78" s="45" t="s">
        <v>14</v>
      </c>
    </row>
    <row r="79" spans="1:2" x14ac:dyDescent="0.3">
      <c r="A79" s="1">
        <v>78</v>
      </c>
      <c r="B79" s="45" t="s">
        <v>143</v>
      </c>
    </row>
    <row r="80" spans="1:2" x14ac:dyDescent="0.3">
      <c r="A80" s="1">
        <v>79</v>
      </c>
      <c r="B80" s="45" t="s">
        <v>115</v>
      </c>
    </row>
    <row r="81" spans="1:2" x14ac:dyDescent="0.3">
      <c r="A81" s="1">
        <v>80</v>
      </c>
      <c r="B81" s="45" t="s">
        <v>43</v>
      </c>
    </row>
    <row r="82" spans="1:2" x14ac:dyDescent="0.3">
      <c r="A82" s="1">
        <v>81</v>
      </c>
      <c r="B82" s="45" t="s">
        <v>144</v>
      </c>
    </row>
  </sheetData>
  <autoFilter ref="B1:B314" xr:uid="{00000000-0009-0000-0000-000002000000}"/>
  <sortState ref="B1:B313">
    <sortCondition ref="B1:B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11</vt:lpstr>
      <vt:lpstr>7777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2023-06-06T08:45:47Z</dcterms:modified>
</cp:coreProperties>
</file>