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batros\"/>
    </mc:Choice>
  </mc:AlternateContent>
  <xr:revisionPtr revIDLastSave="0" documentId="13_ncr:1_{A0A3F0D9-2DC2-4282-B7DE-0590981760D0}" xr6:coauthVersionLast="47" xr6:coauthVersionMax="47" xr10:uidLastSave="{00000000-0000-0000-0000-000000000000}"/>
  <bookViews>
    <workbookView xWindow="-108" yWindow="-108" windowWidth="23256" windowHeight="12576" activeTab="1" xr2:uid="{C01D6DD0-F831-467C-A308-C5370A17D9FB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T2" i="2"/>
  <c r="O2" i="2"/>
  <c r="B16" i="2"/>
  <c r="P3" i="2" s="1"/>
  <c r="N2" i="2"/>
  <c r="B17" i="2"/>
  <c r="B24" i="2"/>
  <c r="B25" i="2" s="1"/>
  <c r="B21" i="2"/>
  <c r="M3" i="2"/>
  <c r="M4" i="2"/>
  <c r="M5" i="2"/>
  <c r="M6" i="2"/>
  <c r="M7" i="2"/>
  <c r="M8" i="2"/>
  <c r="M9" i="2"/>
  <c r="M10" i="2"/>
  <c r="M11" i="2"/>
  <c r="M2" i="2"/>
  <c r="P9" i="2" l="1"/>
  <c r="P7" i="2"/>
  <c r="P6" i="2"/>
  <c r="P2" i="2"/>
  <c r="R2" i="2" s="1"/>
  <c r="P8" i="2"/>
  <c r="P5" i="2"/>
  <c r="R5" i="2" s="1"/>
  <c r="P4" i="2"/>
  <c r="R9" i="2"/>
  <c r="R6" i="2"/>
  <c r="R7" i="2"/>
  <c r="R8" i="2"/>
  <c r="R4" i="2"/>
  <c r="R3" i="2"/>
  <c r="E3" i="2"/>
  <c r="E4" i="2"/>
  <c r="E5" i="2"/>
  <c r="E6" i="2"/>
  <c r="E7" i="2"/>
  <c r="E8" i="2"/>
  <c r="E9" i="2"/>
  <c r="E2" i="2"/>
  <c r="B9" i="2" l="1"/>
  <c r="I11" i="2" s="1"/>
  <c r="B11" i="2"/>
  <c r="B10" i="2"/>
  <c r="J11" i="2" l="1"/>
  <c r="F7" i="2"/>
  <c r="F2" i="2"/>
  <c r="F3" i="2"/>
  <c r="F4" i="2"/>
  <c r="F5" i="2"/>
  <c r="F6" i="2"/>
  <c r="F8" i="2"/>
  <c r="F9" i="2"/>
  <c r="I7" i="2"/>
  <c r="J7" i="2" s="1"/>
  <c r="I5" i="2"/>
  <c r="J5" i="2" s="1"/>
  <c r="I9" i="2"/>
  <c r="I4" i="2"/>
  <c r="J4" i="2" s="1"/>
  <c r="I2" i="2"/>
  <c r="J2" i="2" s="1"/>
  <c r="I10" i="2"/>
  <c r="J10" i="2" s="1"/>
  <c r="I6" i="2"/>
  <c r="J6" i="2" s="1"/>
  <c r="I3" i="2"/>
  <c r="J3" i="2" s="1"/>
  <c r="I8" i="2"/>
  <c r="J8" i="2" s="1"/>
  <c r="J9" i="2"/>
  <c r="B7" i="2"/>
  <c r="H2" i="1"/>
  <c r="F2" i="1"/>
  <c r="F23" i="1" s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K8" i="2" l="1"/>
  <c r="L8" i="2"/>
  <c r="L7" i="2"/>
  <c r="K7" i="2"/>
  <c r="N7" i="2" s="1"/>
  <c r="O7" i="2" s="1"/>
  <c r="L4" i="2"/>
  <c r="N4" i="2" s="1"/>
  <c r="O4" i="2" s="1"/>
  <c r="K4" i="2"/>
  <c r="K5" i="2"/>
  <c r="L5" i="2"/>
  <c r="N5" i="2" s="1"/>
  <c r="O5" i="2" s="1"/>
  <c r="N8" i="2"/>
  <c r="O8" i="2" s="1"/>
  <c r="K9" i="2"/>
  <c r="N9" i="2" s="1"/>
  <c r="O9" i="2" s="1"/>
  <c r="L9" i="2"/>
  <c r="N3" i="2"/>
  <c r="O3" i="2" s="1"/>
  <c r="L10" i="2"/>
  <c r="K10" i="2"/>
  <c r="K6" i="2"/>
  <c r="N6" i="2" s="1"/>
  <c r="O6" i="2" s="1"/>
  <c r="L6" i="2"/>
  <c r="L11" i="2"/>
  <c r="K11" i="2"/>
  <c r="L3" i="2"/>
  <c r="K3" i="2"/>
  <c r="K2" i="2"/>
  <c r="L2" i="2"/>
  <c r="H23" i="1"/>
  <c r="E2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I22" i="1" l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K2" i="1" s="1"/>
  <c r="G23" i="1"/>
  <c r="J22" i="1" l="1"/>
  <c r="J21" i="1"/>
  <c r="J20" i="1" s="1"/>
  <c r="J19" i="1" s="1"/>
  <c r="J18" i="1" s="1"/>
  <c r="J17" i="1" s="1"/>
  <c r="J16" i="1" s="1"/>
  <c r="J15" i="1" s="1"/>
  <c r="J14" i="1" s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L2" i="1" s="1"/>
</calcChain>
</file>

<file path=xl/sharedStrings.xml><?xml version="1.0" encoding="utf-8"?>
<sst xmlns="http://schemas.openxmlformats.org/spreadsheetml/2006/main" count="57" uniqueCount="56">
  <si>
    <t>M [kg]</t>
  </si>
  <si>
    <t>b [m]</t>
  </si>
  <si>
    <t>c [m]</t>
  </si>
  <si>
    <t>L eliptical</t>
  </si>
  <si>
    <t>L rectangular</t>
  </si>
  <si>
    <t>L Shrenk</t>
  </si>
  <si>
    <t>2y/b</t>
  </si>
  <si>
    <t>taper ratio</t>
  </si>
  <si>
    <t>g [m/s2]</t>
  </si>
  <si>
    <t>Wing mass</t>
  </si>
  <si>
    <t>Shear force</t>
  </si>
  <si>
    <t>Bending momentum</t>
  </si>
  <si>
    <t>Bending stress</t>
  </si>
  <si>
    <t>a [mm]</t>
  </si>
  <si>
    <t>a' [mm]</t>
  </si>
  <si>
    <t>Shear stress</t>
  </si>
  <si>
    <t xml:space="preserve"> </t>
  </si>
  <si>
    <t>Cz</t>
  </si>
  <si>
    <t>Cx</t>
  </si>
  <si>
    <t>Cm</t>
  </si>
  <si>
    <t>Cmbu</t>
  </si>
  <si>
    <t>Cmsa</t>
  </si>
  <si>
    <t>dCm</t>
  </si>
  <si>
    <t>xSC [m]</t>
  </si>
  <si>
    <t>zSC [m]</t>
  </si>
  <si>
    <t>chord [m]</t>
  </si>
  <si>
    <t>span [m]</t>
  </si>
  <si>
    <t>gap [m]</t>
  </si>
  <si>
    <t>xSC [-]</t>
  </si>
  <si>
    <t>zSC [-]</t>
  </si>
  <si>
    <t>xSA [m]</t>
  </si>
  <si>
    <t>dCx</t>
  </si>
  <si>
    <t>dCm'</t>
  </si>
  <si>
    <t>stagger [m]</t>
  </si>
  <si>
    <t>Area [m2]</t>
  </si>
  <si>
    <t>tab III shit</t>
  </si>
  <si>
    <t>Moment</t>
  </si>
  <si>
    <t>V</t>
  </si>
  <si>
    <t>Mass [kg]</t>
  </si>
  <si>
    <t>rho [kg/m3]</t>
  </si>
  <si>
    <t>Siła na usterzeniu</t>
  </si>
  <si>
    <t>Area H [m2]</t>
  </si>
  <si>
    <t>CzH</t>
  </si>
  <si>
    <t>1-de/da</t>
  </si>
  <si>
    <t>alfa [stopnie]</t>
  </si>
  <si>
    <t>alfa [rad]</t>
  </si>
  <si>
    <t>alfaH [rad]</t>
  </si>
  <si>
    <t>alfa H' [stopnie]</t>
  </si>
  <si>
    <t>(Voo/VH)2</t>
  </si>
  <si>
    <t>xH [m]</t>
  </si>
  <si>
    <t>ah1t</t>
  </si>
  <si>
    <t>ah1o</t>
  </si>
  <si>
    <t>tauH</t>
  </si>
  <si>
    <t>kH</t>
  </si>
  <si>
    <t>1/a1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</si>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</sst>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Arkusz1!$G$2:$G$22</c:f>
              <c:numCache>
                <c:formatCode>General</c:formatCode>
                <c:ptCount val="21"/>
                <c:pt idx="0">
                  <c:v>10.595737261146496</c:v>
                </c:pt>
                <c:pt idx="1">
                  <c:v>10.58831263377408</c:v>
                </c:pt>
                <c:pt idx="2">
                  <c:v>10.565982751665697</c:v>
                </c:pt>
                <c:pt idx="3">
                  <c:v>10.528577481472972</c:v>
                </c:pt>
                <c:pt idx="4">
                  <c:v>10.47580596378798</c:v>
                </c:pt>
                <c:pt idx="5">
                  <c:v>10.40724495142994</c:v>
                </c:pt>
                <c:pt idx="6">
                  <c:v>10.322320947519252</c:v>
                </c:pt>
                <c:pt idx="7">
                  <c:v>10.220284284656739</c:v>
                </c:pt>
                <c:pt idx="8">
                  <c:v>10.100172189699483</c:v>
                </c:pt>
                <c:pt idx="9">
                  <c:v>9.9607561261692155</c:v>
                </c:pt>
                <c:pt idx="10">
                  <c:v>9.8004657646936781</c:v>
                </c:pt>
                <c:pt idx="11">
                  <c:v>9.6172767496236666</c:v>
                </c:pt>
                <c:pt idx="12">
                  <c:v>9.4085398089171974</c:v>
                </c:pt>
                <c:pt idx="13">
                  <c:v>9.1707097760892289</c:v>
                </c:pt>
                <c:pt idx="14">
                  <c:v>8.8988928178219808</c:v>
                </c:pt>
                <c:pt idx="15">
                  <c:v>8.5860365196602633</c:v>
                </c:pt>
                <c:pt idx="16">
                  <c:v>8.2213423566878969</c:v>
                </c:pt>
                <c:pt idx="17">
                  <c:v>7.7867253232392066</c:v>
                </c:pt>
                <c:pt idx="18">
                  <c:v>7.2471868601482354</c:v>
                </c:pt>
                <c:pt idx="19">
                  <c:v>6.5132614282189127</c:v>
                </c:pt>
                <c:pt idx="20">
                  <c:v>4.6597499999999998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83-4E5F-B858-AF45A6C60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39216"/>
        <c:axId val="961037776"/>
      </c:scatterChart>
      <c:valAx>
        <c:axId val="96103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037776"/>
        <c:crosses val="autoZero"/>
        <c:crossBetween val="midCat"/>
      </c:valAx>
      <c:valAx>
        <c:axId val="96103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03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0</xdr:rowOff>
    </xdr:from>
    <xdr:to>
      <xdr:col>21</xdr:col>
      <xdr:colOff>320040</xdr:colOff>
      <xdr:row>15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4143C79-FB07-4D3F-7967-73F3CF1B3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44EF7-BECD-4C11-93B5-843D9A0C3771}">
  <dimension ref="A1:L23"/>
  <sheetViews>
    <sheetView workbookViewId="0">
      <selection activeCell="B1" sqref="B1"/>
    </sheetView>
  </sheetViews>
  <sheetFormatPr defaultRowHeight="14.4" x14ac:dyDescent="0.3"/>
  <cols>
    <col min="8" max="8" width="12" bestFit="1" customWidth="1"/>
    <col min="11" max="11" width="11" bestFit="1" customWidth="1"/>
  </cols>
  <sheetData>
    <row r="1" spans="1:12" x14ac:dyDescent="0.3">
      <c r="A1" t="s">
        <v>0</v>
      </c>
      <c r="B1">
        <v>3.8</v>
      </c>
      <c r="D1" t="s">
        <v>6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K1" t="s">
        <v>15</v>
      </c>
      <c r="L1" t="s">
        <v>12</v>
      </c>
    </row>
    <row r="2" spans="1:12" x14ac:dyDescent="0.3">
      <c r="A2" t="s">
        <v>1</v>
      </c>
      <c r="B2">
        <v>2</v>
      </c>
      <c r="D2">
        <v>0</v>
      </c>
      <c r="E2">
        <f>4*$B$1*0.5*$B$5/(3.14*$B$2)*(1-D2^2)^0.5</f>
        <v>11.871974522292993</v>
      </c>
      <c r="F2">
        <f>$B$1*0.5*$B$5/($B$2)</f>
        <v>9.3194999999999997</v>
      </c>
      <c r="G2">
        <f>0.5*(E2+F2)</f>
        <v>10.595737261146496</v>
      </c>
      <c r="H2">
        <f>($B$6^2-$B$7^2)/100*5*2.71*0.001*$B$5+0.01</f>
        <v>9.3743065E-2</v>
      </c>
      <c r="I2">
        <f t="shared" ref="I2:I21" si="0">G2*0.05-H2+I3</f>
        <v>7.7151647348211068</v>
      </c>
      <c r="J2">
        <f t="shared" ref="J2:J21" si="1">I2*0.05+J3</f>
        <v>3.8058889299383885</v>
      </c>
      <c r="K2">
        <f>(I2/B6)/1.5</f>
        <v>0.42862026304561707</v>
      </c>
      <c r="L2">
        <f>(J2*1000/B6)/(B6*1.5)</f>
        <v>17.619856157122168</v>
      </c>
    </row>
    <row r="3" spans="1:12" x14ac:dyDescent="0.3">
      <c r="A3" t="s">
        <v>2</v>
      </c>
      <c r="B3">
        <v>0.27</v>
      </c>
      <c r="D3">
        <v>0.05</v>
      </c>
      <c r="E3">
        <f t="shared" ref="E3:E22" si="2">4*$B$1*0.5*$B$5/(3.14*$B$2)*(1-D3^2)^0.5</f>
        <v>11.85712526754816</v>
      </c>
      <c r="F3">
        <f t="shared" ref="F3:F22" si="3">2*$B$1*0.5*$B$5/($B$2*(1+$B$4))*(1-D3*(1-$B$4))</f>
        <v>9.3194999999999997</v>
      </c>
      <c r="G3">
        <f t="shared" ref="G3:G22" si="4">0.5*(E3+F3)</f>
        <v>10.58831263377408</v>
      </c>
      <c r="H3">
        <f t="shared" ref="H3:H22" si="5">($B$6^2-$B$7^2)/100*5*2.71*0.001*$B$5+0.01</f>
        <v>9.3743065E-2</v>
      </c>
      <c r="I3">
        <f t="shared" si="0"/>
        <v>7.2791209367637819</v>
      </c>
      <c r="J3">
        <f t="shared" si="1"/>
        <v>3.4201306931973332</v>
      </c>
    </row>
    <row r="4" spans="1:12" x14ac:dyDescent="0.3">
      <c r="A4" t="s">
        <v>7</v>
      </c>
      <c r="B4">
        <v>1</v>
      </c>
      <c r="D4">
        <v>0.1</v>
      </c>
      <c r="E4">
        <f t="shared" si="2"/>
        <v>11.812465503331394</v>
      </c>
      <c r="F4">
        <f t="shared" si="3"/>
        <v>9.3194999999999997</v>
      </c>
      <c r="G4">
        <f t="shared" si="4"/>
        <v>10.565982751665697</v>
      </c>
      <c r="H4">
        <f t="shared" si="5"/>
        <v>9.3743065E-2</v>
      </c>
      <c r="I4">
        <f t="shared" si="0"/>
        <v>6.8434483700750777</v>
      </c>
      <c r="J4">
        <f t="shared" si="1"/>
        <v>3.0561746463591439</v>
      </c>
    </row>
    <row r="5" spans="1:12" x14ac:dyDescent="0.3">
      <c r="A5" t="s">
        <v>8</v>
      </c>
      <c r="B5">
        <v>9.81</v>
      </c>
      <c r="D5">
        <v>0.15</v>
      </c>
      <c r="E5">
        <f t="shared" si="2"/>
        <v>11.737654962945943</v>
      </c>
      <c r="F5">
        <f t="shared" si="3"/>
        <v>9.3194999999999997</v>
      </c>
      <c r="G5">
        <f t="shared" si="4"/>
        <v>10.528577481472972</v>
      </c>
      <c r="H5">
        <f t="shared" si="5"/>
        <v>9.3743065E-2</v>
      </c>
      <c r="I5">
        <f t="shared" si="0"/>
        <v>6.4088922974917928</v>
      </c>
      <c r="J5">
        <f t="shared" si="1"/>
        <v>2.7140022278553899</v>
      </c>
    </row>
    <row r="6" spans="1:12" x14ac:dyDescent="0.3">
      <c r="A6" t="s">
        <v>13</v>
      </c>
      <c r="B6">
        <v>12</v>
      </c>
      <c r="D6">
        <v>0.2</v>
      </c>
      <c r="E6">
        <f t="shared" si="2"/>
        <v>11.632111927575963</v>
      </c>
      <c r="F6">
        <f t="shared" si="3"/>
        <v>9.3194999999999997</v>
      </c>
      <c r="G6">
        <f t="shared" si="4"/>
        <v>10.47580596378798</v>
      </c>
      <c r="H6">
        <f t="shared" si="5"/>
        <v>9.3743065E-2</v>
      </c>
      <c r="I6">
        <f t="shared" si="0"/>
        <v>5.9762064884181445</v>
      </c>
      <c r="J6">
        <f t="shared" si="1"/>
        <v>2.3935576129808003</v>
      </c>
    </row>
    <row r="7" spans="1:12" x14ac:dyDescent="0.3">
      <c r="A7" t="s">
        <v>14</v>
      </c>
      <c r="B7">
        <v>9</v>
      </c>
      <c r="D7">
        <v>0.25</v>
      </c>
      <c r="E7">
        <f t="shared" si="2"/>
        <v>11.49498990285988</v>
      </c>
      <c r="F7">
        <f t="shared" si="3"/>
        <v>9.3194999999999997</v>
      </c>
      <c r="G7">
        <f t="shared" si="4"/>
        <v>10.40724495142994</v>
      </c>
      <c r="H7">
        <f t="shared" si="5"/>
        <v>9.3743065E-2</v>
      </c>
      <c r="I7">
        <f t="shared" si="0"/>
        <v>5.5461592552287451</v>
      </c>
      <c r="J7">
        <f t="shared" si="1"/>
        <v>2.0947472885598932</v>
      </c>
    </row>
    <row r="8" spans="1:12" x14ac:dyDescent="0.3">
      <c r="B8" t="s">
        <v>16</v>
      </c>
      <c r="D8">
        <v>0.3</v>
      </c>
      <c r="E8">
        <f t="shared" si="2"/>
        <v>11.325141895038502</v>
      </c>
      <c r="F8">
        <f t="shared" si="3"/>
        <v>9.3194999999999997</v>
      </c>
      <c r="G8">
        <f t="shared" si="4"/>
        <v>10.322320947519252</v>
      </c>
      <c r="H8">
        <f t="shared" si="5"/>
        <v>9.3743065E-2</v>
      </c>
      <c r="I8">
        <f t="shared" si="0"/>
        <v>5.119540072657248</v>
      </c>
      <c r="J8">
        <f t="shared" si="1"/>
        <v>1.8174393257984558</v>
      </c>
    </row>
    <row r="9" spans="1:12" x14ac:dyDescent="0.3">
      <c r="D9">
        <v>0.35</v>
      </c>
      <c r="E9">
        <f t="shared" si="2"/>
        <v>11.121068569313477</v>
      </c>
      <c r="F9">
        <f t="shared" si="3"/>
        <v>9.3194999999999997</v>
      </c>
      <c r="G9">
        <f t="shared" si="4"/>
        <v>10.220284284656739</v>
      </c>
      <c r="H9">
        <f t="shared" si="5"/>
        <v>9.3743065E-2</v>
      </c>
      <c r="I9">
        <f t="shared" si="0"/>
        <v>4.697167090281285</v>
      </c>
      <c r="J9">
        <f t="shared" si="1"/>
        <v>1.5614623221655934</v>
      </c>
    </row>
    <row r="10" spans="1:12" x14ac:dyDescent="0.3">
      <c r="D10">
        <v>0.4</v>
      </c>
      <c r="E10">
        <f t="shared" si="2"/>
        <v>10.880844379398967</v>
      </c>
      <c r="F10">
        <f t="shared" si="3"/>
        <v>9.3194999999999997</v>
      </c>
      <c r="G10">
        <f t="shared" si="4"/>
        <v>10.100172189699483</v>
      </c>
      <c r="H10">
        <f t="shared" si="5"/>
        <v>9.3743065E-2</v>
      </c>
      <c r="I10">
        <f t="shared" si="0"/>
        <v>4.2798959410484478</v>
      </c>
      <c r="J10">
        <f t="shared" si="1"/>
        <v>1.3266039676515291</v>
      </c>
    </row>
    <row r="11" spans="1:12" x14ac:dyDescent="0.3">
      <c r="D11">
        <v>0.45</v>
      </c>
      <c r="E11">
        <f t="shared" si="2"/>
        <v>10.602012252338431</v>
      </c>
      <c r="F11">
        <f t="shared" si="3"/>
        <v>9.3194999999999997</v>
      </c>
      <c r="G11">
        <f t="shared" si="4"/>
        <v>9.9607561261692155</v>
      </c>
      <c r="H11">
        <f t="shared" si="5"/>
        <v>9.3743065E-2</v>
      </c>
      <c r="I11">
        <f t="shared" si="0"/>
        <v>3.8686303965634741</v>
      </c>
      <c r="J11">
        <f t="shared" si="1"/>
        <v>1.1126091705991066</v>
      </c>
    </row>
    <row r="12" spans="1:12" x14ac:dyDescent="0.3">
      <c r="D12">
        <v>0.5</v>
      </c>
      <c r="E12">
        <f t="shared" si="2"/>
        <v>10.281431529387357</v>
      </c>
      <c r="F12">
        <f t="shared" si="3"/>
        <v>9.3194999999999997</v>
      </c>
      <c r="G12">
        <f t="shared" si="4"/>
        <v>9.8004657646936781</v>
      </c>
      <c r="H12">
        <f t="shared" si="5"/>
        <v>9.3743065E-2</v>
      </c>
      <c r="I12">
        <f t="shared" si="0"/>
        <v>3.4643356552550135</v>
      </c>
      <c r="J12">
        <f t="shared" si="1"/>
        <v>0.91917765077093294</v>
      </c>
    </row>
    <row r="13" spans="1:12" x14ac:dyDescent="0.3">
      <c r="D13">
        <v>0.55000000000000004</v>
      </c>
      <c r="E13">
        <f t="shared" si="2"/>
        <v>9.9150534992473354</v>
      </c>
      <c r="F13">
        <f t="shared" si="3"/>
        <v>9.3194999999999997</v>
      </c>
      <c r="G13">
        <f t="shared" si="4"/>
        <v>9.6172767496236666</v>
      </c>
      <c r="H13">
        <f t="shared" si="5"/>
        <v>9.3743065E-2</v>
      </c>
      <c r="I13">
        <f t="shared" si="0"/>
        <v>3.0680554320203295</v>
      </c>
      <c r="J13">
        <f t="shared" si="1"/>
        <v>0.74596086800818229</v>
      </c>
    </row>
    <row r="14" spans="1:12" x14ac:dyDescent="0.3">
      <c r="D14">
        <v>0.6</v>
      </c>
      <c r="E14">
        <f t="shared" si="2"/>
        <v>9.4975796178343952</v>
      </c>
      <c r="F14">
        <f t="shared" si="3"/>
        <v>9.3194999999999997</v>
      </c>
      <c r="G14">
        <f t="shared" si="4"/>
        <v>9.4085398089171974</v>
      </c>
      <c r="H14">
        <f t="shared" si="5"/>
        <v>9.3743065E-2</v>
      </c>
      <c r="I14">
        <f t="shared" si="0"/>
        <v>2.6809346595391461</v>
      </c>
      <c r="J14">
        <f t="shared" si="1"/>
        <v>0.59255809640716584</v>
      </c>
    </row>
    <row r="15" spans="1:12" x14ac:dyDescent="0.3">
      <c r="D15">
        <v>0.65</v>
      </c>
      <c r="E15">
        <f t="shared" si="2"/>
        <v>9.0219195521784581</v>
      </c>
      <c r="F15">
        <f t="shared" si="3"/>
        <v>9.3194999999999997</v>
      </c>
      <c r="G15">
        <f t="shared" si="4"/>
        <v>9.1707097760892289</v>
      </c>
      <c r="H15">
        <f t="shared" si="5"/>
        <v>9.3743065E-2</v>
      </c>
      <c r="I15">
        <f t="shared" si="0"/>
        <v>2.3042507340932863</v>
      </c>
      <c r="J15">
        <f t="shared" si="1"/>
        <v>0.45851136343020854</v>
      </c>
    </row>
    <row r="16" spans="1:12" x14ac:dyDescent="0.3">
      <c r="D16">
        <v>0.7</v>
      </c>
      <c r="E16">
        <f t="shared" si="2"/>
        <v>8.4782856356439602</v>
      </c>
      <c r="F16">
        <f t="shared" si="3"/>
        <v>9.3194999999999997</v>
      </c>
      <c r="G16">
        <f t="shared" si="4"/>
        <v>8.8988928178219808</v>
      </c>
      <c r="H16">
        <f t="shared" si="5"/>
        <v>9.3743065E-2</v>
      </c>
      <c r="I16">
        <f t="shared" si="0"/>
        <v>1.9394583102888248</v>
      </c>
      <c r="J16">
        <f t="shared" si="1"/>
        <v>0.34329882672554424</v>
      </c>
    </row>
    <row r="17" spans="4:10" x14ac:dyDescent="0.3">
      <c r="D17">
        <v>0.75</v>
      </c>
      <c r="E17">
        <f t="shared" si="2"/>
        <v>7.852573039320526</v>
      </c>
      <c r="F17">
        <f t="shared" si="3"/>
        <v>9.3194999999999997</v>
      </c>
      <c r="G17">
        <f t="shared" si="4"/>
        <v>8.5860365196602633</v>
      </c>
      <c r="H17">
        <f t="shared" si="5"/>
        <v>9.3743065E-2</v>
      </c>
      <c r="I17">
        <f t="shared" si="0"/>
        <v>1.5882567343977256</v>
      </c>
      <c r="J17">
        <f t="shared" si="1"/>
        <v>0.24632591121110298</v>
      </c>
    </row>
    <row r="18" spans="4:10" x14ac:dyDescent="0.3">
      <c r="D18">
        <v>0.8</v>
      </c>
      <c r="E18">
        <f t="shared" si="2"/>
        <v>7.1231847133757942</v>
      </c>
      <c r="F18">
        <f t="shared" si="3"/>
        <v>9.3194999999999997</v>
      </c>
      <c r="G18">
        <f t="shared" si="4"/>
        <v>8.2213423566878969</v>
      </c>
      <c r="H18">
        <f t="shared" si="5"/>
        <v>9.3743065E-2</v>
      </c>
      <c r="I18">
        <f t="shared" si="0"/>
        <v>1.2526979734147126</v>
      </c>
      <c r="J18">
        <f t="shared" si="1"/>
        <v>0.16691307449121667</v>
      </c>
    </row>
    <row r="19" spans="4:10" x14ac:dyDescent="0.3">
      <c r="D19">
        <v>0.85</v>
      </c>
      <c r="E19">
        <f t="shared" si="2"/>
        <v>6.2539506464784145</v>
      </c>
      <c r="F19">
        <f t="shared" si="3"/>
        <v>9.3194999999999997</v>
      </c>
      <c r="G19">
        <f t="shared" si="4"/>
        <v>7.7867253232392066</v>
      </c>
      <c r="H19">
        <f t="shared" si="5"/>
        <v>9.3743065E-2</v>
      </c>
      <c r="I19">
        <f t="shared" si="0"/>
        <v>0.93537392058031776</v>
      </c>
      <c r="J19">
        <f t="shared" si="1"/>
        <v>0.10427817582048104</v>
      </c>
    </row>
    <row r="20" spans="4:10" x14ac:dyDescent="0.3">
      <c r="D20">
        <v>0.9</v>
      </c>
      <c r="E20">
        <f t="shared" si="2"/>
        <v>5.1748737202964712</v>
      </c>
      <c r="F20">
        <f t="shared" si="3"/>
        <v>9.3194999999999997</v>
      </c>
      <c r="G20">
        <f t="shared" si="4"/>
        <v>7.2471868601482354</v>
      </c>
      <c r="H20">
        <f t="shared" si="5"/>
        <v>9.3743065E-2</v>
      </c>
      <c r="I20">
        <f t="shared" si="0"/>
        <v>0.63978071941835735</v>
      </c>
      <c r="J20">
        <f t="shared" si="1"/>
        <v>5.7509479791465146E-2</v>
      </c>
    </row>
    <row r="21" spans="4:10" x14ac:dyDescent="0.3">
      <c r="D21">
        <v>0.95</v>
      </c>
      <c r="E21">
        <f t="shared" si="2"/>
        <v>3.7070228564378267</v>
      </c>
      <c r="F21">
        <f t="shared" si="3"/>
        <v>9.3194999999999997</v>
      </c>
      <c r="G21">
        <f t="shared" si="4"/>
        <v>6.5132614282189127</v>
      </c>
      <c r="H21">
        <f t="shared" si="5"/>
        <v>9.3743065E-2</v>
      </c>
      <c r="I21">
        <f t="shared" si="0"/>
        <v>0.37116444141094562</v>
      </c>
      <c r="J21">
        <f t="shared" si="1"/>
        <v>2.5520443820547283E-2</v>
      </c>
    </row>
    <row r="22" spans="4:10" x14ac:dyDescent="0.3">
      <c r="D22">
        <v>1</v>
      </c>
      <c r="E22">
        <f t="shared" si="2"/>
        <v>0</v>
      </c>
      <c r="F22">
        <f t="shared" si="3"/>
        <v>9.3194999999999997</v>
      </c>
      <c r="G22">
        <f t="shared" si="4"/>
        <v>4.6597499999999998</v>
      </c>
      <c r="H22">
        <f t="shared" si="5"/>
        <v>9.3743065E-2</v>
      </c>
      <c r="I22">
        <f>G22*0.05-H22+I23</f>
        <v>0.139244435</v>
      </c>
      <c r="J22">
        <f>I22*0.05+I23</f>
        <v>6.9622217500000007E-3</v>
      </c>
    </row>
    <row r="23" spans="4:10" x14ac:dyDescent="0.3">
      <c r="E23">
        <f>SUM(E2:E22)</f>
        <v>191.64126399284424</v>
      </c>
      <c r="F23">
        <f>SUM(F2:F22)</f>
        <v>195.70950000000005</v>
      </c>
      <c r="G23">
        <f t="shared" ref="G23" si="6">SUM(G2:G22)</f>
        <v>193.67538199642215</v>
      </c>
      <c r="H23">
        <f>SUM(H2:H22)</f>
        <v>1.9686043649999994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A83F7-2AE5-4CA3-B750-D19428212A24}">
  <dimension ref="A1:T25"/>
  <sheetViews>
    <sheetView tabSelected="1" workbookViewId="0">
      <selection activeCell="Q3" sqref="Q3"/>
    </sheetView>
  </sheetViews>
  <sheetFormatPr defaultRowHeight="14.4" x14ac:dyDescent="0.3"/>
  <sheetData>
    <row r="1" spans="1:20" x14ac:dyDescent="0.3">
      <c r="A1" t="s">
        <v>30</v>
      </c>
      <c r="B1">
        <v>0.875</v>
      </c>
      <c r="D1" t="s">
        <v>44</v>
      </c>
      <c r="E1" t="s">
        <v>45</v>
      </c>
      <c r="F1" t="s">
        <v>37</v>
      </c>
      <c r="G1" t="s">
        <v>17</v>
      </c>
      <c r="H1" t="s">
        <v>18</v>
      </c>
      <c r="I1" t="s">
        <v>31</v>
      </c>
      <c r="J1" t="s">
        <v>19</v>
      </c>
      <c r="K1" t="s">
        <v>22</v>
      </c>
      <c r="L1" s="1" t="s">
        <v>32</v>
      </c>
      <c r="M1" t="s">
        <v>20</v>
      </c>
      <c r="N1" t="s">
        <v>36</v>
      </c>
      <c r="O1" t="s">
        <v>40</v>
      </c>
      <c r="P1" t="s">
        <v>42</v>
      </c>
      <c r="Q1" t="s">
        <v>46</v>
      </c>
      <c r="R1" t="s">
        <v>47</v>
      </c>
    </row>
    <row r="2" spans="1:20" x14ac:dyDescent="0.3">
      <c r="A2" t="s">
        <v>23</v>
      </c>
      <c r="B2">
        <v>0.84699999999999998</v>
      </c>
      <c r="D2">
        <v>12.01</v>
      </c>
      <c r="E2">
        <f>RADIANS(D2)</f>
        <v>0.20961404316451898</v>
      </c>
      <c r="F2">
        <f>(2*$B$14*$B$15/($B$13*$B$9*G2))^0.5</f>
        <v>6.4371247175934014</v>
      </c>
      <c r="G2">
        <v>1.36</v>
      </c>
      <c r="H2">
        <v>0.16900000000000001</v>
      </c>
      <c r="I2">
        <f>H2+G2^2*$B$9/(3.14*$B$5^2*1.05)</f>
        <v>0.32046860782529574</v>
      </c>
      <c r="J2">
        <f t="shared" ref="J2:J11" si="0">$B$8-G2*$B$10-I2*$B$11</f>
        <v>-0.28790624473427034</v>
      </c>
      <c r="K2">
        <f>4*J2*$B$9/($B$5^2)*($B$7/$B$4)^2*$B$4/$B$5*$B$12</f>
        <v>-2.6865107508644244E-2</v>
      </c>
      <c r="L2">
        <f>J2*(0.08+0.16*($B$7/$B$6)^2)+G2*0.16*($B$7*3.28)/($B$6*3.28)^2</f>
        <v>0.28148118784299425</v>
      </c>
      <c r="M2">
        <f>(J2+K2+L2)*1.1</f>
        <v>-3.6619180839912363E-2</v>
      </c>
      <c r="N2">
        <f>0.5*$B$13*F2^2*$B$9*0.381*M2</f>
        <v>-0.38242589904150465</v>
      </c>
      <c r="O2">
        <f>N2/1</f>
        <v>-0.38242589904150465</v>
      </c>
      <c r="P2">
        <f>(M2*$B$4+G2*($B$2-$B$1))*$B$9*$B$18/($B$16*$B$19)</f>
        <v>-0.16308840801103969</v>
      </c>
      <c r="Q2">
        <f>-$B$17*E2+P2/$B$25</f>
        <v>-0.18563338331460322</v>
      </c>
      <c r="R2">
        <f>DEGREES(Q2)</f>
        <v>-10.636009400661001</v>
      </c>
      <c r="T2">
        <f>DEGREES(E2*(1-B17))</f>
        <v>4.5484592873127916</v>
      </c>
    </row>
    <row r="3" spans="1:20" x14ac:dyDescent="0.3">
      <c r="A3" t="s">
        <v>24</v>
      </c>
      <c r="B3">
        <v>0.01</v>
      </c>
      <c r="D3">
        <v>8.69</v>
      </c>
      <c r="E3">
        <f t="shared" ref="E3:E9" si="1">RADIANS(D3)</f>
        <v>0.15166911199830724</v>
      </c>
      <c r="F3">
        <f t="shared" ref="F3:F9" si="2">(2*$B$14*$B$15/($B$13*$B$9*G3))^0.5</f>
        <v>6.5839981713591387</v>
      </c>
      <c r="G3">
        <v>1.3</v>
      </c>
      <c r="H3">
        <v>0.129</v>
      </c>
      <c r="I3">
        <f t="shared" ref="I3:I11" si="3">H3+G3^2*$B$9/(3.14*$B$5^2*1.05)</f>
        <v>0.26739854413102826</v>
      </c>
      <c r="J3">
        <f t="shared" si="0"/>
        <v>-0.27971846459744565</v>
      </c>
      <c r="K3">
        <f t="shared" ref="K3:K11" si="4">4*J3*$B$9/($B$5^2)*($B$7/$B$4)^2*$B$4/$B$5*$B$12</f>
        <v>-2.6101089368516857E-2</v>
      </c>
      <c r="L3">
        <f t="shared" ref="L3:L11" si="5">J3*(0.08+0.16*($B$7/$B$6)^2)+G3*0.16*($B$7*3.28)/($B$6*3.28)^2</f>
        <v>0.26785936848541458</v>
      </c>
      <c r="M3">
        <f t="shared" ref="M3:M11" si="6">(J3+K3+L3)*1.1</f>
        <v>-4.1756204028602709E-2</v>
      </c>
      <c r="N3">
        <f t="shared" ref="N3:N9" si="7">0.5*$B$13*F3^2*$B$9*$B$4*M3</f>
        <v>-0.32329130686163693</v>
      </c>
      <c r="O3">
        <f t="shared" ref="O3:O9" si="8">N3/1</f>
        <v>-0.32329130686163693</v>
      </c>
      <c r="P3">
        <f t="shared" ref="P3:P9" si="9">(M3*$B$4+G3*($B$2-$B$1))*$B$9*$B$18/($B$16*$B$19)</f>
        <v>-0.16209219529825741</v>
      </c>
      <c r="Q3">
        <f t="shared" ref="Q3:Q9" si="10">-$B$17*E3+P3/$B$25</f>
        <v>-0.14929507463128452</v>
      </c>
      <c r="R3">
        <f t="shared" ref="R3:R9" si="11">DEGREES(Q3)</f>
        <v>-8.553977678463248</v>
      </c>
    </row>
    <row r="4" spans="1:20" x14ac:dyDescent="0.3">
      <c r="A4" t="s">
        <v>25</v>
      </c>
      <c r="B4">
        <v>0.27</v>
      </c>
      <c r="D4">
        <v>6.96</v>
      </c>
      <c r="E4">
        <f t="shared" si="1"/>
        <v>0.12147491593880534</v>
      </c>
      <c r="F4">
        <f t="shared" si="2"/>
        <v>6.8528425669327566</v>
      </c>
      <c r="G4">
        <v>1.2</v>
      </c>
      <c r="H4">
        <v>0.105</v>
      </c>
      <c r="I4">
        <f t="shared" si="3"/>
        <v>0.22292538671519563</v>
      </c>
      <c r="J4">
        <f t="shared" si="0"/>
        <v>-0.26770094024871105</v>
      </c>
      <c r="K4">
        <f t="shared" si="4"/>
        <v>-2.4979710136487733E-2</v>
      </c>
      <c r="L4">
        <f t="shared" si="5"/>
        <v>0.24472206548273742</v>
      </c>
      <c r="M4">
        <f t="shared" si="6"/>
        <v>-5.2754443392707524E-2</v>
      </c>
      <c r="N4">
        <f t="shared" si="7"/>
        <v>-0.44248053167850415</v>
      </c>
      <c r="O4">
        <f t="shared" si="8"/>
        <v>-0.44248053167850415</v>
      </c>
      <c r="P4">
        <f t="shared" si="9"/>
        <v>-0.1626685790345056</v>
      </c>
      <c r="Q4">
        <f t="shared" si="10"/>
        <v>-0.13073191615321317</v>
      </c>
      <c r="R4">
        <f t="shared" si="11"/>
        <v>-7.4903870432372672</v>
      </c>
    </row>
    <row r="5" spans="1:20" x14ac:dyDescent="0.3">
      <c r="A5" t="s">
        <v>26</v>
      </c>
      <c r="B5">
        <v>2</v>
      </c>
      <c r="D5">
        <v>4.4000000000000004</v>
      </c>
      <c r="E5">
        <f t="shared" si="1"/>
        <v>7.679448708775051E-2</v>
      </c>
      <c r="F5">
        <f t="shared" si="2"/>
        <v>7.5069129138813535</v>
      </c>
      <c r="G5">
        <v>1</v>
      </c>
      <c r="H5">
        <v>7.3999999999999996E-2</v>
      </c>
      <c r="I5">
        <f t="shared" si="3"/>
        <v>0.15589262966333028</v>
      </c>
      <c r="J5">
        <f t="shared" si="0"/>
        <v>-0.24447750480234567</v>
      </c>
      <c r="K5">
        <f t="shared" si="4"/>
        <v>-2.2812684928116486E-2</v>
      </c>
      <c r="L5">
        <f t="shared" si="5"/>
        <v>0.19823106390592085</v>
      </c>
      <c r="M5">
        <f t="shared" si="6"/>
        <v>-7.5965038406995436E-2</v>
      </c>
      <c r="N5">
        <f t="shared" si="7"/>
        <v>-0.76459266946871352</v>
      </c>
      <c r="O5">
        <f t="shared" si="8"/>
        <v>-0.76459266946871352</v>
      </c>
      <c r="P5">
        <f t="shared" si="9"/>
        <v>-0.16493590525762189</v>
      </c>
      <c r="Q5">
        <f t="shared" si="10"/>
        <v>-0.1037432422151402</v>
      </c>
      <c r="R5">
        <f t="shared" si="11"/>
        <v>-5.9440499319309668</v>
      </c>
    </row>
    <row r="6" spans="1:20" x14ac:dyDescent="0.3">
      <c r="A6" t="s">
        <v>27</v>
      </c>
      <c r="B6">
        <v>0.2</v>
      </c>
      <c r="D6">
        <v>2.2400000000000002</v>
      </c>
      <c r="E6">
        <f t="shared" si="1"/>
        <v>3.9095375244672985E-2</v>
      </c>
      <c r="F6">
        <f t="shared" si="2"/>
        <v>8.3929837883048659</v>
      </c>
      <c r="G6">
        <v>0.8</v>
      </c>
      <c r="H6">
        <v>5.2999999999999999E-2</v>
      </c>
      <c r="I6">
        <f t="shared" si="3"/>
        <v>0.1054112829845314</v>
      </c>
      <c r="J6">
        <f t="shared" si="0"/>
        <v>-0.22186708455498272</v>
      </c>
      <c r="K6">
        <f t="shared" si="4"/>
        <v>-2.0702861393994555E-2</v>
      </c>
      <c r="L6">
        <f t="shared" si="5"/>
        <v>0.15157661776468545</v>
      </c>
      <c r="M6">
        <f t="shared" si="6"/>
        <v>-0.100092661002721</v>
      </c>
      <c r="N6">
        <f t="shared" si="7"/>
        <v>-1.2592982981900589</v>
      </c>
      <c r="O6">
        <f t="shared" si="8"/>
        <v>-1.2592982981900589</v>
      </c>
      <c r="P6">
        <f t="shared" si="9"/>
        <v>-0.16804506280049794</v>
      </c>
      <c r="Q6">
        <f t="shared" si="10"/>
        <v>-8.1377891961652196E-2</v>
      </c>
      <c r="R6">
        <f t="shared" si="11"/>
        <v>-4.6626097550742589</v>
      </c>
    </row>
    <row r="7" spans="1:20" x14ac:dyDescent="0.3">
      <c r="A7" t="s">
        <v>33</v>
      </c>
      <c r="B7">
        <f>0.27*0.8</f>
        <v>0.21600000000000003</v>
      </c>
      <c r="D7">
        <v>0.18</v>
      </c>
      <c r="E7">
        <f t="shared" si="1"/>
        <v>3.1415926535897929E-3</v>
      </c>
      <c r="F7">
        <f t="shared" si="2"/>
        <v>9.6913828989639583</v>
      </c>
      <c r="G7">
        <v>0.6</v>
      </c>
      <c r="H7">
        <v>3.7999999999999999E-2</v>
      </c>
      <c r="I7">
        <f t="shared" si="3"/>
        <v>6.7481346678798904E-2</v>
      </c>
      <c r="J7">
        <f t="shared" si="0"/>
        <v>-0.19972153135847409</v>
      </c>
      <c r="K7">
        <f t="shared" si="4"/>
        <v>-1.8636415534121938E-2</v>
      </c>
      <c r="L7">
        <f t="shared" si="5"/>
        <v>0.10479822691088309</v>
      </c>
      <c r="M7">
        <f t="shared" si="6"/>
        <v>-0.12491569197988424</v>
      </c>
      <c r="N7">
        <f t="shared" si="7"/>
        <v>-2.0954732245317564</v>
      </c>
      <c r="O7">
        <f t="shared" si="8"/>
        <v>-2.0954732245317564</v>
      </c>
      <c r="P7">
        <f t="shared" si="9"/>
        <v>-0.17179260523753381</v>
      </c>
      <c r="Q7">
        <f t="shared" si="10"/>
        <v>-6.0313749419647317E-2</v>
      </c>
      <c r="R7">
        <f t="shared" si="11"/>
        <v>-3.4557232883554097</v>
      </c>
    </row>
    <row r="8" spans="1:20" x14ac:dyDescent="0.3">
      <c r="A8" t="s">
        <v>21</v>
      </c>
      <c r="B8">
        <v>-0.13500000000000001</v>
      </c>
      <c r="D8">
        <v>-1.83</v>
      </c>
      <c r="E8">
        <f t="shared" si="1"/>
        <v>-3.1939525311496235E-2</v>
      </c>
      <c r="F8">
        <f t="shared" si="2"/>
        <v>11.869471502198257</v>
      </c>
      <c r="G8">
        <v>0.4</v>
      </c>
      <c r="H8">
        <v>2.9000000000000001E-2</v>
      </c>
      <c r="I8">
        <f t="shared" si="3"/>
        <v>4.2102820746132849E-2</v>
      </c>
      <c r="J8">
        <f t="shared" si="0"/>
        <v>-0.17804084521281976</v>
      </c>
      <c r="K8">
        <f t="shared" si="4"/>
        <v>-1.6613347348498644E-2</v>
      </c>
      <c r="L8">
        <f t="shared" si="5"/>
        <v>5.7895891344513721E-2</v>
      </c>
      <c r="M8">
        <f t="shared" si="6"/>
        <v>-0.15043413133848516</v>
      </c>
      <c r="N8">
        <f t="shared" si="7"/>
        <v>-3.7853213949243329</v>
      </c>
      <c r="O8">
        <f t="shared" si="8"/>
        <v>-3.7853213949243329</v>
      </c>
      <c r="P8">
        <f t="shared" si="9"/>
        <v>-0.1761785325687294</v>
      </c>
      <c r="Q8">
        <f t="shared" si="10"/>
        <v>-4.0008647841798292E-2</v>
      </c>
      <c r="R8">
        <f t="shared" si="11"/>
        <v>-2.2923266653602319</v>
      </c>
    </row>
    <row r="9" spans="1:20" x14ac:dyDescent="0.3">
      <c r="A9" t="s">
        <v>34</v>
      </c>
      <c r="B9">
        <f>2*B5*B4</f>
        <v>1.08</v>
      </c>
      <c r="D9">
        <v>-3.94</v>
      </c>
      <c r="E9">
        <f t="shared" si="1"/>
        <v>-6.876597252857658E-2</v>
      </c>
      <c r="F9">
        <f t="shared" si="2"/>
        <v>16.785967576609732</v>
      </c>
      <c r="G9">
        <v>0.2</v>
      </c>
      <c r="H9">
        <v>2.8000000000000001E-2</v>
      </c>
      <c r="I9">
        <f t="shared" si="3"/>
        <v>3.1275705186533213E-2</v>
      </c>
      <c r="J9">
        <f t="shared" si="0"/>
        <v>-0.15689910019209385</v>
      </c>
      <c r="K9">
        <f t="shared" si="4"/>
        <v>-1.4640568837124666E-2</v>
      </c>
      <c r="L9">
        <f t="shared" si="5"/>
        <v>1.0849861139651452E-2</v>
      </c>
      <c r="M9">
        <f t="shared" si="6"/>
        <v>-0.17675878867852379</v>
      </c>
      <c r="N9">
        <f t="shared" si="7"/>
        <v>-8.8954390678833146</v>
      </c>
      <c r="O9">
        <f t="shared" si="8"/>
        <v>-8.8954390678833146</v>
      </c>
      <c r="P9">
        <f t="shared" si="9"/>
        <v>-0.18130456800688488</v>
      </c>
      <c r="Q9">
        <f t="shared" si="10"/>
        <v>-1.8870644730692901E-2</v>
      </c>
      <c r="R9">
        <f t="shared" si="11"/>
        <v>-1.0812082997594892</v>
      </c>
    </row>
    <row r="10" spans="1:20" x14ac:dyDescent="0.3">
      <c r="A10" t="s">
        <v>28</v>
      </c>
      <c r="B10">
        <f>(B1-B2)/B4</f>
        <v>0.10370370370370378</v>
      </c>
      <c r="G10">
        <v>0</v>
      </c>
      <c r="H10">
        <v>3.6999999999999998E-2</v>
      </c>
      <c r="I10">
        <f t="shared" si="3"/>
        <v>3.6999999999999998E-2</v>
      </c>
      <c r="J10">
        <f t="shared" si="0"/>
        <v>-0.13637037037037039</v>
      </c>
      <c r="K10">
        <f t="shared" si="4"/>
        <v>-1.2724992000000004E-2</v>
      </c>
      <c r="L10">
        <f t="shared" si="5"/>
        <v>-3.6359613629629639E-2</v>
      </c>
      <c r="M10">
        <f t="shared" si="6"/>
        <v>-0.20400047360000007</v>
      </c>
    </row>
    <row r="11" spans="1:20" x14ac:dyDescent="0.3">
      <c r="A11" t="s">
        <v>29</v>
      </c>
      <c r="B11">
        <f>B3/B4</f>
        <v>3.7037037037037035E-2</v>
      </c>
      <c r="G11">
        <v>-0.2</v>
      </c>
      <c r="H11">
        <v>6.0999999999999999E-2</v>
      </c>
      <c r="I11">
        <f t="shared" si="3"/>
        <v>6.4275705186533208E-2</v>
      </c>
      <c r="J11">
        <f t="shared" si="0"/>
        <v>-0.11663984093283455</v>
      </c>
      <c r="K11">
        <f t="shared" si="4"/>
        <v>-1.0883896837124664E-2</v>
      </c>
      <c r="L11">
        <f t="shared" si="5"/>
        <v>-8.3781907778144371E-2</v>
      </c>
      <c r="M11">
        <f t="shared" si="6"/>
        <v>-0.23243621010291396</v>
      </c>
    </row>
    <row r="12" spans="1:20" x14ac:dyDescent="0.3">
      <c r="A12" t="s">
        <v>35</v>
      </c>
      <c r="B12">
        <v>1</v>
      </c>
    </row>
    <row r="13" spans="1:20" x14ac:dyDescent="0.3">
      <c r="A13" t="s">
        <v>39</v>
      </c>
      <c r="B13">
        <v>1.2250000000000001</v>
      </c>
    </row>
    <row r="14" spans="1:20" x14ac:dyDescent="0.3">
      <c r="A14" t="s">
        <v>38</v>
      </c>
      <c r="B14">
        <v>3.8</v>
      </c>
    </row>
    <row r="15" spans="1:20" x14ac:dyDescent="0.3">
      <c r="A15" t="s">
        <v>8</v>
      </c>
      <c r="B15">
        <v>9.81</v>
      </c>
    </row>
    <row r="16" spans="1:20" x14ac:dyDescent="0.3">
      <c r="A16" t="s">
        <v>41</v>
      </c>
      <c r="B16">
        <f>0.27*0.5*2</f>
        <v>0.27</v>
      </c>
    </row>
    <row r="17" spans="1:2" x14ac:dyDescent="0.3">
      <c r="A17" t="s">
        <v>43</v>
      </c>
      <c r="B17">
        <f>1-2*4.4/(3.14*7.4)</f>
        <v>0.62127732828369764</v>
      </c>
    </row>
    <row r="18" spans="1:2" x14ac:dyDescent="0.3">
      <c r="A18" t="s">
        <v>48</v>
      </c>
      <c r="B18">
        <v>0.85</v>
      </c>
    </row>
    <row r="19" spans="1:2" x14ac:dyDescent="0.3">
      <c r="A19" t="s">
        <v>49</v>
      </c>
      <c r="B19">
        <v>1</v>
      </c>
    </row>
    <row r="20" spans="1:2" x14ac:dyDescent="0.3">
      <c r="A20" t="s">
        <v>50</v>
      </c>
      <c r="B20">
        <v>6.9</v>
      </c>
    </row>
    <row r="21" spans="1:2" x14ac:dyDescent="0.3">
      <c r="A21" t="s">
        <v>51</v>
      </c>
      <c r="B21">
        <f>B20*0.71</f>
        <v>4.899</v>
      </c>
    </row>
    <row r="22" spans="1:2" x14ac:dyDescent="0.3">
      <c r="A22" t="s">
        <v>53</v>
      </c>
      <c r="B22">
        <v>0.12</v>
      </c>
    </row>
    <row r="23" spans="1:2" x14ac:dyDescent="0.3">
      <c r="A23" t="s">
        <v>52</v>
      </c>
      <c r="B23">
        <v>0.13</v>
      </c>
    </row>
    <row r="24" spans="1:2" x14ac:dyDescent="0.3">
      <c r="A24" t="s">
        <v>54</v>
      </c>
      <c r="B24">
        <f>1/B21+(1+B23)*B22</f>
        <v>0.33972329046744232</v>
      </c>
    </row>
    <row r="25" spans="1:2" x14ac:dyDescent="0.3">
      <c r="A25" t="s">
        <v>55</v>
      </c>
      <c r="B25">
        <f>1/B24</f>
        <v>2.9435721013535745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Sołtys Michał (STUD)</dc:creator>
  <cp:lastModifiedBy>Sołtys Michał (STUD)</cp:lastModifiedBy>
  <dcterms:created xsi:type="dcterms:W3CDTF">2024-10-04T06:50:52Z</dcterms:created>
  <dcterms:modified xsi:type="dcterms:W3CDTF">2024-10-31T21:02:43Z</dcterms:modified>
</cp:coreProperties>
</file>