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fc9d9d735b7b57d/Escritorio/noveno semestre/DCF/"/>
    </mc:Choice>
  </mc:AlternateContent>
  <xr:revisionPtr revIDLastSave="628" documentId="8_{FE33CDD6-F268-46BD-B5CE-1BA464C8144C}" xr6:coauthVersionLast="47" xr6:coauthVersionMax="47" xr10:uidLastSave="{853D45B5-73D5-4858-B14D-9114BD977B54}"/>
  <bookViews>
    <workbookView xWindow="-96" yWindow="-96" windowWidth="23232" windowHeight="12552" firstSheet="2" activeTab="7" xr2:uid="{00000000-000D-0000-FFFF-FFFF00000000}"/>
  </bookViews>
  <sheets>
    <sheet name="BABA Summary" sheetId="10" r:id="rId1"/>
    <sheet name="BABA Valuation" sheetId="11" r:id="rId2"/>
    <sheet name="BABA Income Statement" sheetId="14" r:id="rId3"/>
    <sheet name="BABA Balance Sheet" sheetId="13" r:id="rId4"/>
    <sheet name="BABA Cash Flow" sheetId="12" r:id="rId5"/>
    <sheet name="BABA Forecast" sheetId="16" r:id="rId6"/>
    <sheet name="WACC" sheetId="8" r:id="rId7"/>
    <sheet name="DCF" sheetId="7" r:id="rId8"/>
    <sheet name="DCF pesimista" sheetId="17" r:id="rId9"/>
  </sheets>
  <definedNames>
    <definedName name="CIQWBGuid" hidden="1">"4f870cf5-2e36-4802-a05b-57f6ed2e1bc1"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EXPENSE_CODE_" hidden="1">"zwj561"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42191.2527314815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" i="14" l="1"/>
  <c r="B37" i="8"/>
  <c r="B36" i="8"/>
  <c r="B35" i="8"/>
  <c r="F72" i="14"/>
  <c r="B34" i="8"/>
  <c r="B14" i="8"/>
  <c r="B17" i="8"/>
  <c r="B15" i="8"/>
  <c r="B4" i="8"/>
  <c r="C60" i="7"/>
  <c r="B32" i="7"/>
  <c r="B11" i="8"/>
  <c r="B7" i="8"/>
  <c r="B18" i="8" l="1"/>
  <c r="B28" i="8" s="1"/>
  <c r="B23" i="7"/>
  <c r="B27" i="7" s="1"/>
  <c r="B27" i="8"/>
  <c r="K9" i="17" l="1"/>
  <c r="K7" i="17"/>
  <c r="K17" i="17"/>
  <c r="F9" i="17"/>
  <c r="K13" i="17"/>
  <c r="J34" i="17"/>
  <c r="F17" i="17"/>
  <c r="G15" i="17"/>
  <c r="H15" i="17"/>
  <c r="I15" i="17"/>
  <c r="J15" i="17"/>
  <c r="F15" i="17"/>
  <c r="G13" i="17"/>
  <c r="H13" i="17"/>
  <c r="I13" i="17"/>
  <c r="J13" i="17"/>
  <c r="F13" i="17"/>
  <c r="G11" i="17"/>
  <c r="H11" i="17"/>
  <c r="I11" i="17"/>
  <c r="J11" i="17"/>
  <c r="K11" i="17"/>
  <c r="F11" i="17"/>
  <c r="G9" i="17"/>
  <c r="H9" i="17"/>
  <c r="I9" i="17"/>
  <c r="J9" i="17"/>
  <c r="F7" i="17"/>
  <c r="G7" i="17"/>
  <c r="H7" i="17"/>
  <c r="I7" i="17"/>
  <c r="J8" i="17" s="1"/>
  <c r="J7" i="17"/>
  <c r="F89" i="17"/>
  <c r="E89" i="17"/>
  <c r="D89" i="17"/>
  <c r="C89" i="17"/>
  <c r="F86" i="17"/>
  <c r="F90" i="17" s="1"/>
  <c r="E86" i="17"/>
  <c r="E90" i="17" s="1"/>
  <c r="D86" i="17"/>
  <c r="D90" i="17" s="1"/>
  <c r="C86" i="17"/>
  <c r="C90" i="17" s="1"/>
  <c r="F64" i="17"/>
  <c r="I63" i="17"/>
  <c r="C63" i="17"/>
  <c r="C64" i="17" s="1"/>
  <c r="I62" i="17"/>
  <c r="E64" i="17" s="1"/>
  <c r="F61" i="17"/>
  <c r="E61" i="17"/>
  <c r="D61" i="17"/>
  <c r="C61" i="17"/>
  <c r="I60" i="17"/>
  <c r="F60" i="17"/>
  <c r="E60" i="17"/>
  <c r="D60" i="17"/>
  <c r="C60" i="17"/>
  <c r="F50" i="17"/>
  <c r="E50" i="17"/>
  <c r="D50" i="17"/>
  <c r="C50" i="17"/>
  <c r="B50" i="17"/>
  <c r="D38" i="17"/>
  <c r="E38" i="17" s="1"/>
  <c r="C38" i="17"/>
  <c r="C37" i="17"/>
  <c r="B32" i="17"/>
  <c r="I47" i="17" s="1"/>
  <c r="B25" i="17"/>
  <c r="B24" i="17"/>
  <c r="B26" i="17" s="1"/>
  <c r="B23" i="17"/>
  <c r="E17" i="17"/>
  <c r="E18" i="17" s="1"/>
  <c r="D17" i="17"/>
  <c r="D18" i="17" s="1"/>
  <c r="C17" i="17"/>
  <c r="C18" i="17" s="1"/>
  <c r="E15" i="17"/>
  <c r="E16" i="17" s="1"/>
  <c r="D15" i="17"/>
  <c r="D16" i="17" s="1"/>
  <c r="C15" i="17"/>
  <c r="C16" i="17" s="1"/>
  <c r="E13" i="17"/>
  <c r="E14" i="17" s="1"/>
  <c r="D13" i="17"/>
  <c r="D14" i="17" s="1"/>
  <c r="C13" i="17"/>
  <c r="C14" i="17" s="1"/>
  <c r="E11" i="17"/>
  <c r="D11" i="17"/>
  <c r="C11" i="17"/>
  <c r="E9" i="17"/>
  <c r="E10" i="17" s="1"/>
  <c r="D9" i="17"/>
  <c r="D10" i="17" s="1"/>
  <c r="C9" i="17"/>
  <c r="C10" i="17" s="1"/>
  <c r="E7" i="17"/>
  <c r="I61" i="17" s="1"/>
  <c r="D63" i="17" s="1"/>
  <c r="D7" i="17"/>
  <c r="D8" i="17" s="1"/>
  <c r="C7" i="17"/>
  <c r="F2" i="17" a="1"/>
  <c r="F2" i="17" s="1"/>
  <c r="C40" i="17" s="1"/>
  <c r="E2" i="17" a="1"/>
  <c r="E2" i="17" s="1"/>
  <c r="D2" i="17" a="1"/>
  <c r="D2" i="17" s="1"/>
  <c r="C2" i="17" a="1"/>
  <c r="C2" i="17" s="1"/>
  <c r="I63" i="7"/>
  <c r="I62" i="7"/>
  <c r="I61" i="7"/>
  <c r="I60" i="7"/>
  <c r="E86" i="7"/>
  <c r="D90" i="7"/>
  <c r="C90" i="7"/>
  <c r="E50" i="7"/>
  <c r="B50" i="7"/>
  <c r="D86" i="7"/>
  <c r="D50" i="7" s="1"/>
  <c r="F50" i="7"/>
  <c r="C50" i="7"/>
  <c r="F86" i="7"/>
  <c r="C86" i="7"/>
  <c r="C61" i="7"/>
  <c r="C38" i="7"/>
  <c r="B24" i="7"/>
  <c r="C37" i="7"/>
  <c r="B25" i="7" s="1"/>
  <c r="C17" i="7"/>
  <c r="D15" i="7"/>
  <c r="E15" i="7"/>
  <c r="F15" i="7"/>
  <c r="G15" i="7"/>
  <c r="H15" i="7"/>
  <c r="I15" i="7"/>
  <c r="J15" i="7"/>
  <c r="C15" i="7"/>
  <c r="D13" i="7"/>
  <c r="E13" i="7"/>
  <c r="F13" i="7"/>
  <c r="G13" i="7"/>
  <c r="H13" i="7"/>
  <c r="I13" i="7"/>
  <c r="J13" i="7"/>
  <c r="C13" i="7"/>
  <c r="D11" i="7"/>
  <c r="E11" i="7"/>
  <c r="F11" i="7"/>
  <c r="G11" i="7"/>
  <c r="H11" i="7"/>
  <c r="I11" i="7"/>
  <c r="J11" i="7"/>
  <c r="C11" i="7"/>
  <c r="D9" i="7"/>
  <c r="E9" i="7"/>
  <c r="F9" i="7"/>
  <c r="G9" i="7"/>
  <c r="H9" i="7"/>
  <c r="I9" i="7"/>
  <c r="J9" i="7"/>
  <c r="C9" i="7"/>
  <c r="D7" i="7"/>
  <c r="E7" i="7"/>
  <c r="F7" i="7"/>
  <c r="G7" i="7"/>
  <c r="H7" i="7"/>
  <c r="I7" i="7"/>
  <c r="J7" i="7"/>
  <c r="C7" i="7"/>
  <c r="J34" i="7"/>
  <c r="D17" i="7"/>
  <c r="E17" i="7"/>
  <c r="F17" i="7"/>
  <c r="F21" i="7" s="1"/>
  <c r="D8" i="7"/>
  <c r="B26" i="8"/>
  <c r="B25" i="8"/>
  <c r="B23" i="8"/>
  <c r="B22" i="8"/>
  <c r="B16" i="8"/>
  <c r="B13" i="8"/>
  <c r="B12" i="8"/>
  <c r="B27" i="17" l="1"/>
  <c r="B22" i="17" s="1"/>
  <c r="F21" i="17"/>
  <c r="I8" i="17"/>
  <c r="H14" i="17"/>
  <c r="H16" i="17"/>
  <c r="J35" i="17"/>
  <c r="G10" i="17"/>
  <c r="G8" i="17"/>
  <c r="J16" i="17"/>
  <c r="G14" i="17"/>
  <c r="G16" i="17"/>
  <c r="I16" i="17"/>
  <c r="F14" i="17"/>
  <c r="F10" i="17"/>
  <c r="F16" i="17"/>
  <c r="D64" i="17"/>
  <c r="I44" i="17"/>
  <c r="J47" i="17"/>
  <c r="J44" i="17"/>
  <c r="E63" i="17"/>
  <c r="I45" i="17" s="1"/>
  <c r="J45" i="17" s="1"/>
  <c r="E65" i="17"/>
  <c r="F72" i="17"/>
  <c r="C65" i="17"/>
  <c r="D42" i="17"/>
  <c r="F91" i="17"/>
  <c r="E91" i="17"/>
  <c r="C42" i="17"/>
  <c r="D91" i="17"/>
  <c r="C91" i="17"/>
  <c r="C72" i="17"/>
  <c r="D67" i="17"/>
  <c r="D40" i="17"/>
  <c r="E40" i="17" s="1"/>
  <c r="F67" i="17"/>
  <c r="F68" i="17" s="1"/>
  <c r="E67" i="17"/>
  <c r="E68" i="17" s="1"/>
  <c r="C67" i="17"/>
  <c r="C68" i="17" s="1"/>
  <c r="H8" i="17"/>
  <c r="H10" i="17"/>
  <c r="D37" i="17"/>
  <c r="E37" i="17" s="1"/>
  <c r="J10" i="17"/>
  <c r="I43" i="17"/>
  <c r="J43" i="17" s="1"/>
  <c r="F63" i="17"/>
  <c r="I46" i="17" s="1"/>
  <c r="J46" i="17" s="1"/>
  <c r="F8" i="17"/>
  <c r="I10" i="17"/>
  <c r="F65" i="17"/>
  <c r="E8" i="17"/>
  <c r="C63" i="7"/>
  <c r="C64" i="7" s="1"/>
  <c r="C65" i="7" s="1"/>
  <c r="B26" i="7"/>
  <c r="B22" i="7" s="1"/>
  <c r="C93" i="17" l="1"/>
  <c r="C94" i="17" s="1"/>
  <c r="E42" i="17"/>
  <c r="G17" i="17"/>
  <c r="F18" i="17"/>
  <c r="J17" i="17"/>
  <c r="J21" i="17" s="1"/>
  <c r="I17" i="17"/>
  <c r="H17" i="17"/>
  <c r="F71" i="17"/>
  <c r="I42" i="17" s="1"/>
  <c r="J42" i="17" s="1"/>
  <c r="D68" i="17"/>
  <c r="C70" i="17" s="1"/>
  <c r="D65" i="17"/>
  <c r="F73" i="17" s="1"/>
  <c r="I66" i="14"/>
  <c r="H66" i="14"/>
  <c r="G66" i="14"/>
  <c r="F66" i="14"/>
  <c r="J66" i="14" s="1"/>
  <c r="F31" i="14"/>
  <c r="I32" i="13"/>
  <c r="H32" i="13"/>
  <c r="G32" i="13"/>
  <c r="F32" i="13"/>
  <c r="E2" i="7" a="1"/>
  <c r="E2" i="7" s="1"/>
  <c r="J8" i="7"/>
  <c r="F2" i="7" a="1"/>
  <c r="F2" i="7" s="1"/>
  <c r="C40" i="7" s="1"/>
  <c r="I8" i="7"/>
  <c r="C72" i="7" l="1"/>
  <c r="C42" i="7"/>
  <c r="H18" i="17"/>
  <c r="H21" i="17"/>
  <c r="J18" i="17"/>
  <c r="G18" i="17"/>
  <c r="G21" i="17"/>
  <c r="I18" i="17"/>
  <c r="I21" i="17"/>
  <c r="C71" i="17"/>
  <c r="C73" i="17" s="1"/>
  <c r="D69" i="17"/>
  <c r="C67" i="7"/>
  <c r="C89" i="7"/>
  <c r="C91" i="7" s="1"/>
  <c r="D2" i="7" a="1"/>
  <c r="D2" i="7" s="1"/>
  <c r="D89" i="7"/>
  <c r="E89" i="7"/>
  <c r="E90" i="7" s="1"/>
  <c r="F89" i="7"/>
  <c r="F90" i="7" s="1"/>
  <c r="I47" i="7"/>
  <c r="D38" i="7"/>
  <c r="E38" i="7" s="1"/>
  <c r="D37" i="7"/>
  <c r="E37" i="7" s="1"/>
  <c r="J47" i="7" l="1"/>
  <c r="J46" i="7"/>
  <c r="J45" i="7"/>
  <c r="J43" i="7"/>
  <c r="D40" i="7"/>
  <c r="E40" i="7" s="1"/>
  <c r="C68" i="7"/>
  <c r="D18" i="7" l="1"/>
  <c r="C2" i="7" a="1"/>
  <c r="C2" i="7" s="1"/>
  <c r="D60" i="7"/>
  <c r="E60" i="7"/>
  <c r="F60" i="7"/>
  <c r="D61" i="7"/>
  <c r="E61" i="7"/>
  <c r="F61" i="7"/>
  <c r="F64" i="7" s="1"/>
  <c r="F65" i="7" s="1"/>
  <c r="D63" i="7" l="1"/>
  <c r="D64" i="7" s="1"/>
  <c r="D65" i="7" s="1"/>
  <c r="D91" i="7"/>
  <c r="E91" i="7"/>
  <c r="F91" i="7"/>
  <c r="D67" i="7"/>
  <c r="E67" i="7"/>
  <c r="F67" i="7"/>
  <c r="C14" i="7"/>
  <c r="C16" i="7"/>
  <c r="E8" i="7"/>
  <c r="G14" i="7"/>
  <c r="H10" i="7"/>
  <c r="B21" i="17"/>
  <c r="E64" i="7"/>
  <c r="I44" i="7"/>
  <c r="J44" i="7" s="1"/>
  <c r="F8" i="7"/>
  <c r="C10" i="7"/>
  <c r="J16" i="7"/>
  <c r="H16" i="7"/>
  <c r="H14" i="7"/>
  <c r="D14" i="7"/>
  <c r="F18" i="7"/>
  <c r="C18" i="7"/>
  <c r="D10" i="7"/>
  <c r="G16" i="7"/>
  <c r="G10" i="7"/>
  <c r="H8" i="7"/>
  <c r="G8" i="7"/>
  <c r="D16" i="7"/>
  <c r="B24" i="8"/>
  <c r="D42" i="7"/>
  <c r="J35" i="7"/>
  <c r="E18" i="7"/>
  <c r="E16" i="7"/>
  <c r="E14" i="7"/>
  <c r="E10" i="7"/>
  <c r="I16" i="7"/>
  <c r="I10" i="7"/>
  <c r="J10" i="7"/>
  <c r="F16" i="7"/>
  <c r="F14" i="7"/>
  <c r="F10" i="7"/>
  <c r="I25" i="17" l="1"/>
  <c r="I26" i="17" s="1"/>
  <c r="F25" i="17"/>
  <c r="F26" i="17" s="1"/>
  <c r="J25" i="17"/>
  <c r="J26" i="17" s="1"/>
  <c r="J30" i="17" s="1"/>
  <c r="J31" i="17" s="1"/>
  <c r="H25" i="17"/>
  <c r="H26" i="17" s="1"/>
  <c r="G25" i="17"/>
  <c r="G26" i="17" s="1"/>
  <c r="J36" i="17"/>
  <c r="F22" i="17"/>
  <c r="I22" i="17"/>
  <c r="H22" i="17"/>
  <c r="G22" i="17"/>
  <c r="J22" i="17"/>
  <c r="E65" i="7"/>
  <c r="F73" i="7" s="1"/>
  <c r="F72" i="7"/>
  <c r="E63" i="7"/>
  <c r="F71" i="7" s="1"/>
  <c r="C93" i="7"/>
  <c r="C94" i="7" s="1"/>
  <c r="E42" i="7"/>
  <c r="F63" i="7"/>
  <c r="E68" i="7"/>
  <c r="F68" i="7"/>
  <c r="I43" i="7"/>
  <c r="J17" i="7"/>
  <c r="J21" i="7" s="1"/>
  <c r="I17" i="7"/>
  <c r="H17" i="7"/>
  <c r="G17" i="7"/>
  <c r="G18" i="7" s="1"/>
  <c r="B21" i="7"/>
  <c r="F22" i="7" l="1"/>
  <c r="F25" i="7"/>
  <c r="K31" i="17"/>
  <c r="C36" i="17"/>
  <c r="D36" i="17"/>
  <c r="I46" i="7"/>
  <c r="I45" i="7"/>
  <c r="H21" i="7"/>
  <c r="H22" i="7" s="1"/>
  <c r="J36" i="7"/>
  <c r="F26" i="7"/>
  <c r="I25" i="7"/>
  <c r="D68" i="7"/>
  <c r="I21" i="7"/>
  <c r="I42" i="7"/>
  <c r="J42" i="7" s="1"/>
  <c r="J25" i="7"/>
  <c r="J26" i="7" s="1"/>
  <c r="H25" i="7"/>
  <c r="I18" i="7"/>
  <c r="H18" i="7"/>
  <c r="G21" i="7"/>
  <c r="G22" i="7" s="1"/>
  <c r="J18" i="7"/>
  <c r="J22" i="7"/>
  <c r="G25" i="7"/>
  <c r="D39" i="17" l="1"/>
  <c r="D41" i="17" s="1"/>
  <c r="I41" i="17"/>
  <c r="J41" i="17" s="1"/>
  <c r="C32" i="17"/>
  <c r="E36" i="17"/>
  <c r="C39" i="17"/>
  <c r="I40" i="17"/>
  <c r="J40" i="17" s="1"/>
  <c r="C71" i="7"/>
  <c r="C73" i="7" s="1"/>
  <c r="C70" i="7"/>
  <c r="H26" i="7"/>
  <c r="D36" i="7" s="1"/>
  <c r="D69" i="7"/>
  <c r="I26" i="7"/>
  <c r="I22" i="7"/>
  <c r="G26" i="7"/>
  <c r="J30" i="7"/>
  <c r="K31" i="7" l="1"/>
  <c r="J31" i="7"/>
  <c r="C36" i="7" s="1"/>
  <c r="C41" i="17"/>
  <c r="E39" i="17"/>
  <c r="D44" i="17"/>
  <c r="D43" i="17"/>
  <c r="I41" i="7"/>
  <c r="J41" i="7" s="1"/>
  <c r="C39" i="7" l="1"/>
  <c r="C41" i="7" s="1"/>
  <c r="C32" i="7"/>
  <c r="I40" i="7"/>
  <c r="J40" i="7" s="1"/>
  <c r="C44" i="17"/>
  <c r="E44" i="17" s="1"/>
  <c r="E41" i="17"/>
  <c r="C43" i="17"/>
  <c r="E43" i="17" s="1"/>
  <c r="D39" i="7"/>
  <c r="E36" i="7"/>
  <c r="C43" i="7" l="1"/>
  <c r="C44" i="7"/>
  <c r="D41" i="7"/>
  <c r="D43" i="7" s="1"/>
  <c r="E39" i="7"/>
  <c r="E41" i="7" l="1"/>
  <c r="D44" i="7"/>
  <c r="E44" i="7" s="1"/>
  <c r="E43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<sst xmlns="http://schemas.openxmlformats.org/spreadsheetml/2006/main" count="1821" uniqueCount="1020">
  <si>
    <t>Next Earning Report</t>
  </si>
  <si>
    <t/>
  </si>
  <si>
    <t>HISTORICAL (ACTUALS)</t>
  </si>
  <si>
    <t>FY Mar-21</t>
  </si>
  <si>
    <t>FY Mar-22</t>
  </si>
  <si>
    <t>FY Mar-23</t>
  </si>
  <si>
    <t>FY Mar-24</t>
  </si>
  <si>
    <t>FY Mar-25</t>
  </si>
  <si>
    <t>FY Mar-26</t>
  </si>
  <si>
    <t>FY Mar-27</t>
  </si>
  <si>
    <t>FY Mar-28</t>
  </si>
  <si>
    <t>INCOME STATEMENT</t>
  </si>
  <si>
    <t>-</t>
  </si>
  <si>
    <t>REVENUE</t>
  </si>
  <si>
    <t>COST OF GOODS SOLD</t>
  </si>
  <si>
    <t>GROSS INCOME</t>
  </si>
  <si>
    <t>GROSS PROFIT MARGIN</t>
  </si>
  <si>
    <t>R&amp;D EXPENSE</t>
  </si>
  <si>
    <t>SELLING &amp; MARKETING EXPENSE</t>
  </si>
  <si>
    <t>GENERAL &amp; ADMIN EXPENSE</t>
  </si>
  <si>
    <t>SG&amp;A EXPENSE</t>
  </si>
  <si>
    <t>STOCK BASED COMPENSATION</t>
  </si>
  <si>
    <t>OPERATING EXPENSE</t>
  </si>
  <si>
    <t>EBITDA</t>
  </si>
  <si>
    <t>EBITDA PER SHARE</t>
  </si>
  <si>
    <t>DEPRECIATION &amp; AMORTIZATION</t>
  </si>
  <si>
    <t>DEPRECIATION</t>
  </si>
  <si>
    <t>EBITA</t>
  </si>
  <si>
    <t>AMORTIZATION</t>
  </si>
  <si>
    <t>EBIT</t>
  </si>
  <si>
    <t>INTEREST EXPENSE</t>
  </si>
  <si>
    <t>PRE-TAX PROFIT</t>
  </si>
  <si>
    <t>TAX PROVISION</t>
  </si>
  <si>
    <t>TAX RATE</t>
  </si>
  <si>
    <t>NET INCOME</t>
  </si>
  <si>
    <t>EARNINGS PER SHARE</t>
  </si>
  <si>
    <t>EBITDA REPORTED</t>
  </si>
  <si>
    <t>PRE-TAX PROFIT REPORTED</t>
  </si>
  <si>
    <t>NET INCOME REPORTED</t>
  </si>
  <si>
    <t>EARNINGS PER SHARE REPORTED</t>
  </si>
  <si>
    <t>DIVIDEND PER SHARE</t>
  </si>
  <si>
    <t>NUMBER OF SHARES OUTSTANDING</t>
  </si>
  <si>
    <t>BALANCE SHEET</t>
  </si>
  <si>
    <t>CASH AND CASH EQUIVALENTS</t>
  </si>
  <si>
    <t>TOTAL LIABILITIES</t>
  </si>
  <si>
    <t>CURRENT ASSETS</t>
  </si>
  <si>
    <t>TOTAL ASSETS</t>
  </si>
  <si>
    <t>CURRENT DEFERRED REVENUE</t>
  </si>
  <si>
    <t>CURRENT LIABILITIES</t>
  </si>
  <si>
    <t>NET DEBT</t>
  </si>
  <si>
    <t>SHAREHOLDERS EQUITY</t>
  </si>
  <si>
    <t>GOODWILL</t>
  </si>
  <si>
    <t>NET ASSET VALUE</t>
  </si>
  <si>
    <t>BOOK VALUE PER SHARE</t>
  </si>
  <si>
    <t>TANGIBLE BOOK VALUE PER SHARE</t>
  </si>
  <si>
    <t>ENTERPRISE VALUE</t>
  </si>
  <si>
    <t>CASH FLOW STATEMENT</t>
  </si>
  <si>
    <t>NET WORKING CAPITAL</t>
  </si>
  <si>
    <t>CASH FLOW FROM OPERATIONS</t>
  </si>
  <si>
    <t>CAPITAL EXPENDITURES</t>
  </si>
  <si>
    <t>CASH FLOW FROM INVESTING</t>
  </si>
  <si>
    <t>TOTAL DIVIDENDS</t>
  </si>
  <si>
    <t>CASH FLOW FROM FINANCING</t>
  </si>
  <si>
    <t>FREE CASH FLOW</t>
  </si>
  <si>
    <t>CASH FLOW PER SHARE</t>
  </si>
  <si>
    <t>VALUATION METRICS</t>
  </si>
  <si>
    <t>RETURN ON ASSETS</t>
  </si>
  <si>
    <t>RETURN ON EQUITY</t>
  </si>
  <si>
    <t>RETURN ON CAPITAL EMPLOYED</t>
  </si>
  <si>
    <t>RETURN ON INVESTED CAPITAL</t>
  </si>
  <si>
    <t>PRICE / SALES RATIO</t>
  </si>
  <si>
    <t>Average Net Trade Cycle Days</t>
  </si>
  <si>
    <t>Average Inventory Days</t>
  </si>
  <si>
    <t>Inventory Turnover</t>
  </si>
  <si>
    <t>Average Payables Payment Days</t>
  </si>
  <si>
    <t>Payables Turnover</t>
  </si>
  <si>
    <t>Average Receivables Collection Days</t>
  </si>
  <si>
    <t>Accounts Receivable Turnover</t>
  </si>
  <si>
    <t>Operating</t>
  </si>
  <si>
    <t>Working Capital to Total Assets</t>
  </si>
  <si>
    <t>Quick Ratio</t>
  </si>
  <si>
    <t>Current Ratio</t>
  </si>
  <si>
    <t>Liquidity</t>
  </si>
  <si>
    <t>Total Assets per Employee</t>
  </si>
  <si>
    <t>Sales per Employee</t>
  </si>
  <si>
    <t>Net Income after Tax per Employee</t>
  </si>
  <si>
    <t>Productivity</t>
  </si>
  <si>
    <t>Reinvestment Rate - %</t>
  </si>
  <si>
    <t>Earnings Retention Rate</t>
  </si>
  <si>
    <t>Return on Average Common Equity - % (Income available to Common excluding Extraordinary Items)</t>
  </si>
  <si>
    <t>Tax Complement</t>
  </si>
  <si>
    <t>Pretax ROE - %</t>
  </si>
  <si>
    <t>Total Assets to Total Shareholders Equity - including Minority Interest &amp; Hybrid Debt</t>
  </si>
  <si>
    <t>Pretax ROA - %</t>
  </si>
  <si>
    <t>Income before Tax Margin - %</t>
  </si>
  <si>
    <t>Asset Turnover</t>
  </si>
  <si>
    <t>Dupont / Earning Power</t>
  </si>
  <si>
    <t>Enterprise Value</t>
  </si>
  <si>
    <t>Cash &amp; Short Term Investments - Total</t>
  </si>
  <si>
    <t>Minority Interest - Total</t>
  </si>
  <si>
    <t>Debt - Total</t>
  </si>
  <si>
    <t>Market Capitalization</t>
  </si>
  <si>
    <t>Enterprise Value Breakdown</t>
  </si>
  <si>
    <t>Dividend Payout Ratio - %</t>
  </si>
  <si>
    <t>Interest Coverage Ratio</t>
  </si>
  <si>
    <t>Debt Service Percentage of Normalized after Tax Profit</t>
  </si>
  <si>
    <t>Debt Service</t>
  </si>
  <si>
    <t>Total Debt Percentage of Total Equity</t>
  </si>
  <si>
    <t>Total Debt Percentage of Total Capital</t>
  </si>
  <si>
    <t>Total Debt Percentage of Total Assets</t>
  </si>
  <si>
    <t>Financial Strength / Leverage</t>
  </si>
  <si>
    <t>Common Shares - Outstanding - Total</t>
  </si>
  <si>
    <t>EPS - Diluted - excluding Extraordinary Items Applicable to Common - Total</t>
  </si>
  <si>
    <t>Income before Discontinued Operations &amp; Extraordinary Items</t>
  </si>
  <si>
    <t>Earnings before Interest, Taxes, Depreciation &amp; Amortization (EBITDA)</t>
  </si>
  <si>
    <t>Operating Profit before Non-Recurring Income/Expense</t>
  </si>
  <si>
    <t>Revenue from Business Activities - Total</t>
  </si>
  <si>
    <t>Growth</t>
  </si>
  <si>
    <t>Return on Invested Capital - %</t>
  </si>
  <si>
    <t>Return on Average Total Assets - % (Income before Discontinued Operations &amp; Extraordinary Items)</t>
  </si>
  <si>
    <t>Free Cash Flow</t>
  </si>
  <si>
    <t>Net Margin - %</t>
  </si>
  <si>
    <t>Income Tax Rate - %</t>
  </si>
  <si>
    <t>Operating Margin - %</t>
  </si>
  <si>
    <t>EBITDA Margin - %</t>
  </si>
  <si>
    <t>Gross Profit Margin - %</t>
  </si>
  <si>
    <t>Profitability / Return</t>
  </si>
  <si>
    <t>Shares used to calculate Diluted EPS - Total</t>
  </si>
  <si>
    <t>Dividend Yield - Common Stock - Net - Issue Specific - %</t>
  </si>
  <si>
    <t>Dividend Yield - Common Stock - Gross - Issue Specific - %</t>
  </si>
  <si>
    <t>Selected Per Share Data</t>
  </si>
  <si>
    <t>Free Cash Flow Net of Dividends</t>
  </si>
  <si>
    <t>Net Change in Cash - Total</t>
  </si>
  <si>
    <t>Capital Expenditures - Net - Cash Flow</t>
  </si>
  <si>
    <t>Depreciation, Depletion &amp; Amortization including Impairment - Cash Flow - to Reconcile</t>
  </si>
  <si>
    <t>Net Cash Flow from Operating Activities</t>
  </si>
  <si>
    <t>Selected Cash Flow Items</t>
  </si>
  <si>
    <t>Common Equity - Total</t>
  </si>
  <si>
    <t>Total Assets</t>
  </si>
  <si>
    <t>Cash &amp; Short-Term Investments</t>
  </si>
  <si>
    <t>Cash &amp; Cash Equivalents</t>
  </si>
  <si>
    <t>Selected Balance Sheet Items</t>
  </si>
  <si>
    <t>Gross Profit - Industrials/Property - Total</t>
  </si>
  <si>
    <t>Selected Income Statement Items</t>
  </si>
  <si>
    <t>30-03-2020</t>
  </si>
  <si>
    <t>30-03-2021</t>
  </si>
  <si>
    <t>30-03-2022</t>
  </si>
  <si>
    <t>30-03-2023</t>
  </si>
  <si>
    <t>Field Name</t>
  </si>
  <si>
    <t>Financial Summary - Standardized (Currency: US Dollar)</t>
  </si>
  <si>
    <t>USD</t>
  </si>
  <si>
    <t>Standardized Currency</t>
  </si>
  <si>
    <t>Period End Date</t>
  </si>
  <si>
    <t>2020</t>
  </si>
  <si>
    <t>2021</t>
  </si>
  <si>
    <t>2022</t>
  </si>
  <si>
    <t>2023</t>
  </si>
  <si>
    <t>Statement Data</t>
  </si>
  <si>
    <t>Export Date</t>
  </si>
  <si>
    <t>Annual</t>
  </si>
  <si>
    <t>Period</t>
  </si>
  <si>
    <t>Millions</t>
  </si>
  <si>
    <t>Scaling</t>
  </si>
  <si>
    <t>Consolidated</t>
  </si>
  <si>
    <t>Consolidation Basis</t>
  </si>
  <si>
    <t>IND</t>
  </si>
  <si>
    <t>CF Template</t>
  </si>
  <si>
    <t>Software &amp; IT Services</t>
  </si>
  <si>
    <t>TRBC Industry Group</t>
  </si>
  <si>
    <t>United States of America</t>
  </si>
  <si>
    <t>Country of Headquarters</t>
  </si>
  <si>
    <t>Country of Exchange</t>
  </si>
  <si>
    <t>Company Name</t>
  </si>
  <si>
    <t>Company Fundamentals - Financial Summary</t>
  </si>
  <si>
    <t>Enterprise Value to Free Cash Flow, 5 Year Average</t>
  </si>
  <si>
    <t>Enterprise Value to Free Cash Flow</t>
  </si>
  <si>
    <t>EV to FOCF</t>
  </si>
  <si>
    <t>Enterprise Value to Net Cash Flow from Operating Activities, 5 Year Average</t>
  </si>
  <si>
    <t>Enterprise Value to Net Cash Flow from Operating Activities</t>
  </si>
  <si>
    <t>EV to CFO</t>
  </si>
  <si>
    <t>Enterprise Value to Earnings before Interest, Taxes, Depreciation &amp; Amortization (EBITDA), 5 Year Average</t>
  </si>
  <si>
    <t>Enterprise Value to Earnings before Interest, Taxes, Depreciation &amp; Amortization (EBITDA)</t>
  </si>
  <si>
    <t>EV to EBITDA</t>
  </si>
  <si>
    <t>Enterprise Value to Revenue from Business Activities - Total, 5 Year Average</t>
  </si>
  <si>
    <t>Enterprise Value to Revenue from Business Activities - Total</t>
  </si>
  <si>
    <t>EV to Sales</t>
  </si>
  <si>
    <t>PE Growth Ratio, 5 Year Average</t>
  </si>
  <si>
    <t>PE Growth Ratio</t>
  </si>
  <si>
    <t>PEG Ratio</t>
  </si>
  <si>
    <t>Price to EPS - Diluted - excluding Extraordinary Items - Normalized - Total, 5 Year Average</t>
  </si>
  <si>
    <t>Price to EPS - Diluted - excluding Extraordinary Items - Normalized - Total</t>
  </si>
  <si>
    <t>Price to Normalized Diluted EPS</t>
  </si>
  <si>
    <t>Price to EPS - Diluted - excluding Extraordinary Items Applicable to Common - Total, 5 Year Average</t>
  </si>
  <si>
    <t>Price to EPS - Diluted - excluding Extraordinary Items Applicable to Common - Total</t>
  </si>
  <si>
    <t>Price to Diluted EPS</t>
  </si>
  <si>
    <t>Price to Cash Flow per Share, 5 Year Average</t>
  </si>
  <si>
    <t>Price to Cash Flow per Share</t>
  </si>
  <si>
    <t>Price to CF Per Share</t>
  </si>
  <si>
    <t>Price to Free Cash Flow per Share, 5 Year Average</t>
  </si>
  <si>
    <t>Price to Free Cash Flow per Share</t>
  </si>
  <si>
    <t>Price to FOCF</t>
  </si>
  <si>
    <t>Price to Revenue from Business Activities - Total per Share, 5 Year Average</t>
  </si>
  <si>
    <t>Price to Revenue from Business Activities - Total per Share</t>
  </si>
  <si>
    <t>Price to Sales</t>
  </si>
  <si>
    <t>Price to Tangible Book Value per Share, 5 Year Average</t>
  </si>
  <si>
    <t>Price to Tangible Book Value per Share</t>
  </si>
  <si>
    <t>Price to Tangible Book</t>
  </si>
  <si>
    <t>Price to Book Value per Share - Issue Specific, 5 Year Average</t>
  </si>
  <si>
    <t>Price to Book Value per Share - Issue Specific</t>
  </si>
  <si>
    <t>Price to Book</t>
  </si>
  <si>
    <t>Dividend Yield - Common Stock - Gross - Issue Specific - %, 5 Year Average</t>
  </si>
  <si>
    <t>Dividend Yield - Common Stock - Net - Issue Specific - %, 5 Year Average</t>
  </si>
  <si>
    <t>Dividend Yield</t>
  </si>
  <si>
    <t>Free Cash Flow Yield - %, 5 Year Average</t>
  </si>
  <si>
    <t>Free Cash Flow Yield - %</t>
  </si>
  <si>
    <t>FOCF Yield</t>
  </si>
  <si>
    <t>Price Close (End of Period), 5 Year Average</t>
  </si>
  <si>
    <t>Price Close (End of Period)</t>
  </si>
  <si>
    <t>Price Close</t>
  </si>
  <si>
    <t>Market Capitalization, 5 Year Average</t>
  </si>
  <si>
    <t>Enterprise Value, 5 Year Average</t>
  </si>
  <si>
    <t>Valuation - Standardized (Currency: US Dollar)</t>
  </si>
  <si>
    <t>Company Fundamentals - Valuation</t>
  </si>
  <si>
    <t>Selling, General &amp; Administrative Expenses excluding Research &amp; Development Expenses</t>
  </si>
  <si>
    <t>Operating Expenses</t>
  </si>
  <si>
    <t>Interest Expense</t>
  </si>
  <si>
    <t>Cost of Revenues excluding Depreciation</t>
  </si>
  <si>
    <t>Cost of Revenue including Operation &amp; Maintenance (Utility) - Total</t>
  </si>
  <si>
    <t>Advertising Expenses - Supplemental</t>
  </si>
  <si>
    <t>Rental/Operating Lease Expense</t>
  </si>
  <si>
    <t>Other</t>
  </si>
  <si>
    <t>Variable Operating Lease Expenses - US GAAP - Supplemental</t>
  </si>
  <si>
    <t>Operating /Rental Expense - Supplemental</t>
  </si>
  <si>
    <t>Lease Expense -Total - Supplemental</t>
  </si>
  <si>
    <t>Lease Expenses</t>
  </si>
  <si>
    <t>Earnings before Interest, Taxes, Depreciation &amp; Amortization (EBITDA) - Normalized</t>
  </si>
  <si>
    <t>Earnings before Interest &amp; Taxes (EBIT) - Normalized</t>
  </si>
  <si>
    <t>Normalized Net Income - Bottom Line</t>
  </si>
  <si>
    <t>Normalized Net Income from Continuing Operations</t>
  </si>
  <si>
    <t>Normalized after Tax Profit</t>
  </si>
  <si>
    <t>Normalized</t>
  </si>
  <si>
    <t>Fees - Other</t>
  </si>
  <si>
    <t>Tax Fees</t>
  </si>
  <si>
    <t>Audit-Related Fees</t>
  </si>
  <si>
    <t>Auditor Fees</t>
  </si>
  <si>
    <t>Stock-Based Compensation - Tax Benefit - Supplemental</t>
  </si>
  <si>
    <t>Stock-Based Compensation Expense - Pre-tax - Supplemental</t>
  </si>
  <si>
    <t>Stock-Based Compensation Expense - Net of Tax - Supplemental</t>
  </si>
  <si>
    <t>Labor &amp; Related Expenses - Supplemental</t>
  </si>
  <si>
    <t>Labor &amp; Related Expenses</t>
  </si>
  <si>
    <t>Research &amp; Development Expense - Supplemental</t>
  </si>
  <si>
    <t>Research &amp; Development Expense - Expensed &amp; Capitalized - Total - Supplemental</t>
  </si>
  <si>
    <t>Research &amp; Development</t>
  </si>
  <si>
    <t>Amortization of Intangible Assets excluding Goodwill - Total</t>
  </si>
  <si>
    <t>Depreciation - Total</t>
  </si>
  <si>
    <t>Depreciation, Depletion &amp; Amortization - Total</t>
  </si>
  <si>
    <t>Depreciation/Amortization - Total</t>
  </si>
  <si>
    <t>Intangible Amortization - Other - Supplemental</t>
  </si>
  <si>
    <t>Amortization - Total - Supplemental</t>
  </si>
  <si>
    <t>Depreciation Expense - Total - Supplemental</t>
  </si>
  <si>
    <t>Depreciation &amp; Amortization - Supplemental</t>
  </si>
  <si>
    <t>Depreciation/Amortization - Income Statement</t>
  </si>
  <si>
    <t>Earnings before Interest, Taxes, Depreciation &amp; Amortization (EBITDA) and Operating Lease Payments</t>
  </si>
  <si>
    <t>Earnings before Interest &amp; Taxes (EBIT)</t>
  </si>
  <si>
    <t>EBIT/EBITDA &amp; related</t>
  </si>
  <si>
    <t>DPS - Common - Net - Issue - By Announcement Date</t>
  </si>
  <si>
    <t>DPS - Common - Gross - Issue - By Announcement Date</t>
  </si>
  <si>
    <t>Share/Per Share - Dividends</t>
  </si>
  <si>
    <t>Comprehensive Earnings Per Share - Diluted - Issue Specific</t>
  </si>
  <si>
    <t>EPS - Diluted from Discontinued Operations &amp; Extraordinary Items</t>
  </si>
  <si>
    <t>EPS - Diluted - excluding Extraordinary Items - Normalized - Issue Specific</t>
  </si>
  <si>
    <t>EPS - Diluted - excluding Extraordinary Items Applicable to Common - Issue Specific</t>
  </si>
  <si>
    <t>EPS - Diluted - including Extraordinary Items Applicable to Common - Issue Specific</t>
  </si>
  <si>
    <t>Shares used to calculate Diluted EPS - Issue Specific</t>
  </si>
  <si>
    <t>Earnings Allocation Factor - Diluted - Issue Specific</t>
  </si>
  <si>
    <t>Allocated Diluted Net Income including Extraordinary Items Applicable to Common - Issue Specific</t>
  </si>
  <si>
    <t>EPS - Diluted - excluding Extraordinary Items - Normalized - Total</t>
  </si>
  <si>
    <t>EPS - Diluted - including Extraordinary Items Applicable to Common - Total</t>
  </si>
  <si>
    <t>Diluted Income available to Common excluding Extraordinary Items</t>
  </si>
  <si>
    <t>Net Income - Diluted - including Extraordinary Items Applicable to Common - Total</t>
  </si>
  <si>
    <t>Dilution Adjustment</t>
  </si>
  <si>
    <t>Share/Per Share - Diluted</t>
  </si>
  <si>
    <t>Comprehensive Earnings Per Share - Basic - Issue Specific</t>
  </si>
  <si>
    <t>EPS - Basic from Discontinued Operations &amp; Extraordinary Items</t>
  </si>
  <si>
    <t>EPS - Basic - excluding Extraordinary Items - Normalized - Issue Specific</t>
  </si>
  <si>
    <t>EPS - Basic - excluding Extraordinary Items Applicable to Common - Issue Specific</t>
  </si>
  <si>
    <t>EPS - Basic - including Extraordinary Items Applicable to Common - Issue Specific</t>
  </si>
  <si>
    <t>Shares used to calculate Basic EPS - Issue Specific</t>
  </si>
  <si>
    <t>Earnings Allocation Factor - Basic - Issue Specific</t>
  </si>
  <si>
    <t>Allocated Net Income including Extraordinary Items Applicable to Common - Issue Specific</t>
  </si>
  <si>
    <t>EPS - Basic - excluding Extraordinary Items - Normalized - Total</t>
  </si>
  <si>
    <t>EPS - Basic - excluding Extraordinary Items Applicable to Common - Total</t>
  </si>
  <si>
    <t>EPS - Basic - including Extraordinary Items Applicable to Common - Total</t>
  </si>
  <si>
    <t>Shares used to calculate Basic EPS - Total</t>
  </si>
  <si>
    <t>Income available to Common excluding Extraordinary Items</t>
  </si>
  <si>
    <t>Net Income - Basic - including Extraordinary Items Applicable to Common - Total</t>
  </si>
  <si>
    <t>Share/Per Share - Basic</t>
  </si>
  <si>
    <t>Comprehensive Income - Attributable to Parent Company Equity Holders - Total</t>
  </si>
  <si>
    <t>Comprehensive Income before Minority Interest - Total</t>
  </si>
  <si>
    <t>Other Comprehensive Income - Net of Tax - Total</t>
  </si>
  <si>
    <t>Other Comprehensive Income - Other</t>
  </si>
  <si>
    <t>Other Comprehensive Income - Hedging Gain/(Loss)</t>
  </si>
  <si>
    <t>Other Comprehensive Income - Unrealized Investment Gain/(Loss)</t>
  </si>
  <si>
    <t>Other Comprehensive Income - Foreign Currency</t>
  </si>
  <si>
    <t>Other Comprehensive Income - Starting Line</t>
  </si>
  <si>
    <t>Other Comprehensive Income</t>
  </si>
  <si>
    <t>Income Available to Common Shares</t>
  </si>
  <si>
    <t>Net Income</t>
  </si>
  <si>
    <t>Net Income after Minority Interest</t>
  </si>
  <si>
    <t>Minority Interest</t>
  </si>
  <si>
    <t>Net Income before Minority Interest</t>
  </si>
  <si>
    <t>After Tax Income/Expense</t>
  </si>
  <si>
    <t>Net Income after Tax</t>
  </si>
  <si>
    <t>Net Income After Tax</t>
  </si>
  <si>
    <t>Income Taxes - Domestic - Deferred</t>
  </si>
  <si>
    <t>Income Taxes - Deferred</t>
  </si>
  <si>
    <t>Income Taxes - Domestic - Current</t>
  </si>
  <si>
    <t>Income Taxes for the Year - Current</t>
  </si>
  <si>
    <t>Income Taxes</t>
  </si>
  <si>
    <t>Taxes</t>
  </si>
  <si>
    <t>Income before Taxes</t>
  </si>
  <si>
    <t>Pre-Tax Income</t>
  </si>
  <si>
    <t>Non-Recurring Income/(Expense) - Other - Total</t>
  </si>
  <si>
    <t>Sale &amp; Acquisition of Group Companies - Gain/(Loss)</t>
  </si>
  <si>
    <t>Impairment - Financial Investments</t>
  </si>
  <si>
    <t>Impairment - Intangibles excluding Goodwill</t>
  </si>
  <si>
    <t>Impairment - Goodwill</t>
  </si>
  <si>
    <t>Impairment - Tangible &amp; Intangible Fixed Assets</t>
  </si>
  <si>
    <t>Non-Recurring Income/(Expense) - Total</t>
  </si>
  <si>
    <t>Non-Recurring Income/Expense</t>
  </si>
  <si>
    <t>Normalized Pre-tax Profit</t>
  </si>
  <si>
    <t>Non-Recurring Adjustments - Non-Operating- Decrease/(Increase)</t>
  </si>
  <si>
    <t>Other Non-Operating Income/(Expense) - Total</t>
  </si>
  <si>
    <t>Sale of Tangible &amp; Intangible Fixed Assets - Gain/(Loss)</t>
  </si>
  <si>
    <t>Foreign Exchange Gain/(Loss) - Non-Business</t>
  </si>
  <si>
    <t>Non-Interest Financial Income/(Expense) - Total</t>
  </si>
  <si>
    <t>Interest Expense - Net of Capitalized Interest</t>
  </si>
  <si>
    <t>Interest Income - Non-Bank</t>
  </si>
  <si>
    <t>Interest Expense - Net of (Interest Income)</t>
  </si>
  <si>
    <t>Financing Income/(Expense) - Net - Total</t>
  </si>
  <si>
    <t>Non-Operating Expenses</t>
  </si>
  <si>
    <t>Operating Profit</t>
  </si>
  <si>
    <t>Operating Expenses - Total</t>
  </si>
  <si>
    <t>Other Operating Expense/(Income) - Net</t>
  </si>
  <si>
    <t>Selling, General &amp; Administrative Expenses - Other - Total</t>
  </si>
  <si>
    <t>Research &amp; Development Expense</t>
  </si>
  <si>
    <t>Labor &amp; Related Expenses including Stock-Based Compensation in Selling, General &amp; Administrative Expenses</t>
  </si>
  <si>
    <t>Selling, General &amp; Administrative Expenses - Unclassified</t>
  </si>
  <si>
    <t>Selling, General &amp; Administrative Expenses - Total</t>
  </si>
  <si>
    <t>Labor &amp; Related Expenses including Stock-Based Compensation in Cost of Revenues</t>
  </si>
  <si>
    <t>Amortization in Cost of Revenues</t>
  </si>
  <si>
    <t>Cost of Revenues - Unclassified</t>
  </si>
  <si>
    <t>Cost of Revenues - Total</t>
  </si>
  <si>
    <t>Cost of Operating Revenue</t>
  </si>
  <si>
    <t>Sales of Goods &amp; Services - Net - Unclassified</t>
  </si>
  <si>
    <t>Revenue from Goods &amp; Services</t>
  </si>
  <si>
    <t>Revenues</t>
  </si>
  <si>
    <t>Income Statement - Standardized (Currency: US Dollar)</t>
  </si>
  <si>
    <t>Company Fundamentals - Income Statement</t>
  </si>
  <si>
    <t>Employees - Full-Time/Full-Time Equivalents - Current Date</t>
  </si>
  <si>
    <t>Employees - Full-Time/Full-Time Equivalents - Period End</t>
  </si>
  <si>
    <t>Employees</t>
  </si>
  <si>
    <t>Operating Lease Payments - Due in Year 6 &amp; Beyond</t>
  </si>
  <si>
    <t>Operating Lease Payments - Due in 4-5 Years</t>
  </si>
  <si>
    <t>Operating Lease Payments - Due in 2-3 Years</t>
  </si>
  <si>
    <t>Operating Lease Payments - Interest Cost/Imputed Interest</t>
  </si>
  <si>
    <t>Operating Lease Payments - Remaining Maturities</t>
  </si>
  <si>
    <t>Operating Lease Payments - Due in Year 5</t>
  </si>
  <si>
    <t>Operating Lease Payments - Due in Year 4</t>
  </si>
  <si>
    <t>Operating Lease Payments - Due in Year 3</t>
  </si>
  <si>
    <t>Operating Lease Payments - Due in Year 2</t>
  </si>
  <si>
    <t>Operating Lease Payments - Due in Year 1</t>
  </si>
  <si>
    <t>Operating Lease Payments - Total</t>
  </si>
  <si>
    <t>Operating Lease Maturity</t>
  </si>
  <si>
    <t>Book Value excluding Other Equity</t>
  </si>
  <si>
    <t>Working Capital excluding Other Current Assets &amp; Liabilities</t>
  </si>
  <si>
    <t>Working Capital - Non-Cash</t>
  </si>
  <si>
    <t>Working Capital</t>
  </si>
  <si>
    <t>Unearned Revenue - Total</t>
  </si>
  <si>
    <t>Total Fixed Assets - Net</t>
  </si>
  <si>
    <t>Total Long Term Capital</t>
  </si>
  <si>
    <t>Total Capital</t>
  </si>
  <si>
    <t>Total Book Capital</t>
  </si>
  <si>
    <t>Tangible Book Value</t>
  </si>
  <si>
    <t>Tangible Total Equity</t>
  </si>
  <si>
    <t>Shareholders Equity - Common</t>
  </si>
  <si>
    <t>Provisions - Total</t>
  </si>
  <si>
    <t>Net Operating Assets</t>
  </si>
  <si>
    <t>Net Book Capital</t>
  </si>
  <si>
    <t>Investments - Permanent</t>
  </si>
  <si>
    <t>Cash &amp; Cash Equivalents - Total</t>
  </si>
  <si>
    <t>Asset Accruals</t>
  </si>
  <si>
    <t>Accruals - Short-Term</t>
  </si>
  <si>
    <t>Debt - Long-Term - Maturities - Year 6 &amp; Beyond</t>
  </si>
  <si>
    <t>Debt - Long-Term - Maturities - 4-5 Years</t>
  </si>
  <si>
    <t>Debt - Long-Term - Maturities - 2-3 Years</t>
  </si>
  <si>
    <t>Debt - Long-Term - Maturities - Remaining</t>
  </si>
  <si>
    <t>Debt - Long-Term - Maturities - Year 5</t>
  </si>
  <si>
    <t>Debt - Long-Term - Maturities - Year 4</t>
  </si>
  <si>
    <t>Debt - Long-Term - Maturities - Year 3</t>
  </si>
  <si>
    <t>Debt - Long-Term - Maturities - Year 2</t>
  </si>
  <si>
    <t>Debt - Long-Term - Maturities - within 1 Year</t>
  </si>
  <si>
    <t>Debt - Long-Term - Maturities - Total</t>
  </si>
  <si>
    <t>Debt Maturity</t>
  </si>
  <si>
    <t>Revolving Line of Credit - Total Principal Amount</t>
  </si>
  <si>
    <t>Net Debt</t>
  </si>
  <si>
    <t>Debt Related</t>
  </si>
  <si>
    <t>Accrued Expenses</t>
  </si>
  <si>
    <t>Trade Account Payables - Total</t>
  </si>
  <si>
    <t>Payables &amp; Accrued Expenses</t>
  </si>
  <si>
    <t>Other Assets - Total</t>
  </si>
  <si>
    <t>Loans &amp; Receivables - Total</t>
  </si>
  <si>
    <t>Investments - Total</t>
  </si>
  <si>
    <t>Long-Term &amp; Short-Term</t>
  </si>
  <si>
    <t>Finance and Operating Lease Liabilities - Total</t>
  </si>
  <si>
    <t>Operating Lease Liabilities - Long-Term - Supplemental</t>
  </si>
  <si>
    <t>Operating Lease Liabilities - Current Portion/Short-Term - Supplemental</t>
  </si>
  <si>
    <t>Total Operating Lease Liabilities</t>
  </si>
  <si>
    <t>Right of Use Liabilities</t>
  </si>
  <si>
    <t>Property, Plant &amp; Equipment - excluding Right of Use Tangible Assets &amp; Capital Leases - Net</t>
  </si>
  <si>
    <t>Right of Use Tangible Assets - Operating Lease - Net - Supplemental</t>
  </si>
  <si>
    <t>Right of Use Tangible Assets - Total - Net - Supplemental</t>
  </si>
  <si>
    <t>Right of Use Tangible Assets</t>
  </si>
  <si>
    <t>Asset Allocation Factor - Issue Specific</t>
  </si>
  <si>
    <t>Share/Per Share - Other</t>
  </si>
  <si>
    <t>Common Shares - Treasury - Issue Specific</t>
  </si>
  <si>
    <t>Common Shares - Outstanding - Issue Specific</t>
  </si>
  <si>
    <t>Common Shares - Issued - Issue Specific</t>
  </si>
  <si>
    <t>Common Shares - Authorized - Issue Specific</t>
  </si>
  <si>
    <t>Common Shares - Treasury - Total</t>
  </si>
  <si>
    <t>Common Shares - Issued - Total</t>
  </si>
  <si>
    <t>Share/Per Share - Common</t>
  </si>
  <si>
    <t>Total Liabilities &amp; Equity</t>
  </si>
  <si>
    <t>Total Liabilities &amp; Shareholders' Equity</t>
  </si>
  <si>
    <t>Total Shareholders' Equity - including Minority Interest &amp; Hybrid Debt</t>
  </si>
  <si>
    <t>Total Shareholders' Equity</t>
  </si>
  <si>
    <t>Minority Interest - Equity</t>
  </si>
  <si>
    <t>Other Reserves/Equity - Total</t>
  </si>
  <si>
    <t>Foreign Currency Translation Adjustment - Accumulated</t>
  </si>
  <si>
    <t>Investments - Unrealized Gain/Loss</t>
  </si>
  <si>
    <t>Comprehensive Income - Accumulated - Total</t>
  </si>
  <si>
    <t>Retained Earnings - Total</t>
  </si>
  <si>
    <t>Equity - Non-Contributed - Reserves &amp; Retained Earnings</t>
  </si>
  <si>
    <t>Common Stock - Additional Paid in Capital including Option Reserve</t>
  </si>
  <si>
    <t>Common Stock - Issued &amp; Paid</t>
  </si>
  <si>
    <t>Common Equity - Contributed</t>
  </si>
  <si>
    <t>Common Stock - Treasury/Repurchased</t>
  </si>
  <si>
    <t>Common Equity Attributable to Parent Shareholders</t>
  </si>
  <si>
    <t>Shareholders' Equity - Attributable to Parent Shareholders - Total</t>
  </si>
  <si>
    <t>Shareholders' Equity</t>
  </si>
  <si>
    <t>Total Liabilities</t>
  </si>
  <si>
    <t>Total Non-Current Liabilities</t>
  </si>
  <si>
    <t>Other Non-Current Liabilities</t>
  </si>
  <si>
    <t>Other Non-Current Liabilities - Total</t>
  </si>
  <si>
    <t>Operating Lease Liabilities - Long-Term</t>
  </si>
  <si>
    <t>Deferred Tax - Liability - Long-Term</t>
  </si>
  <si>
    <t>Deferred Tax &amp; Investment Tax Credits - Long-Term</t>
  </si>
  <si>
    <t>Debt - Non-Convertible - Long-Term</t>
  </si>
  <si>
    <t>Long-Term Debt excluding Capitalized Leases</t>
  </si>
  <si>
    <t>Debt - Long-Term - Total</t>
  </si>
  <si>
    <t>Non-Current Liabilities</t>
  </si>
  <si>
    <t>Total Current Liabilities</t>
  </si>
  <si>
    <t>Other Current Liabilities</t>
  </si>
  <si>
    <t>Deferred Income - Short-Term</t>
  </si>
  <si>
    <t>Other Current Liabilities - Total</t>
  </si>
  <si>
    <t>Operating Lease Liabilities - Current Portion/Short-Term</t>
  </si>
  <si>
    <t>Current Portion of Long-Term Debt excluding Capitalized Leases</t>
  </si>
  <si>
    <t>Current Portion of Long-Term Debt including Capitalized Leases</t>
  </si>
  <si>
    <t>Short-Term Debt &amp; Current Portion of Long-Term Debt</t>
  </si>
  <si>
    <t>Accrued Expenses - Short-Term</t>
  </si>
  <si>
    <t>Trade Accounts &amp; Trade Notes Payable - Short-Term</t>
  </si>
  <si>
    <t>Trade Accounts Payable &amp; Accruals - Short-Term</t>
  </si>
  <si>
    <t>Current Liabilities</t>
  </si>
  <si>
    <t>Total Non-Current Assets</t>
  </si>
  <si>
    <t>Intangible Assets - excluding Goodwill - Accumulated Amortization &amp; Impairment - Total</t>
  </si>
  <si>
    <t>Goodwill - Accumulated Amortization &amp; Impairment</t>
  </si>
  <si>
    <t>Intangible Assets - Accumulated Amortization &amp; Impairment - Total</t>
  </si>
  <si>
    <t>Intangible Assets - Other - Gross - Total</t>
  </si>
  <si>
    <t>Brands, Patents, Trademarks, Marketing &amp; Artistic Intangibles - Gross</t>
  </si>
  <si>
    <t>Research &amp; Development Costs - Gross</t>
  </si>
  <si>
    <t>Intangible Assets - excluding Goodwill - Gross</t>
  </si>
  <si>
    <t>Goodwill/Cost in Excess of Assets Purchased - Gross</t>
  </si>
  <si>
    <t>Intangible Assets - Gross - Total</t>
  </si>
  <si>
    <t>Intangible Assets - excluding Goodwill - Net - Total</t>
  </si>
  <si>
    <t>Goodwill/Cost in Excess of Assets Purchased - Net</t>
  </si>
  <si>
    <t>Intangible Assets - Total - Net</t>
  </si>
  <si>
    <t>Other Non-Current Assets</t>
  </si>
  <si>
    <t>Prepaid Expenses - Long-Term</t>
  </si>
  <si>
    <t>Deferred Tax - Asset - Long-Term</t>
  </si>
  <si>
    <t>Other Non-Current Assets - Total</t>
  </si>
  <si>
    <t>Property, Plant &amp; Equipment - excluding Assets Leased Out - Accumulated Depreciation &amp; Impairment - Total</t>
  </si>
  <si>
    <t>Property, Plant &amp; Equipment - Accumulated Depreciation &amp; Impairment - Total</t>
  </si>
  <si>
    <t>Property, Plant &amp; Equipment - Other - Gross</t>
  </si>
  <si>
    <t>Right of Use Tangible Assets - Operating Lease - Gross</t>
  </si>
  <si>
    <t>Right of Use Tangible Assets - Total - Gross</t>
  </si>
  <si>
    <t>Construction in Progress - Gross</t>
  </si>
  <si>
    <t>Computer Software &amp; Equipment - Gross</t>
  </si>
  <si>
    <t>Plant, Machinery &amp; Equipment - Gross</t>
  </si>
  <si>
    <t>Buildings - Gross</t>
  </si>
  <si>
    <t>Land &amp; Buildings - Gross</t>
  </si>
  <si>
    <t>Property, Plant &amp; Equipment - excluding Assets Leased Out - Gross</t>
  </si>
  <si>
    <t>Property, Plant &amp; Equipment - Gross - Total</t>
  </si>
  <si>
    <t>Property, Plant &amp; Equipment - excluding Assets Leased Out - Net - Total</t>
  </si>
  <si>
    <t>Property, Plant &amp; Equipment - Net - Total</t>
  </si>
  <si>
    <t>Investments in Associates, Joint Ventures and Unconsolidated Subsidiaries</t>
  </si>
  <si>
    <t>Investments - Available for Sale/Held to Maturity - Long-Term</t>
  </si>
  <si>
    <t>Investments - Long-Term</t>
  </si>
  <si>
    <t>Non-Current Assets</t>
  </si>
  <si>
    <t>Total Current Assets</t>
  </si>
  <si>
    <t>Other Current Assets</t>
  </si>
  <si>
    <t>Other Current Assets - Total</t>
  </si>
  <si>
    <t>Prepaid Expenses - Short-Term</t>
  </si>
  <si>
    <t>Inventories - Total</t>
  </si>
  <si>
    <t>Trade Accounts &amp; Trade Notes Receivable - Net</t>
  </si>
  <si>
    <t>Loans &amp; Receivables - Net - Short-Term</t>
  </si>
  <si>
    <t>Short-Term Investments - Total</t>
  </si>
  <si>
    <t>Current Assets</t>
  </si>
  <si>
    <t>Balance Sheet - Standardized (Currency: US Dollar)</t>
  </si>
  <si>
    <t>Company Fundamentals - Balance Sheet</t>
  </si>
  <si>
    <t>Dividends Provided/Paid - Common</t>
  </si>
  <si>
    <t>Free Cash Flow to Equity</t>
  </si>
  <si>
    <t>Depreciation, Depletion &amp; Amortization - Cash Flow</t>
  </si>
  <si>
    <t>Common Stock Buyback - Net</t>
  </si>
  <si>
    <t>CF from Optg Activities before Change in WC &amp; Int Payments</t>
  </si>
  <si>
    <t>Interest Paid - Cash Flow - Supplemental</t>
  </si>
  <si>
    <t>Income Taxes - Paid/(Reimbursed) - Cash Flow - Supplemental</t>
  </si>
  <si>
    <t>Supplemental</t>
  </si>
  <si>
    <t>Net Cash - Ending Balance</t>
  </si>
  <si>
    <t>Net Cash - Beginning Balance</t>
  </si>
  <si>
    <t>Net Cash from Continuing Operations</t>
  </si>
  <si>
    <t>Change in Cash</t>
  </si>
  <si>
    <t>Foreign Exchange Effects - Cash Flow</t>
  </si>
  <si>
    <t>Foreign Exchange Effects</t>
  </si>
  <si>
    <t>Net Cash Flow from Financing Activities</t>
  </si>
  <si>
    <t>Other Financing Cash Flow - Increase/(Decrease)</t>
  </si>
  <si>
    <t>Debt - Reduced - Long-Term - Cash Flow</t>
  </si>
  <si>
    <t>Debt - Issued - Long-Term - Cash Flow</t>
  </si>
  <si>
    <t>Debt - Issued/(Reduced) - Long-Term - Cash Flow</t>
  </si>
  <si>
    <t>Debt - Long-Term &amp; Short-Term - Issuance/(Retirement) - Total - Cash Flow</t>
  </si>
  <si>
    <t>Stock - Common - Repurchased/Retired - Cash Flow</t>
  </si>
  <si>
    <t>Stock - Common - Issued/Sold - Cash Flow</t>
  </si>
  <si>
    <t>Stock - Common - Issuance/(Retirement) - Net - Cash Flow</t>
  </si>
  <si>
    <t>Stock - Issuance/(Retirement) - Net - Excluding Options/Warrants - Cash Flow</t>
  </si>
  <si>
    <t>Stock - Total - Issuance/(Retirement) - Net - Cash Flow</t>
  </si>
  <si>
    <t>Financing Cash Flow</t>
  </si>
  <si>
    <t>Net Cash Flow from Investing Activities</t>
  </si>
  <si>
    <t>Other Investing Cash Flow - Decrease/(Increase)</t>
  </si>
  <si>
    <t>Investment Securities - Purchased - Unclassified - Cash Flow</t>
  </si>
  <si>
    <t>Investment Securities - Sold/Matured - Unclassified - Cash Flow</t>
  </si>
  <si>
    <t>Investment Securities - Unclassified - Sold/(Purchased) - Net - Total - Cash Flow</t>
  </si>
  <si>
    <t>Investments excluding Loans - Decrease/(Increase) - Cash Flow</t>
  </si>
  <si>
    <t>Acquisition of Business - Cash Flow</t>
  </si>
  <si>
    <t>Acquisition &amp; Disposals of Business - Assets - Sold/(Acquired) - Net - Cash Flow</t>
  </si>
  <si>
    <t>Capital Expenditures - Total</t>
  </si>
  <si>
    <t>Property, Plant &amp; Equipment - Purchased - Cash Flow</t>
  </si>
  <si>
    <t>Property, Plant &amp; Equipment - Purchased/(Sold) - Net - Cash Flow</t>
  </si>
  <si>
    <t>Investing Cash Flow</t>
  </si>
  <si>
    <t>Other Liabilities - Increase/(Decrease) -Total - Cash Flow</t>
  </si>
  <si>
    <t>Accrued Expenses - Increase/(Decrease) - Cash Flow</t>
  </si>
  <si>
    <t>Accounts Payable - Increase/(Decrease) - Cash Flow</t>
  </si>
  <si>
    <t>Prepaid Expenses - Decrease/(Increase) - Cash Flow</t>
  </si>
  <si>
    <t>Working Capital - Increase/(Decrease) - Cash Flow</t>
  </si>
  <si>
    <t>Cash Flow from Operating Activities before Changes in Working Capital</t>
  </si>
  <si>
    <t>Share Based Payments - Cash Flow - to Reconcile</t>
  </si>
  <si>
    <t>Assets Sale - Gain/(Loss) - Cash Flow - to Reconcile</t>
  </si>
  <si>
    <t>Deferred Income Taxes &amp; Income Tax Credits - Cash Flow - to Reconcile</t>
  </si>
  <si>
    <t>Depreciation &amp; Depletion - Property, Plant &amp; Equipment - Cash Flow - to Reconcile</t>
  </si>
  <si>
    <t>Other Non-Cash Items &amp; Reconciliation Adjustments - Cash Flow - to Reconcile</t>
  </si>
  <si>
    <t>Equity Income/(Loss) in Net Earnings - Cash Flow - to Reconcile</t>
  </si>
  <si>
    <t>Non-cash Items &amp; Reconciliation Adjustments - Cash Flow</t>
  </si>
  <si>
    <t>Profit/(Loss) - Starting Line - Cash Flow</t>
  </si>
  <si>
    <t>Operating Cash Flow - Indirect</t>
  </si>
  <si>
    <t>Cash Flow - Standardized (Currency: US Dollar)</t>
  </si>
  <si>
    <t>Company Fundamentals - Cash Flow</t>
  </si>
  <si>
    <t xml:space="preserve">Recommendation </t>
  </si>
  <si>
    <t>Value of Firm</t>
  </si>
  <si>
    <t>Growth forecast</t>
  </si>
  <si>
    <t>Equity Value</t>
  </si>
  <si>
    <t>Market price</t>
  </si>
  <si>
    <t>Median</t>
  </si>
  <si>
    <t>Average</t>
  </si>
  <si>
    <t>Fair value per share</t>
  </si>
  <si>
    <t>Value of Firm = Equity + Debt</t>
  </si>
  <si>
    <t xml:space="preserve">Shares outstanding </t>
  </si>
  <si>
    <t xml:space="preserve">Equity Value = Enterprise Value + Cash - Debt </t>
  </si>
  <si>
    <t>Enterprise Value = Equity + Debt - Cash</t>
  </si>
  <si>
    <t>BOOK VALUE</t>
  </si>
  <si>
    <t>SALES</t>
  </si>
  <si>
    <t>FY 2022</t>
  </si>
  <si>
    <t>P/E (LTM) - IBES Actual</t>
  </si>
  <si>
    <t>EV / Revenue (SmartEstimate ®)
(FY1)</t>
  </si>
  <si>
    <t>Enterprise Value to EBITDA
(FY0)</t>
  </si>
  <si>
    <t>Ticker</t>
  </si>
  <si>
    <t>Multiples Approach</t>
  </si>
  <si>
    <t>EV Refinitiv Workspace</t>
  </si>
  <si>
    <t>(P/B) Ratio multiple</t>
  </si>
  <si>
    <t>P/E Ratio multiple</t>
  </si>
  <si>
    <t>EV/Sales multiple</t>
  </si>
  <si>
    <t>EV/EBITDA multiple</t>
  </si>
  <si>
    <t>Multiples Approach Median</t>
  </si>
  <si>
    <t>DCF EV/EBITDA multiple TV</t>
  </si>
  <si>
    <t>DCF CAGR TV</t>
  </si>
  <si>
    <t>Diferencia</t>
  </si>
  <si>
    <t>(EV) VALUTATION RANGE</t>
  </si>
  <si>
    <t>Less: Debt</t>
  </si>
  <si>
    <t>Add: Cash and cash equivalents</t>
  </si>
  <si>
    <t>Present value of terminal value</t>
  </si>
  <si>
    <t>Enterprise Value (NPV of cash flows to firm)</t>
  </si>
  <si>
    <t>EV/EBITDA</t>
  </si>
  <si>
    <t>CAGR</t>
  </si>
  <si>
    <t>Share price calculation</t>
  </si>
  <si>
    <t>FY 2027</t>
  </si>
  <si>
    <t>Terminal value calculation</t>
  </si>
  <si>
    <t>Terminal value</t>
  </si>
  <si>
    <t>https://www.bea.gov/data/gdp/gross-domestic-product</t>
  </si>
  <si>
    <t>Present value of FCFF</t>
  </si>
  <si>
    <t>Discount factor</t>
  </si>
  <si>
    <t>Years from current</t>
  </si>
  <si>
    <t>FY 2026</t>
  </si>
  <si>
    <t>FY 2025</t>
  </si>
  <si>
    <t>FY 2024</t>
  </si>
  <si>
    <t>FY 2023</t>
  </si>
  <si>
    <t>Present value of future cash flows</t>
  </si>
  <si>
    <t>NPV of FCF</t>
  </si>
  <si>
    <t>FCF = EBIT*(1-Tax Rate) + Depreciation &amp; Amortization - Net Capex - Increase in Working Capital</t>
  </si>
  <si>
    <t>FCF</t>
  </si>
  <si>
    <t xml:space="preserve">Free cash flow </t>
  </si>
  <si>
    <t>WACC (Weighted average cost of capital)</t>
  </si>
  <si>
    <t>    % of sales</t>
  </si>
  <si>
    <t>*usar promedio como estimación</t>
  </si>
  <si>
    <t>- Change in Working Capital</t>
  </si>
  <si>
    <t>- Net Capital Expenditure</t>
  </si>
  <si>
    <t>+ Depreciation &amp; Amortization</t>
  </si>
  <si>
    <t>    Margin %</t>
  </si>
  <si>
    <t>    YoY Growth %</t>
  </si>
  <si>
    <t>Revenue</t>
  </si>
  <si>
    <t>FY 2021</t>
  </si>
  <si>
    <t>DCF</t>
  </si>
  <si>
    <t>FORECASTED</t>
  </si>
  <si>
    <t>HISTORICAL</t>
  </si>
  <si>
    <t>Assumptions</t>
  </si>
  <si>
    <t>NR</t>
  </si>
  <si>
    <t>Zimbabwe</t>
  </si>
  <si>
    <t>Ca</t>
  </si>
  <si>
    <t>Zambia</t>
  </si>
  <si>
    <t>Yemen, Republic</t>
  </si>
  <si>
    <t>Ba2</t>
  </si>
  <si>
    <t>Vietnam</t>
  </si>
  <si>
    <t>C</t>
  </si>
  <si>
    <t>Venezuela</t>
  </si>
  <si>
    <t>Ba3</t>
  </si>
  <si>
    <t>Uzbekistan</t>
  </si>
  <si>
    <t>Baa2</t>
  </si>
  <si>
    <t>Uruguay</t>
  </si>
  <si>
    <t>Aaa</t>
  </si>
  <si>
    <t>United States</t>
  </si>
  <si>
    <t>Aa3</t>
  </si>
  <si>
    <t>United Kingdom</t>
  </si>
  <si>
    <t>Aa2</t>
  </si>
  <si>
    <t>United Arab Emirates</t>
  </si>
  <si>
    <t>Ukraine</t>
  </si>
  <si>
    <t>B2</t>
  </si>
  <si>
    <t>Uganda</t>
  </si>
  <si>
    <t>Baa1</t>
  </si>
  <si>
    <t>Turks and Caicos Islands</t>
  </si>
  <si>
    <t>B3</t>
  </si>
  <si>
    <t>Turkey</t>
  </si>
  <si>
    <t>Caa2</t>
  </si>
  <si>
    <t>Tunisia</t>
  </si>
  <si>
    <t>Trinidad and Tobago</t>
  </si>
  <si>
    <t>Togo</t>
  </si>
  <si>
    <t>Thailand</t>
  </si>
  <si>
    <t>Tanzania</t>
  </si>
  <si>
    <t>Tajikistan</t>
  </si>
  <si>
    <t>Taiwan</t>
  </si>
  <si>
    <t>Syria</t>
  </si>
  <si>
    <t>Switzerland</t>
  </si>
  <si>
    <t>Sweden</t>
  </si>
  <si>
    <t>Swaziland</t>
  </si>
  <si>
    <t>Caa3</t>
  </si>
  <si>
    <t>Suriname</t>
  </si>
  <si>
    <t>Sudan</t>
  </si>
  <si>
    <t>St. Vincent &amp; the Grenadines</t>
  </si>
  <si>
    <t>St. Maarten</t>
  </si>
  <si>
    <t>Sri Lanka</t>
  </si>
  <si>
    <t>Spain</t>
  </si>
  <si>
    <t>South Africa</t>
  </si>
  <si>
    <t>Somalia</t>
  </si>
  <si>
    <t>Caa1</t>
  </si>
  <si>
    <t>Solomon Islands</t>
  </si>
  <si>
    <t>A3</t>
  </si>
  <si>
    <t>Slovenia</t>
  </si>
  <si>
    <t>A2</t>
  </si>
  <si>
    <t>Slovakia</t>
  </si>
  <si>
    <t>Singapore</t>
  </si>
  <si>
    <t>Sierra Leone</t>
  </si>
  <si>
    <t>Ba1</t>
  </si>
  <si>
    <t>Sharjah</t>
  </si>
  <si>
    <t>Serbia</t>
  </si>
  <si>
    <t>Senegal</t>
  </si>
  <si>
    <t>A1</t>
  </si>
  <si>
    <t>Saudi Arabia</t>
  </si>
  <si>
    <t>Rwanda</t>
  </si>
  <si>
    <t>Russia</t>
  </si>
  <si>
    <t>Baa3</t>
  </si>
  <si>
    <t>Romania</t>
  </si>
  <si>
    <t>Ras Al Khaimah (Emirate of)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</si>
  <si>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</si>
  <si>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</si>
  <si>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</si>
  <si>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</si>
  <si>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</si>
  <si>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</si>
  <si>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</si>
  <si>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</si>
  <si>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</si>
  <si>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</si>
  <si>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</si>
  <si>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</si>
  <si>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Niger</t>
  </si>
  <si>
    <t>Nicaragua</t>
  </si>
  <si>
    <t>New Zealand</t>
  </si>
  <si>
    <t>Netherlands</t>
  </si>
  <si>
    <t>B1</t>
  </si>
  <si>
    <t>Namibia</t>
  </si>
  <si>
    <t>Myanmar</t>
  </si>
  <si>
    <t>Mozambique</t>
  </si>
  <si>
    <t>Morocco</t>
  </si>
  <si>
    <t>Montserrat</t>
  </si>
  <si>
    <t>Montenegro</t>
  </si>
  <si>
    <t>Mongolia</t>
  </si>
  <si>
    <t>Moldova</t>
  </si>
  <si>
    <t>Mexico</t>
  </si>
  <si>
    <t>Mauritius</t>
  </si>
  <si>
    <t>Malta</t>
  </si>
  <si>
    <t>Mali</t>
  </si>
  <si>
    <t>Maldives</t>
  </si>
  <si>
    <t>Malaysia</t>
  </si>
  <si>
    <t>Malawi</t>
  </si>
  <si>
    <t>Madagascar</t>
  </si>
  <si>
    <t>Macedonia</t>
  </si>
  <si>
    <t>Macao</t>
  </si>
  <si>
    <t>Luxembourg</t>
  </si>
  <si>
    <t>Lithuania</t>
  </si>
  <si>
    <t>Liechtenstein</t>
  </si>
  <si>
    <t>Libya</t>
  </si>
  <si>
    <t>Liberia</t>
  </si>
  <si>
    <t>Lebanon</t>
  </si>
  <si>
    <t>Latvia</t>
  </si>
  <si>
    <t>Laos</t>
  </si>
  <si>
    <t>Kyrgyzstan</t>
  </si>
  <si>
    <t>Kuwait</t>
  </si>
  <si>
    <t>Korea, D.P.R.</t>
  </si>
  <si>
    <t>Korea</t>
  </si>
  <si>
    <t>Kenya</t>
  </si>
  <si>
    <t>Kazakhstan</t>
  </si>
  <si>
    <t>Jordan</t>
  </si>
  <si>
    <t>Jersey (States of)</t>
  </si>
  <si>
    <t>Japan</t>
  </si>
  <si>
    <t>Jamaica</t>
  </si>
  <si>
    <t>Italy</t>
  </si>
  <si>
    <t>Israel</t>
  </si>
  <si>
    <t>Isle of Man</t>
  </si>
  <si>
    <t>Ireland</t>
  </si>
  <si>
    <t>Iraq</t>
  </si>
  <si>
    <t>Iran</t>
  </si>
  <si>
    <t>Indonesia</t>
  </si>
  <si>
    <t>India</t>
  </si>
  <si>
    <t>Iceland</t>
  </si>
  <si>
    <t>Hungary</t>
  </si>
  <si>
    <t>Hong Kong</t>
  </si>
  <si>
    <t>Honduras</t>
  </si>
  <si>
    <t>Haiti</t>
  </si>
  <si>
    <t>Guyana</t>
  </si>
  <si>
    <t>Guinea-Bissau</t>
  </si>
  <si>
    <t>Guinea</t>
  </si>
  <si>
    <t>Guernsey (States of)</t>
  </si>
  <si>
    <t>Guatemala</t>
  </si>
  <si>
    <t>Greece</t>
  </si>
  <si>
    <t>Ghana</t>
  </si>
  <si>
    <t>Germany</t>
  </si>
  <si>
    <t>Georgia</t>
  </si>
  <si>
    <t>Gambia</t>
  </si>
  <si>
    <t>Gabon</t>
  </si>
  <si>
    <t>France</t>
  </si>
  <si>
    <t>Aa1</t>
  </si>
  <si>
    <t>Finland</t>
  </si>
  <si>
    <t>Fiji</t>
  </si>
  <si>
    <t>Ethiopia</t>
  </si>
  <si>
    <t>Estonia</t>
  </si>
  <si>
    <t>El Salvador</t>
  </si>
  <si>
    <t>Egypt</t>
  </si>
  <si>
    <t>Ecuador</t>
  </si>
  <si>
    <t>Dominican Republic</t>
  </si>
  <si>
    <t>Denmark</t>
  </si>
  <si>
    <t>Czech Republic</t>
  </si>
  <si>
    <t>Cyprus</t>
  </si>
  <si>
    <t>Curacao</t>
  </si>
  <si>
    <t>Cuba</t>
  </si>
  <si>
    <t>Croatia</t>
  </si>
  <si>
    <t>Côte d'Ivoire</t>
  </si>
  <si>
    <t>Costa Rica</t>
  </si>
  <si>
    <t>Cook Islands</t>
  </si>
  <si>
    <t>Congo (Republic of)</t>
  </si>
  <si>
    <t>Congo (Democratic Republic of)</t>
  </si>
  <si>
    <t>Colombia</t>
  </si>
  <si>
    <t>China</t>
  </si>
  <si>
    <t>Chile</t>
  </si>
  <si>
    <t>Cayman Islands</t>
  </si>
  <si>
    <t>Cape Verde</t>
  </si>
  <si>
    <t>Canada</t>
  </si>
  <si>
    <t>Cameroon</t>
  </si>
  <si>
    <t>Cambodia</t>
  </si>
  <si>
    <t>Burkina Faso</t>
  </si>
  <si>
    <t>Total WACC</t>
  </si>
  <si>
    <t>Bulgaria</t>
  </si>
  <si>
    <t>1-T</t>
  </si>
  <si>
    <t>Brunei</t>
  </si>
  <si>
    <t>(D/E+D)</t>
  </si>
  <si>
    <t>Brazil</t>
  </si>
  <si>
    <t>(E/E+D)</t>
  </si>
  <si>
    <t>Botswana</t>
  </si>
  <si>
    <t>E+D=</t>
  </si>
  <si>
    <t>Bosnia and Herzegovina</t>
  </si>
  <si>
    <t>Debt=</t>
  </si>
  <si>
    <t>Bolivia</t>
  </si>
  <si>
    <t>Market Capitalization = E</t>
  </si>
  <si>
    <t>Bermuda</t>
  </si>
  <si>
    <t>WACC=(E/E+D)*ke+(D/E+D)*kd*(1-T)</t>
  </si>
  <si>
    <t>Benin</t>
  </si>
  <si>
    <t>WACC</t>
  </si>
  <si>
    <t>Belize</t>
  </si>
  <si>
    <t>Belgium</t>
  </si>
  <si>
    <t>Cost of Debt</t>
  </si>
  <si>
    <t>Aaa/AAA</t>
  </si>
  <si>
    <t>Belarus</t>
  </si>
  <si>
    <t>Tax Rate</t>
  </si>
  <si>
    <t>Aa2/AA</t>
  </si>
  <si>
    <t>Barbados</t>
  </si>
  <si>
    <t>https://pages.stern.nyu.edu/~adamodar/New_Home_Page/datafile/ctryprem.html</t>
  </si>
  <si>
    <t>Country Default Spread</t>
  </si>
  <si>
    <t>A1/A+</t>
  </si>
  <si>
    <t>Bangladesh</t>
  </si>
  <si>
    <t>Default Spread for firm</t>
  </si>
  <si>
    <t>A2/A</t>
  </si>
  <si>
    <t>Bahrain</t>
  </si>
  <si>
    <t>Risk free Rate</t>
  </si>
  <si>
    <t>A3/A-</t>
  </si>
  <si>
    <t>Bahamas</t>
  </si>
  <si>
    <t>Spread</t>
  </si>
  <si>
    <t>Baa2/BBB</t>
  </si>
  <si>
    <t>Azerbaijan</t>
  </si>
  <si>
    <t>https://pages.stern.nyu.edu/~adamodar/New_Home_Page/datafile/ratings.htm</t>
  </si>
  <si>
    <t>Rating</t>
  </si>
  <si>
    <t>Ba1/BB+</t>
  </si>
  <si>
    <t>Austria</t>
  </si>
  <si>
    <t>Ba2/BB</t>
  </si>
  <si>
    <t>Australia</t>
  </si>
  <si>
    <t>Cost of debt = (Risk-free rate + Default spread for country + Default spread for firm) * (1-Marginal tax rate)</t>
  </si>
  <si>
    <t>B1/B+</t>
  </si>
  <si>
    <t>Aruba</t>
  </si>
  <si>
    <t>Pre-Tax Cost of Debt</t>
  </si>
  <si>
    <t>B2/B</t>
  </si>
  <si>
    <t>Armenia</t>
  </si>
  <si>
    <t>B3/B-</t>
  </si>
  <si>
    <t>Argentina</t>
  </si>
  <si>
    <t>Cost of Equity</t>
  </si>
  <si>
    <t>Caa/CCC</t>
  </si>
  <si>
    <t>Angola</t>
  </si>
  <si>
    <t>https://ycharts.com/indicators/10_year_treasury_rate#:~:text=10%20Year%20Treasury%20Rate%20is,a%20maturity%20of%2010%20year.</t>
  </si>
  <si>
    <t>Ca2/CC</t>
  </si>
  <si>
    <t>Andorra (Principality of)</t>
  </si>
  <si>
    <t>YF Beta (5Y Monthly)</t>
  </si>
  <si>
    <t>C2/C</t>
  </si>
  <si>
    <t>Algeria</t>
  </si>
  <si>
    <t>Equity Risk Premium</t>
  </si>
  <si>
    <t>D2/D</t>
  </si>
  <si>
    <t>Albania</t>
  </si>
  <si>
    <t>ERi​=Rf​+βi​*(ERm​−Rf​)</t>
  </si>
  <si>
    <t>CAPM = Ke</t>
  </si>
  <si>
    <t>Spread is</t>
  </si>
  <si>
    <t>Rating is</t>
  </si>
  <si>
    <t>≤ to</t>
  </si>
  <si>
    <t>&gt;</t>
  </si>
  <si>
    <t>Abu Dhabi</t>
  </si>
  <si>
    <t>Corporate Tax Rate</t>
  </si>
  <si>
    <t>Country Risk Premium</t>
  </si>
  <si>
    <t>Default Spread</t>
  </si>
  <si>
    <t>Moody's rating</t>
  </si>
  <si>
    <t>Country</t>
  </si>
  <si>
    <t>Cost of Equity, Debt &amp; WACC</t>
  </si>
  <si>
    <t>https://finance.yahoo.com/quote/EA?p=EA&amp;.tsrc=fin-srch</t>
  </si>
  <si>
    <t>0700.HK</t>
  </si>
  <si>
    <t>FY 2028</t>
  </si>
  <si>
    <t>Total Gain/Loss</t>
  </si>
  <si>
    <t>Enterprise Value Refinitiv Workspace</t>
  </si>
  <si>
    <t>Beta</t>
  </si>
  <si>
    <t>MARKET CAP</t>
  </si>
  <si>
    <t>Current Price</t>
  </si>
  <si>
    <t>Difference</t>
  </si>
  <si>
    <t>Stock Valuation with Comparable Companies Analysis</t>
  </si>
  <si>
    <t xml:space="preserve"> Price per share</t>
  </si>
  <si>
    <t>BUY</t>
  </si>
  <si>
    <t>ROIC</t>
  </si>
  <si>
    <t>Non-GAAP Free Cash Flow - Company Reported</t>
  </si>
  <si>
    <t>Non-GAAP EPS Diluted - Company Reported</t>
  </si>
  <si>
    <t>Non-GAAP Adjusted EBITDA - Company Reported</t>
  </si>
  <si>
    <t>Non-GAAP Adjusted Net Earnings - Company Reported</t>
  </si>
  <si>
    <t>Company Reported Non-GAAP Measures</t>
  </si>
  <si>
    <t>Avg. FX Rate</t>
  </si>
  <si>
    <t>Period End FX Rate</t>
  </si>
  <si>
    <t>Alibaba Group Holding Ltd (BABA.K)</t>
  </si>
  <si>
    <t>Impairment - Property, Plant &amp; Equipment including Intangible Assets - Cash Flow - to Reconcile</t>
  </si>
  <si>
    <t>Amortization - Intangible Assets &amp; Deferred Charges - Cash Flow - to Reconcile</t>
  </si>
  <si>
    <t>Taxes Payable - Increase/(Decrease) - Cash Flow</t>
  </si>
  <si>
    <t>Intangible Assets - Purchased/(Sold) - Net - Total - Cash Flow</t>
  </si>
  <si>
    <t>Intangible Assets - Purchased/Acquired - Cash Flow</t>
  </si>
  <si>
    <t>Intangible Assets - Sold - Cash Flow</t>
  </si>
  <si>
    <t>Derivative Financial Instruments - Hedging - Sold/(Purchased) -Total - Cash Flow</t>
  </si>
  <si>
    <t>Minority Interests &amp; Joint Ventures - Net - Cash Flow</t>
  </si>
  <si>
    <t>Income Tax - Receivables - Short-Term</t>
  </si>
  <si>
    <t>Receivables - Other - Total</t>
  </si>
  <si>
    <t>Deferred Costs - Short-Term</t>
  </si>
  <si>
    <t>Restricted Accounts - Short-Term</t>
  </si>
  <si>
    <t>Deferred Charges - Long-Term</t>
  </si>
  <si>
    <t>Licenses, Franchises, Copyrights, Property Rights, Prototypes, Contract Based, Models &amp; Designs - Gross</t>
  </si>
  <si>
    <t>Income Taxes - Payable - Short-Term</t>
  </si>
  <si>
    <t>Security Deposits</t>
  </si>
  <si>
    <t>Deferred Revenue - Long-Term</t>
  </si>
  <si>
    <t>Common Shares - Issued - Issue Specific - DR</t>
  </si>
  <si>
    <t>Common Shares - Outstanding - Issue Specific - DR</t>
  </si>
  <si>
    <t>Common Shares - Treasury - Issue Specific - DR</t>
  </si>
  <si>
    <t>Income Taxes - Payable - Long-Term &amp; Short-Term</t>
  </si>
  <si>
    <t>Revolving Line of Credit - Unutilized/Unused Amount</t>
  </si>
  <si>
    <t>Revenue from Business-Related Activities - Other - Total</t>
  </si>
  <si>
    <t>Cost of Revenues - Other - Total</t>
  </si>
  <si>
    <t>Advertising Expense</t>
  </si>
  <si>
    <t>Other Operating Income - Total</t>
  </si>
  <si>
    <t>Supplementary Adjustments - Non-Operating- Decrease/(Increase)</t>
  </si>
  <si>
    <t>Fair Value Adjustments - Financial Investments</t>
  </si>
  <si>
    <t>Equity in Earnings/(Loss) of Affiliates (after Taxes)</t>
  </si>
  <si>
    <t>Non-Recurring Portion of Equity Earnings</t>
  </si>
  <si>
    <t>Comprehensive Income - Attributable to Minority Interest - Total</t>
  </si>
  <si>
    <t>Shares used to calculate Basic EPS - Issue Specific - DR</t>
  </si>
  <si>
    <t>EPS - Basic - including Extraordinary Items Applicable to Common - Issue Specific - DR</t>
  </si>
  <si>
    <t>EPS - Basic - excluding Extraordinary Items Applicable to Common - Issue Specific - DR</t>
  </si>
  <si>
    <t>EPS - Basic - excluding Extraordinary Items - Normalized - Issue Specific - DR</t>
  </si>
  <si>
    <t>Comprehensive Earnings Per Share - Basic - Issue Specific - DR</t>
  </si>
  <si>
    <t>Shares used to calculate Diluted EPS - Issue Specific - DR</t>
  </si>
  <si>
    <t>EPS - Diluted - including Extraordinary Items Applicable to Common - Issue Specific - DR</t>
  </si>
  <si>
    <t>EPS - Diluted - excluding Extraordinary Items Applicable to Common - Issue Specific - DR</t>
  </si>
  <si>
    <t>EPS - Diluted - excluding Extraordinary Items - Normalized - Issue Specific - DR</t>
  </si>
  <si>
    <t>Comprehensive Earnings Per Share - Diluted - Issue Specific - DR</t>
  </si>
  <si>
    <t>DPS - Common - Gross - Issue - DR - By Announcement Date</t>
  </si>
  <si>
    <t>DPS - Common - Net - Issue - DR - By Announcement Date</t>
  </si>
  <si>
    <t>Amortization of Licenses, Copyrights, Property Rights &amp; Designs - Supplemental</t>
  </si>
  <si>
    <t>Non-GAAP</t>
  </si>
  <si>
    <t>Reported - Tax Impact from Non-Recurring Items - Non-GAAP</t>
  </si>
  <si>
    <t>INCOME TAXES PAID</t>
  </si>
  <si>
    <t>TANGIBLE BOOK VALUE</t>
  </si>
  <si>
    <t>NET ASSET VALUE PER SHARE</t>
  </si>
  <si>
    <t>INVENTORY</t>
  </si>
  <si>
    <t>INTEREST INCOME (NON-BANKING)</t>
  </si>
  <si>
    <t>NET INTEREST EXPENSES (INCOME)</t>
  </si>
  <si>
    <t>OPERATING PROFIT</t>
  </si>
  <si>
    <t>        UNALLOCATED SEGMENTS</t>
  </si>
  <si>
    <t>        TAOBAO AND TMALL GROUP</t>
  </si>
  <si>
    <t>        INNOVATION INITIATIVES AND OTHERS</t>
  </si>
  <si>
    <t>        ELIMINATIONS</t>
  </si>
  <si>
    <t>        DIGITAL MEDIA AND ENTERTAINMENT</t>
  </si>
  <si>
    <t>        CONSUMER SERVICES</t>
  </si>
  <si>
    <t>        CLOUD COMPUTING</t>
  </si>
  <si>
    <t>        CAINIAO LOGISTICS SERVICES</t>
  </si>
  <si>
    <t>        ALL OTHERS</t>
  </si>
  <si>
    <t>        ALIBABA INTERNATIONAL DIGITAL</t>
  </si>
  <si>
    <t>    GEOGRAPHICAL SEGMENTS</t>
  </si>
  <si>
    <t>        UNALLOCATED</t>
  </si>
  <si>
    <t>        INNOVATION INITIATIVE AND OTHER</t>
  </si>
  <si>
    <t>        DIGITAL MEDIA AND ENTERTAINMENTS</t>
  </si>
  <si>
    <t>        CORE COMMERCE</t>
  </si>
  <si>
    <t>        CLOUD COMPUTINGS</t>
  </si>
  <si>
    <t>    BUSINESS SEGMENTS</t>
  </si>
  <si>
    <t>FY Mar-20</t>
  </si>
  <si>
    <t>FY Mar-19</t>
  </si>
  <si>
    <t>FORECAST (MEAN)</t>
  </si>
  <si>
    <t>21-Feb-2024</t>
  </si>
  <si>
    <t>Mean | Annual</t>
  </si>
  <si>
    <t>24-Nov-2023</t>
  </si>
  <si>
    <t>BABA.K | Statement App | All Measures</t>
  </si>
  <si>
    <t>Operative Income (adjusted by tax)</t>
  </si>
  <si>
    <t>Debt + Equity</t>
  </si>
  <si>
    <t>Cash and equivalents</t>
  </si>
  <si>
    <t>Debt+Equity-Cash</t>
  </si>
  <si>
    <t>Terminal growth (Perpetuity)</t>
  </si>
  <si>
    <t>Lo puedo cambiar</t>
  </si>
  <si>
    <t>Consolidated | USD (Converted from CNY to USD at 0.140 exchange rate)</t>
  </si>
  <si>
    <t>Shares Outstanding</t>
  </si>
  <si>
    <t>Buy</t>
  </si>
  <si>
    <t>Alibaba</t>
  </si>
  <si>
    <t>BABA</t>
  </si>
  <si>
    <t>Valuation</t>
  </si>
  <si>
    <t>EV/Revenue forecast</t>
  </si>
  <si>
    <t>Tencent Holdings</t>
  </si>
  <si>
    <t>Amazon.com Inc</t>
  </si>
  <si>
    <t>JD.Com Inc</t>
  </si>
  <si>
    <t>Meituan</t>
  </si>
  <si>
    <t>PDD Holdings</t>
  </si>
  <si>
    <t>Baidu</t>
  </si>
  <si>
    <t>Trip.com Group</t>
  </si>
  <si>
    <t>AMZN.O</t>
  </si>
  <si>
    <t>JD.O</t>
  </si>
  <si>
    <t>3690.HHK</t>
  </si>
  <si>
    <t>PDD.OQ</t>
  </si>
  <si>
    <t>BIDU.OQ</t>
  </si>
  <si>
    <t>TCOM.O</t>
  </si>
  <si>
    <t>Rf = Bonos Chinos + Treasury Bonds</t>
  </si>
  <si>
    <t>ROE</t>
  </si>
  <si>
    <t>Margen Neto</t>
  </si>
  <si>
    <t>Rotación de activos</t>
  </si>
  <si>
    <t>Apalancamiento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</si>
</sst>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00"/>
    <numFmt numFmtId="165" formatCode="0.000%"/>
    <numFmt numFmtId="166" formatCode="#,##0.0"/>
    <numFmt numFmtId="167" formatCode="[&gt;=100]##,##0.0\%;[&lt;=-100]\-##,##0.0\%;##,##0.0\%"/>
    <numFmt numFmtId="168" formatCode="dd\-mm\-yyyy"/>
    <numFmt numFmtId="169" formatCode="&quot;$&quot;#,##0.00"/>
    <numFmt numFmtId="170" formatCode="_([$$-409]* #,##0.00_);_([$$-409]* \(#,##0.00\);_([$$-409]* &quot;-&quot;??_);_(@_)"/>
    <numFmt numFmtId="171" formatCode="_-* #,##0.00_-;\-* #,##0.00_-;_-* &quot;-&quot;??_-;_-@"/>
    <numFmt numFmtId="172" formatCode="_-&quot;$&quot;* #,##0.00_-;\-&quot;$&quot;* #,##0.00_-;_-&quot;$&quot;* &quot;-&quot;??_-;_-@"/>
    <numFmt numFmtId="173" formatCode="_-[$$-409]* #,##0.00_ ;_-[$$-409]* \-#,##0.00\ ;_-[$$-409]* &quot;-&quot;??_ ;_-@_ "/>
    <numFmt numFmtId="174" formatCode="0.0%"/>
    <numFmt numFmtId="175" formatCode="0.0000000000000000%"/>
  </numFmts>
  <fonts count="40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b/>
      <sz val="10"/>
      <color rgb="FF334BFF"/>
      <name val="Calibri"/>
      <family val="2"/>
    </font>
    <font>
      <b/>
      <sz val="10"/>
      <color rgb="FFFFFFFF"/>
      <name val="Calibri"/>
      <family val="2"/>
    </font>
    <font>
      <b/>
      <sz val="10"/>
      <color rgb="FFF5475B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000FF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232A31"/>
      <name val="Calibri"/>
      <family val="2"/>
      <scheme val="minor"/>
    </font>
    <font>
      <sz val="9"/>
      <name val="Geneva"/>
    </font>
    <font>
      <sz val="9"/>
      <name val="Times New Roman"/>
      <family val="1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name val="Calibri"/>
      <family val="2"/>
    </font>
    <font>
      <sz val="10"/>
      <name val="Times New Roman"/>
      <family val="1"/>
    </font>
    <font>
      <sz val="10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  <font>
      <u/>
      <sz val="11"/>
      <color rgb="FF0000FF"/>
      <name val="Calibri"/>
      <family val="2"/>
    </font>
    <font>
      <b/>
      <sz val="10"/>
      <color rgb="FF111111"/>
      <name val="Calibri"/>
      <family val="2"/>
    </font>
    <font>
      <i/>
      <sz val="10"/>
      <name val="Times New Roman"/>
      <family val="1"/>
    </font>
    <font>
      <i/>
      <sz val="9"/>
      <name val="Times New Roman"/>
      <family val="1"/>
    </font>
    <font>
      <b/>
      <sz val="10"/>
      <color theme="0"/>
      <name val="Calibri"/>
      <family val="2"/>
      <charset val="204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ADFFFF"/>
      </patternFill>
    </fill>
    <fill>
      <patternFill patternType="solid">
        <fgColor rgb="FFD0D4DB"/>
      </patternFill>
    </fill>
    <fill>
      <patternFill patternType="solid">
        <fgColor rgb="FFE4E8ED"/>
      </patternFill>
    </fill>
    <fill>
      <patternFill patternType="solid">
        <fgColor rgb="FFF2F3F7"/>
      </patternFill>
    </fill>
    <fill>
      <patternFill patternType="solid">
        <fgColor rgb="FFC9EDFF"/>
      </patternFill>
    </fill>
    <fill>
      <patternFill patternType="solid">
        <fgColor rgb="FFD5D8DB"/>
        <bgColor rgb="FFD5D8DB"/>
      </patternFill>
    </fill>
    <fill>
      <patternFill patternType="solid">
        <fgColor rgb="FF334BFF"/>
        <bgColor rgb="FF334BFF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B4D7FF"/>
        <bgColor rgb="FFB4D7FF"/>
      </patternFill>
    </fill>
    <fill>
      <patternFill patternType="solid">
        <fgColor rgb="FFE4E8ED"/>
        <bgColor rgb="FFE4E8ED"/>
      </patternFill>
    </fill>
    <fill>
      <patternFill patternType="solid">
        <fgColor rgb="FFE9EFF6"/>
        <bgColor rgb="FFE9EFF6"/>
      </patternFill>
    </fill>
    <fill>
      <patternFill patternType="solid">
        <fgColor rgb="FFF2F3F7"/>
        <bgColor rgb="FFF2F3F7"/>
      </patternFill>
    </fill>
    <fill>
      <patternFill patternType="solid">
        <fgColor theme="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AFBFC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/>
      <right/>
      <top/>
      <bottom style="thick">
        <color rgb="FF334B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5">
    <xf numFmtId="0" fontId="0" fillId="0" borderId="0"/>
    <xf numFmtId="9" fontId="3" fillId="0" borderId="0" applyFont="0" applyFill="0" applyBorder="0" applyAlignment="0" applyProtection="0"/>
    <xf numFmtId="0" fontId="5" fillId="0" borderId="0" applyNumberFormat="0" applyBorder="0" applyAlignment="0"/>
    <xf numFmtId="0" fontId="13" fillId="0" borderId="0"/>
    <xf numFmtId="9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3" fillId="0" borderId="0"/>
    <xf numFmtId="0" fontId="18" fillId="0" borderId="0" applyNumberForma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30" fillId="0" borderId="0" applyNumberFormat="0" applyFill="0" applyBorder="0" applyAlignment="0" applyProtection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232">
    <xf numFmtId="0" fontId="0" fillId="0" borderId="0" xfId="0"/>
    <xf numFmtId="0" fontId="5" fillId="0" borderId="0" xfId="2"/>
    <xf numFmtId="3" fontId="6" fillId="0" borderId="7" xfId="2" applyNumberFormat="1" applyFont="1" applyBorder="1" applyAlignment="1">
      <alignment horizontal="right" vertical="center" wrapText="1"/>
    </xf>
    <xf numFmtId="4" fontId="6" fillId="0" borderId="7" xfId="2" applyNumberFormat="1" applyFont="1" applyBorder="1" applyAlignment="1">
      <alignment horizontal="right" vertical="center" wrapText="1"/>
    </xf>
    <xf numFmtId="4" fontId="7" fillId="0" borderId="7" xfId="2" applyNumberFormat="1" applyFont="1" applyBorder="1" applyAlignment="1">
      <alignment horizontal="right" vertical="center" wrapText="1"/>
    </xf>
    <xf numFmtId="0" fontId="6" fillId="0" borderId="7" xfId="2" applyFont="1" applyBorder="1" applyAlignment="1">
      <alignment vertical="center" wrapText="1"/>
    </xf>
    <xf numFmtId="0" fontId="5" fillId="7" borderId="7" xfId="2" applyFill="1" applyBorder="1" applyAlignment="1">
      <alignment wrapText="1"/>
    </xf>
    <xf numFmtId="0" fontId="8" fillId="7" borderId="7" xfId="2" applyFont="1" applyFill="1" applyBorder="1" applyAlignment="1">
      <alignment horizontal="left" vertical="center" wrapText="1"/>
    </xf>
    <xf numFmtId="166" fontId="6" fillId="0" borderId="7" xfId="2" applyNumberFormat="1" applyFont="1" applyBorder="1" applyAlignment="1">
      <alignment horizontal="right" vertical="center" wrapText="1"/>
    </xf>
    <xf numFmtId="3" fontId="7" fillId="0" borderId="7" xfId="2" applyNumberFormat="1" applyFont="1" applyBorder="1" applyAlignment="1">
      <alignment horizontal="right" vertical="center" wrapText="1"/>
    </xf>
    <xf numFmtId="167" fontId="6" fillId="0" borderId="7" xfId="2" applyNumberFormat="1" applyFont="1" applyBorder="1" applyAlignment="1">
      <alignment horizontal="right" vertical="center" wrapText="1"/>
    </xf>
    <xf numFmtId="166" fontId="7" fillId="0" borderId="7" xfId="2" applyNumberFormat="1" applyFont="1" applyBorder="1" applyAlignment="1">
      <alignment horizontal="right" vertical="center" wrapText="1"/>
    </xf>
    <xf numFmtId="0" fontId="9" fillId="8" borderId="8" xfId="2" applyFont="1" applyFill="1" applyBorder="1" applyAlignment="1">
      <alignment horizontal="left" vertical="center" wrapText="1"/>
    </xf>
    <xf numFmtId="0" fontId="9" fillId="8" borderId="8" xfId="2" applyFont="1" applyFill="1" applyBorder="1" applyAlignment="1">
      <alignment wrapText="1"/>
    </xf>
    <xf numFmtId="0" fontId="9" fillId="8" borderId="8" xfId="2" applyFont="1" applyFill="1" applyBorder="1"/>
    <xf numFmtId="0" fontId="6" fillId="0" borderId="7" xfId="2" applyFont="1" applyBorder="1" applyAlignment="1">
      <alignment horizontal="left" vertical="center"/>
    </xf>
    <xf numFmtId="168" fontId="6" fillId="0" borderId="0" xfId="2" applyNumberFormat="1" applyFont="1" applyAlignment="1">
      <alignment horizontal="left"/>
    </xf>
    <xf numFmtId="0" fontId="6" fillId="0" borderId="0" xfId="2" applyFont="1"/>
    <xf numFmtId="0" fontId="10" fillId="0" borderId="0" xfId="2" applyFont="1"/>
    <xf numFmtId="0" fontId="9" fillId="8" borderId="9" xfId="2" applyFont="1" applyFill="1" applyBorder="1"/>
    <xf numFmtId="0" fontId="11" fillId="8" borderId="9" xfId="2" applyFont="1" applyFill="1" applyBorder="1"/>
    <xf numFmtId="0" fontId="6" fillId="0" borderId="7" xfId="2" applyFont="1" applyBorder="1" applyAlignment="1">
      <alignment horizontal="left" vertical="center" wrapText="1" indent="2"/>
    </xf>
    <xf numFmtId="0" fontId="6" fillId="0" borderId="7" xfId="2" applyFont="1" applyBorder="1" applyAlignment="1">
      <alignment horizontal="left" vertical="center" wrapText="1" indent="4"/>
    </xf>
    <xf numFmtId="3" fontId="8" fillId="0" borderId="7" xfId="2" applyNumberFormat="1" applyFont="1" applyBorder="1" applyAlignment="1">
      <alignment horizontal="right" vertical="center" wrapText="1"/>
    </xf>
    <xf numFmtId="166" fontId="12" fillId="0" borderId="7" xfId="2" applyNumberFormat="1" applyFont="1" applyBorder="1" applyAlignment="1">
      <alignment horizontal="right" vertical="center" wrapText="1"/>
    </xf>
    <xf numFmtId="166" fontId="8" fillId="0" borderId="7" xfId="2" applyNumberFormat="1" applyFont="1" applyBorder="1" applyAlignment="1">
      <alignment horizontal="right" vertical="center" wrapText="1"/>
    </xf>
    <xf numFmtId="0" fontId="8" fillId="0" borderId="7" xfId="2" applyFont="1" applyBorder="1" applyAlignment="1">
      <alignment vertical="center" wrapText="1"/>
    </xf>
    <xf numFmtId="0" fontId="6" fillId="0" borderId="7" xfId="2" applyFont="1" applyBorder="1" applyAlignment="1">
      <alignment horizontal="left" vertical="center" wrapText="1" indent="6"/>
    </xf>
    <xf numFmtId="0" fontId="6" fillId="0" borderId="7" xfId="2" applyFont="1" applyBorder="1" applyAlignment="1">
      <alignment horizontal="left" vertical="center" wrapText="1" indent="8"/>
    </xf>
    <xf numFmtId="0" fontId="13" fillId="0" borderId="0" xfId="3"/>
    <xf numFmtId="4" fontId="13" fillId="0" borderId="6" xfId="3" applyNumberFormat="1" applyBorder="1" applyAlignment="1">
      <alignment horizontal="center"/>
    </xf>
    <xf numFmtId="0" fontId="14" fillId="9" borderId="1" xfId="3" applyFont="1" applyFill="1" applyBorder="1" applyAlignment="1">
      <alignment horizontal="left"/>
    </xf>
    <xf numFmtId="4" fontId="13" fillId="0" borderId="6" xfId="3" applyNumberFormat="1" applyBorder="1"/>
    <xf numFmtId="9" fontId="15" fillId="10" borderId="6" xfId="4" applyFont="1" applyFill="1" applyBorder="1"/>
    <xf numFmtId="4" fontId="15" fillId="0" borderId="6" xfId="3" applyNumberFormat="1" applyFont="1" applyBorder="1"/>
    <xf numFmtId="4" fontId="15" fillId="10" borderId="6" xfId="3" applyNumberFormat="1" applyFont="1" applyFill="1" applyBorder="1"/>
    <xf numFmtId="0" fontId="16" fillId="0" borderId="0" xfId="3" applyFont="1"/>
    <xf numFmtId="169" fontId="13" fillId="0" borderId="10" xfId="3" applyNumberFormat="1" applyBorder="1"/>
    <xf numFmtId="169" fontId="15" fillId="0" borderId="10" xfId="3" applyNumberFormat="1" applyFont="1" applyBorder="1"/>
    <xf numFmtId="44" fontId="15" fillId="10" borderId="6" xfId="5" applyFont="1" applyFill="1" applyBorder="1"/>
    <xf numFmtId="0" fontId="15" fillId="0" borderId="6" xfId="3" applyFont="1" applyBorder="1"/>
    <xf numFmtId="0" fontId="13" fillId="0" borderId="6" xfId="3" applyBorder="1"/>
    <xf numFmtId="4" fontId="15" fillId="0" borderId="11" xfId="3" applyNumberFormat="1" applyFont="1" applyBorder="1"/>
    <xf numFmtId="0" fontId="15" fillId="0" borderId="11" xfId="3" applyFont="1" applyBorder="1"/>
    <xf numFmtId="0" fontId="14" fillId="9" borderId="6" xfId="3" applyFont="1" applyFill="1" applyBorder="1" applyAlignment="1">
      <alignment horizontal="center" wrapText="1"/>
    </xf>
    <xf numFmtId="0" fontId="15" fillId="0" borderId="0" xfId="3" applyFont="1"/>
    <xf numFmtId="44" fontId="13" fillId="0" borderId="0" xfId="3" applyNumberFormat="1"/>
    <xf numFmtId="44" fontId="0" fillId="0" borderId="6" xfId="5" applyFont="1" applyBorder="1"/>
    <xf numFmtId="0" fontId="17" fillId="0" borderId="11" xfId="3" applyFont="1" applyBorder="1" applyAlignment="1">
      <alignment horizontal="center"/>
    </xf>
    <xf numFmtId="0" fontId="15" fillId="0" borderId="11" xfId="6" applyFont="1" applyBorder="1"/>
    <xf numFmtId="0" fontId="13" fillId="0" borderId="12" xfId="3" applyBorder="1"/>
    <xf numFmtId="0" fontId="15" fillId="0" borderId="12" xfId="6" applyFont="1" applyBorder="1"/>
    <xf numFmtId="9" fontId="15" fillId="0" borderId="12" xfId="4" applyFont="1" applyBorder="1"/>
    <xf numFmtId="0" fontId="18" fillId="0" borderId="0" xfId="7"/>
    <xf numFmtId="170" fontId="13" fillId="0" borderId="12" xfId="3" applyNumberFormat="1" applyBorder="1"/>
    <xf numFmtId="0" fontId="0" fillId="0" borderId="12" xfId="6" applyFont="1" applyBorder="1"/>
    <xf numFmtId="44" fontId="15" fillId="0" borderId="12" xfId="3" applyNumberFormat="1" applyFont="1" applyBorder="1"/>
    <xf numFmtId="44" fontId="13" fillId="0" borderId="12" xfId="3" applyNumberFormat="1" applyBorder="1"/>
    <xf numFmtId="44" fontId="15" fillId="0" borderId="6" xfId="3" applyNumberFormat="1" applyFont="1" applyBorder="1"/>
    <xf numFmtId="0" fontId="15" fillId="0" borderId="13" xfId="6" applyFont="1" applyBorder="1" applyAlignment="1">
      <alignment horizontal="left"/>
    </xf>
    <xf numFmtId="0" fontId="15" fillId="0" borderId="5" xfId="6" applyFont="1" applyBorder="1" applyAlignment="1">
      <alignment horizontal="left"/>
    </xf>
    <xf numFmtId="0" fontId="15" fillId="0" borderId="14" xfId="6" applyFont="1" applyBorder="1" applyAlignment="1">
      <alignment horizontal="left"/>
    </xf>
    <xf numFmtId="44" fontId="15" fillId="0" borderId="12" xfId="5" applyFont="1" applyBorder="1"/>
    <xf numFmtId="44" fontId="13" fillId="0" borderId="6" xfId="3" applyNumberFormat="1" applyBorder="1"/>
    <xf numFmtId="0" fontId="0" fillId="0" borderId="15" xfId="6" applyFont="1" applyBorder="1" applyAlignment="1">
      <alignment horizontal="left"/>
    </xf>
    <xf numFmtId="0" fontId="0" fillId="0" borderId="0" xfId="6" applyFont="1" applyAlignment="1">
      <alignment horizontal="left"/>
    </xf>
    <xf numFmtId="0" fontId="0" fillId="0" borderId="16" xfId="6" applyFont="1" applyBorder="1" applyAlignment="1">
      <alignment horizontal="left"/>
    </xf>
    <xf numFmtId="0" fontId="14" fillId="9" borderId="17" xfId="6" applyFont="1" applyFill="1" applyBorder="1" applyAlignment="1">
      <alignment horizontal="left"/>
    </xf>
    <xf numFmtId="0" fontId="14" fillId="9" borderId="18" xfId="3" applyFont="1" applyFill="1" applyBorder="1" applyAlignment="1">
      <alignment horizontal="center"/>
    </xf>
    <xf numFmtId="0" fontId="14" fillId="9" borderId="19" xfId="6" applyFont="1" applyFill="1" applyBorder="1" applyAlignment="1">
      <alignment horizontal="left"/>
    </xf>
    <xf numFmtId="44" fontId="15" fillId="0" borderId="0" xfId="3" applyNumberFormat="1" applyFont="1"/>
    <xf numFmtId="0" fontId="19" fillId="0" borderId="0" xfId="3" applyFont="1"/>
    <xf numFmtId="44" fontId="15" fillId="10" borderId="20" xfId="5" applyFont="1" applyFill="1" applyBorder="1" applyAlignment="1">
      <alignment horizontal="center"/>
    </xf>
    <xf numFmtId="2" fontId="0" fillId="0" borderId="0" xfId="4" applyNumberFormat="1" applyFont="1"/>
    <xf numFmtId="0" fontId="0" fillId="10" borderId="0" xfId="6" applyFont="1" applyFill="1" applyAlignment="1">
      <alignment horizontal="center"/>
    </xf>
    <xf numFmtId="0" fontId="14" fillId="9" borderId="1" xfId="3" applyFont="1" applyFill="1" applyBorder="1" applyAlignment="1">
      <alignment horizontal="center"/>
    </xf>
    <xf numFmtId="8" fontId="13" fillId="0" borderId="0" xfId="3" applyNumberFormat="1"/>
    <xf numFmtId="44" fontId="15" fillId="10" borderId="3" xfId="5" applyFont="1" applyFill="1" applyBorder="1"/>
    <xf numFmtId="10" fontId="13" fillId="10" borderId="6" xfId="3" applyNumberFormat="1" applyFill="1" applyBorder="1"/>
    <xf numFmtId="9" fontId="0" fillId="0" borderId="13" xfId="4" applyFont="1" applyBorder="1"/>
    <xf numFmtId="9" fontId="0" fillId="0" borderId="5" xfId="4" applyFont="1" applyBorder="1"/>
    <xf numFmtId="0" fontId="0" fillId="0" borderId="11" xfId="6" applyFont="1" applyBorder="1"/>
    <xf numFmtId="44" fontId="15" fillId="10" borderId="0" xfId="5" applyFont="1" applyFill="1" applyBorder="1"/>
    <xf numFmtId="44" fontId="15" fillId="0" borderId="0" xfId="5" applyFont="1" applyBorder="1"/>
    <xf numFmtId="9" fontId="0" fillId="0" borderId="15" xfId="4" applyFont="1" applyBorder="1"/>
    <xf numFmtId="9" fontId="0" fillId="0" borderId="0" xfId="4" applyFont="1" applyBorder="1"/>
    <xf numFmtId="44" fontId="15" fillId="10" borderId="0" xfId="3" applyNumberFormat="1" applyFont="1" applyFill="1"/>
    <xf numFmtId="0" fontId="13" fillId="0" borderId="15" xfId="3" applyBorder="1"/>
    <xf numFmtId="0" fontId="0" fillId="0" borderId="15" xfId="6" applyFont="1" applyBorder="1"/>
    <xf numFmtId="9" fontId="15" fillId="10" borderId="0" xfId="4" applyFont="1" applyFill="1" applyBorder="1"/>
    <xf numFmtId="9" fontId="15" fillId="0" borderId="0" xfId="4" applyFont="1" applyBorder="1"/>
    <xf numFmtId="0" fontId="13" fillId="12" borderId="5" xfId="3" applyFill="1" applyBorder="1"/>
    <xf numFmtId="0" fontId="20" fillId="0" borderId="0" xfId="2" applyFont="1"/>
    <xf numFmtId="0" fontId="3" fillId="0" borderId="0" xfId="8"/>
    <xf numFmtId="10" fontId="22" fillId="0" borderId="13" xfId="8" applyNumberFormat="1" applyFont="1" applyBorder="1" applyAlignment="1">
      <alignment horizontal="center"/>
    </xf>
    <xf numFmtId="10" fontId="23" fillId="13" borderId="13" xfId="8" applyNumberFormat="1" applyFont="1" applyFill="1" applyBorder="1" applyAlignment="1">
      <alignment horizontal="center"/>
    </xf>
    <xf numFmtId="0" fontId="22" fillId="0" borderId="13" xfId="8" applyFont="1" applyBorder="1" applyAlignment="1">
      <alignment horizontal="center"/>
    </xf>
    <xf numFmtId="0" fontId="22" fillId="0" borderId="11" xfId="8" applyFont="1" applyBorder="1"/>
    <xf numFmtId="10" fontId="23" fillId="0" borderId="13" xfId="8" applyNumberFormat="1" applyFont="1" applyBorder="1" applyAlignment="1">
      <alignment horizontal="center"/>
    </xf>
    <xf numFmtId="0" fontId="23" fillId="0" borderId="13" xfId="8" applyFont="1" applyBorder="1" applyAlignment="1">
      <alignment horizontal="center"/>
    </xf>
    <xf numFmtId="0" fontId="23" fillId="0" borderId="11" xfId="8" applyFont="1" applyBorder="1"/>
    <xf numFmtId="10" fontId="23" fillId="10" borderId="13" xfId="8" applyNumberFormat="1" applyFont="1" applyFill="1" applyBorder="1" applyAlignment="1">
      <alignment horizontal="center"/>
    </xf>
    <xf numFmtId="0" fontId="23" fillId="10" borderId="13" xfId="8" applyFont="1" applyFill="1" applyBorder="1" applyAlignment="1">
      <alignment horizontal="center"/>
    </xf>
    <xf numFmtId="0" fontId="23" fillId="10" borderId="11" xfId="8" applyFont="1" applyFill="1" applyBorder="1"/>
    <xf numFmtId="10" fontId="24" fillId="14" borderId="10" xfId="8" applyNumberFormat="1" applyFont="1" applyFill="1" applyBorder="1" applyAlignment="1">
      <alignment horizontal="center"/>
    </xf>
    <xf numFmtId="0" fontId="24" fillId="15" borderId="10" xfId="8" applyFont="1" applyFill="1" applyBorder="1" applyAlignment="1">
      <alignment horizontal="right"/>
    </xf>
    <xf numFmtId="10" fontId="25" fillId="16" borderId="10" xfId="8" applyNumberFormat="1" applyFont="1" applyFill="1" applyBorder="1" applyAlignment="1">
      <alignment horizontal="center" wrapText="1"/>
    </xf>
    <xf numFmtId="164" fontId="26" fillId="17" borderId="10" xfId="8" applyNumberFormat="1" applyFont="1" applyFill="1" applyBorder="1" applyAlignment="1">
      <alignment horizontal="right"/>
    </xf>
    <xf numFmtId="171" fontId="25" fillId="16" borderId="10" xfId="8" applyNumberFormat="1" applyFont="1" applyFill="1" applyBorder="1" applyAlignment="1">
      <alignment horizontal="center" wrapText="1"/>
    </xf>
    <xf numFmtId="172" fontId="25" fillId="16" borderId="10" xfId="8" applyNumberFormat="1" applyFont="1" applyFill="1" applyBorder="1" applyAlignment="1">
      <alignment horizontal="center" wrapText="1"/>
    </xf>
    <xf numFmtId="0" fontId="25" fillId="0" borderId="0" xfId="8" applyFont="1" applyAlignment="1">
      <alignment horizontal="center"/>
    </xf>
    <xf numFmtId="0" fontId="24" fillId="0" borderId="0" xfId="8" applyFont="1"/>
    <xf numFmtId="44" fontId="0" fillId="0" borderId="0" xfId="9" applyFont="1"/>
    <xf numFmtId="0" fontId="24" fillId="15" borderId="21" xfId="8" applyFont="1" applyFill="1" applyBorder="1"/>
    <xf numFmtId="10" fontId="27" fillId="10" borderId="13" xfId="3" applyNumberFormat="1" applyFont="1" applyFill="1" applyBorder="1" applyAlignment="1">
      <alignment horizontal="center"/>
    </xf>
    <xf numFmtId="0" fontId="27" fillId="10" borderId="13" xfId="3" applyFont="1" applyFill="1" applyBorder="1" applyAlignment="1">
      <alignment horizontal="center"/>
    </xf>
    <xf numFmtId="0" fontId="28" fillId="10" borderId="13" xfId="3" applyFont="1" applyFill="1" applyBorder="1" applyAlignment="1">
      <alignment horizontal="center"/>
    </xf>
    <xf numFmtId="0" fontId="28" fillId="10" borderId="11" xfId="3" applyFont="1" applyFill="1" applyBorder="1" applyAlignment="1">
      <alignment horizontal="center"/>
    </xf>
    <xf numFmtId="164" fontId="29" fillId="17" borderId="10" xfId="8" applyNumberFormat="1" applyFont="1" applyFill="1" applyBorder="1" applyAlignment="1">
      <alignment horizontal="left"/>
    </xf>
    <xf numFmtId="10" fontId="27" fillId="0" borderId="13" xfId="3" applyNumberFormat="1" applyFont="1" applyBorder="1" applyAlignment="1">
      <alignment horizontal="center"/>
    </xf>
    <xf numFmtId="0" fontId="27" fillId="0" borderId="13" xfId="3" applyFont="1" applyBorder="1" applyAlignment="1">
      <alignment horizontal="center"/>
    </xf>
    <xf numFmtId="0" fontId="28" fillId="0" borderId="13" xfId="3" applyFont="1" applyBorder="1" applyAlignment="1">
      <alignment horizontal="center"/>
    </xf>
    <xf numFmtId="0" fontId="28" fillId="0" borderId="11" xfId="3" applyFont="1" applyBorder="1" applyAlignment="1">
      <alignment horizontal="center"/>
    </xf>
    <xf numFmtId="0" fontId="30" fillId="0" borderId="0" xfId="10"/>
    <xf numFmtId="0" fontId="31" fillId="0" borderId="22" xfId="8" applyFont="1" applyBorder="1" applyAlignment="1">
      <alignment vertical="center"/>
    </xf>
    <xf numFmtId="10" fontId="32" fillId="16" borderId="10" xfId="8" applyNumberFormat="1" applyFont="1" applyFill="1" applyBorder="1" applyAlignment="1">
      <alignment horizontal="center" wrapText="1"/>
    </xf>
    <xf numFmtId="164" fontId="26" fillId="17" borderId="10" xfId="8" applyNumberFormat="1" applyFont="1" applyFill="1" applyBorder="1" applyAlignment="1">
      <alignment horizontal="left"/>
    </xf>
    <xf numFmtId="0" fontId="33" fillId="0" borderId="22" xfId="8" applyFont="1" applyBorder="1" applyAlignment="1">
      <alignment vertical="center"/>
    </xf>
    <xf numFmtId="4" fontId="32" fillId="16" borderId="10" xfId="8" applyNumberFormat="1" applyFont="1" applyFill="1" applyBorder="1" applyAlignment="1">
      <alignment horizontal="center" wrapText="1"/>
    </xf>
    <xf numFmtId="10" fontId="0" fillId="0" borderId="0" xfId="11" applyNumberFormat="1" applyFont="1"/>
    <xf numFmtId="49" fontId="24" fillId="15" borderId="21" xfId="8" applyNumberFormat="1" applyFont="1" applyFill="1" applyBorder="1"/>
    <xf numFmtId="0" fontId="31" fillId="0" borderId="0" xfId="8" applyFont="1"/>
    <xf numFmtId="2" fontId="25" fillId="16" borderId="10" xfId="8" applyNumberFormat="1" applyFont="1" applyFill="1" applyBorder="1" applyAlignment="1">
      <alignment horizontal="center" wrapText="1"/>
    </xf>
    <xf numFmtId="0" fontId="34" fillId="0" borderId="0" xfId="8" applyFont="1"/>
    <xf numFmtId="0" fontId="35" fillId="0" borderId="4" xfId="3" applyFont="1" applyBorder="1" applyAlignment="1">
      <alignment horizontal="center"/>
    </xf>
    <xf numFmtId="0" fontId="35" fillId="0" borderId="6" xfId="3" applyFont="1" applyBorder="1" applyAlignment="1">
      <alignment horizontal="center"/>
    </xf>
    <xf numFmtId="0" fontId="36" fillId="0" borderId="4" xfId="8" applyFont="1" applyBorder="1" applyAlignment="1">
      <alignment horizontal="center"/>
    </xf>
    <xf numFmtId="0" fontId="36" fillId="13" borderId="4" xfId="8" applyFont="1" applyFill="1" applyBorder="1" applyAlignment="1">
      <alignment horizontal="center"/>
    </xf>
    <xf numFmtId="0" fontId="23" fillId="0" borderId="4" xfId="8" applyFont="1" applyBorder="1" applyAlignment="1">
      <alignment horizontal="center"/>
    </xf>
    <xf numFmtId="0" fontId="36" fillId="0" borderId="6" xfId="8" applyFont="1" applyBorder="1"/>
    <xf numFmtId="0" fontId="6" fillId="10" borderId="7" xfId="2" applyFont="1" applyFill="1" applyBorder="1" applyAlignment="1">
      <alignment vertical="center" wrapText="1"/>
    </xf>
    <xf numFmtId="4" fontId="6" fillId="10" borderId="7" xfId="2" applyNumberFormat="1" applyFont="1" applyFill="1" applyBorder="1" applyAlignment="1">
      <alignment horizontal="right" vertical="center" wrapText="1"/>
    </xf>
    <xf numFmtId="0" fontId="5" fillId="10" borderId="0" xfId="2" applyFill="1"/>
    <xf numFmtId="0" fontId="14" fillId="9" borderId="6" xfId="3" applyFont="1" applyFill="1" applyBorder="1" applyAlignment="1">
      <alignment horizontal="center"/>
    </xf>
    <xf numFmtId="3" fontId="13" fillId="0" borderId="6" xfId="3" applyNumberFormat="1" applyBorder="1"/>
    <xf numFmtId="170" fontId="13" fillId="0" borderId="6" xfId="3" applyNumberFormat="1" applyBorder="1"/>
    <xf numFmtId="0" fontId="21" fillId="10" borderId="6" xfId="3" applyFont="1" applyFill="1" applyBorder="1"/>
    <xf numFmtId="173" fontId="13" fillId="0" borderId="0" xfId="3" applyNumberFormat="1"/>
    <xf numFmtId="0" fontId="38" fillId="0" borderId="0" xfId="0" applyFont="1"/>
    <xf numFmtId="44" fontId="15" fillId="10" borderId="6" xfId="12" applyFont="1" applyFill="1" applyBorder="1"/>
    <xf numFmtId="10" fontId="13" fillId="0" borderId="0" xfId="1" applyNumberFormat="1" applyFont="1"/>
    <xf numFmtId="43" fontId="13" fillId="0" borderId="6" xfId="13" applyFont="1" applyBorder="1"/>
    <xf numFmtId="0" fontId="4" fillId="18" borderId="0" xfId="8" applyFont="1" applyFill="1" applyAlignment="1">
      <alignment horizontal="center"/>
    </xf>
    <xf numFmtId="9" fontId="15" fillId="0" borderId="12" xfId="1" applyFont="1" applyBorder="1"/>
    <xf numFmtId="44" fontId="15" fillId="0" borderId="12" xfId="12" applyFont="1" applyBorder="1"/>
    <xf numFmtId="0" fontId="14" fillId="9" borderId="17" xfId="6" applyFont="1" applyFill="1" applyBorder="1" applyAlignment="1">
      <alignment horizontal="center"/>
    </xf>
    <xf numFmtId="3" fontId="13" fillId="0" borderId="0" xfId="3" applyNumberFormat="1"/>
    <xf numFmtId="44" fontId="13" fillId="0" borderId="12" xfId="6" applyNumberFormat="1" applyFont="1" applyBorder="1"/>
    <xf numFmtId="1" fontId="13" fillId="0" borderId="12" xfId="3" applyNumberFormat="1" applyBorder="1"/>
    <xf numFmtId="174" fontId="15" fillId="0" borderId="12" xfId="4" applyNumberFormat="1" applyFont="1" applyBorder="1"/>
    <xf numFmtId="10" fontId="13" fillId="10" borderId="0" xfId="3" applyNumberFormat="1" applyFill="1"/>
    <xf numFmtId="0" fontId="9" fillId="8" borderId="8" xfId="2" applyFont="1" applyFill="1" applyBorder="1" applyAlignment="1">
      <alignment horizontal="center" vertical="center" wrapText="1"/>
    </xf>
    <xf numFmtId="0" fontId="6" fillId="0" borderId="7" xfId="2" applyFont="1" applyBorder="1" applyAlignment="1">
      <alignment horizontal="center" vertical="center" wrapText="1"/>
    </xf>
    <xf numFmtId="168" fontId="6" fillId="0" borderId="7" xfId="2" applyNumberFormat="1" applyFont="1" applyBorder="1" applyAlignment="1">
      <alignment horizontal="center" vertical="center" wrapText="1"/>
    </xf>
    <xf numFmtId="3" fontId="12" fillId="0" borderId="7" xfId="2" applyNumberFormat="1" applyFont="1" applyBorder="1" applyAlignment="1">
      <alignment horizontal="right" vertical="center" wrapText="1"/>
    </xf>
    <xf numFmtId="3" fontId="5" fillId="0" borderId="0" xfId="2" applyNumberFormat="1"/>
    <xf numFmtId="166" fontId="5" fillId="0" borderId="0" xfId="2" applyNumberFormat="1"/>
    <xf numFmtId="4" fontId="5" fillId="0" borderId="0" xfId="2" applyNumberFormat="1"/>
    <xf numFmtId="9" fontId="0" fillId="0" borderId="0" xfId="14" applyFont="1"/>
    <xf numFmtId="9" fontId="5" fillId="0" borderId="0" xfId="2" applyNumberFormat="1"/>
    <xf numFmtId="165" fontId="2" fillId="5" borderId="6" xfId="0" applyNumberFormat="1" applyFont="1" applyFill="1" applyBorder="1" applyAlignment="1">
      <alignment horizontal="right"/>
    </xf>
    <xf numFmtId="165" fontId="2" fillId="6" borderId="6" xfId="0" applyNumberFormat="1" applyFont="1" applyFill="1" applyBorder="1" applyAlignment="1">
      <alignment horizontal="right"/>
    </xf>
    <xf numFmtId="164" fontId="2" fillId="5" borderId="6" xfId="0" applyNumberFormat="1" applyFont="1" applyFill="1" applyBorder="1" applyAlignment="1">
      <alignment horizontal="left"/>
    </xf>
    <xf numFmtId="164" fontId="2" fillId="5" borderId="6" xfId="0" applyNumberFormat="1" applyFont="1" applyFill="1" applyBorder="1" applyAlignment="1">
      <alignment horizontal="right"/>
    </xf>
    <xf numFmtId="164" fontId="2" fillId="6" borderId="6" xfId="0" applyNumberFormat="1" applyFont="1" applyFill="1" applyBorder="1" applyAlignment="1">
      <alignment horizontal="right"/>
    </xf>
    <xf numFmtId="164" fontId="2" fillId="4" borderId="6" xfId="0" applyNumberFormat="1" applyFont="1" applyFill="1" applyBorder="1" applyAlignment="1">
      <alignment horizontal="right"/>
    </xf>
    <xf numFmtId="164" fontId="2" fillId="4" borderId="6" xfId="0" applyNumberFormat="1" applyFont="1" applyFill="1" applyBorder="1" applyAlignment="1">
      <alignment horizontal="left"/>
    </xf>
    <xf numFmtId="164" fontId="2" fillId="4" borderId="6" xfId="0" applyNumberFormat="1" applyFont="1" applyFill="1" applyBorder="1" applyAlignment="1">
      <alignment wrapText="1"/>
    </xf>
    <xf numFmtId="164" fontId="2" fillId="6" borderId="6" xfId="0" applyNumberFormat="1" applyFont="1" applyFill="1" applyBorder="1" applyAlignment="1">
      <alignment wrapText="1"/>
    </xf>
    <xf numFmtId="164" fontId="2" fillId="2" borderId="6" xfId="0" applyNumberFormat="1" applyFont="1" applyFill="1" applyBorder="1" applyAlignment="1">
      <alignment wrapText="1"/>
    </xf>
    <xf numFmtId="164" fontId="2" fillId="4" borderId="5" xfId="0" applyNumberFormat="1" applyFont="1" applyFill="1" applyBorder="1" applyAlignment="1">
      <alignment wrapText="1"/>
    </xf>
    <xf numFmtId="164" fontId="2" fillId="4" borderId="4" xfId="0" applyNumberFormat="1" applyFont="1" applyFill="1" applyBorder="1" applyAlignment="1">
      <alignment wrapText="1"/>
    </xf>
    <xf numFmtId="164" fontId="2" fillId="4" borderId="3" xfId="0" applyNumberFormat="1" applyFont="1" applyFill="1" applyBorder="1" applyAlignment="1">
      <alignment wrapText="1"/>
    </xf>
    <xf numFmtId="164" fontId="2" fillId="4" borderId="2" xfId="0" applyNumberFormat="1" applyFont="1" applyFill="1" applyBorder="1" applyAlignment="1">
      <alignment wrapText="1"/>
    </xf>
    <xf numFmtId="164" fontId="2" fillId="4" borderId="1" xfId="0" applyNumberFormat="1" applyFont="1" applyFill="1" applyBorder="1" applyAlignment="1">
      <alignment wrapText="1"/>
    </xf>
    <xf numFmtId="164" fontId="2" fillId="0" borderId="0" xfId="0" applyNumberFormat="1" applyFont="1" applyAlignment="1">
      <alignment wrapText="1"/>
    </xf>
    <xf numFmtId="10" fontId="15" fillId="10" borderId="0" xfId="3" applyNumberFormat="1" applyFont="1" applyFill="1"/>
    <xf numFmtId="44" fontId="13" fillId="10" borderId="12" xfId="3" applyNumberFormat="1" applyFill="1" applyBorder="1"/>
    <xf numFmtId="44" fontId="0" fillId="10" borderId="12" xfId="12" applyFont="1" applyFill="1" applyBorder="1"/>
    <xf numFmtId="44" fontId="0" fillId="10" borderId="6" xfId="5" applyFont="1" applyFill="1" applyBorder="1"/>
    <xf numFmtId="169" fontId="0" fillId="0" borderId="6" xfId="5" applyNumberFormat="1" applyFont="1" applyBorder="1"/>
    <xf numFmtId="14" fontId="9" fillId="8" borderId="8" xfId="2" applyNumberFormat="1" applyFont="1" applyFill="1" applyBorder="1" applyAlignment="1">
      <alignment horizontal="left" vertical="center" wrapText="1"/>
    </xf>
    <xf numFmtId="9" fontId="13" fillId="0" borderId="0" xfId="1" applyFont="1"/>
    <xf numFmtId="9" fontId="13" fillId="0" borderId="0" xfId="3" applyNumberFormat="1"/>
    <xf numFmtId="0" fontId="39" fillId="0" borderId="0" xfId="0" applyFont="1" applyAlignment="1">
      <alignment vertical="center" wrapText="1"/>
    </xf>
    <xf numFmtId="168" fontId="6" fillId="0" borderId="7" xfId="2" applyNumberFormat="1" applyFont="1" applyBorder="1" applyAlignment="1">
      <alignment horizontal="center" vertical="center" wrapText="1"/>
    </xf>
    <xf numFmtId="0" fontId="6" fillId="0" borderId="7" xfId="2" applyFont="1" applyBorder="1" applyAlignment="1">
      <alignment horizontal="center" vertical="center" wrapText="1"/>
    </xf>
    <xf numFmtId="0" fontId="9" fillId="8" borderId="8" xfId="2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left"/>
    </xf>
    <xf numFmtId="164" fontId="2" fillId="3" borderId="6" xfId="0" applyNumberFormat="1" applyFont="1" applyFill="1" applyBorder="1"/>
    <xf numFmtId="164" fontId="2" fillId="20" borderId="6" xfId="0" applyNumberFormat="1" applyFont="1" applyFill="1" applyBorder="1"/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2" fillId="4" borderId="6" xfId="0" applyNumberFormat="1" applyFont="1" applyFill="1" applyBorder="1" applyAlignment="1">
      <alignment wrapText="1"/>
    </xf>
    <xf numFmtId="164" fontId="37" fillId="19" borderId="16" xfId="8" applyNumberFormat="1" applyFont="1" applyFill="1" applyBorder="1" applyAlignment="1">
      <alignment horizontal="center"/>
    </xf>
    <xf numFmtId="164" fontId="37" fillId="19" borderId="0" xfId="8" applyNumberFormat="1" applyFont="1" applyFill="1" applyAlignment="1">
      <alignment horizontal="center"/>
    </xf>
    <xf numFmtId="0" fontId="4" fillId="18" borderId="0" xfId="8" applyFont="1" applyFill="1" applyAlignment="1">
      <alignment horizontal="center"/>
    </xf>
    <xf numFmtId="0" fontId="14" fillId="9" borderId="6" xfId="6" applyFont="1" applyFill="1" applyBorder="1" applyAlignment="1">
      <alignment horizontal="center"/>
    </xf>
    <xf numFmtId="0" fontId="14" fillId="9" borderId="5" xfId="3" applyFont="1" applyFill="1" applyBorder="1" applyAlignment="1">
      <alignment horizontal="center"/>
    </xf>
    <xf numFmtId="0" fontId="15" fillId="11" borderId="19" xfId="2" applyFont="1" applyFill="1" applyBorder="1" applyAlignment="1">
      <alignment horizontal="center"/>
    </xf>
    <xf numFmtId="0" fontId="15" fillId="11" borderId="1" xfId="2" applyFont="1" applyFill="1" applyBorder="1" applyAlignment="1">
      <alignment horizontal="center"/>
    </xf>
    <xf numFmtId="0" fontId="15" fillId="11" borderId="18" xfId="2" applyFont="1" applyFill="1" applyBorder="1" applyAlignment="1">
      <alignment horizontal="center"/>
    </xf>
    <xf numFmtId="0" fontId="0" fillId="0" borderId="12" xfId="6" applyFont="1" applyBorder="1" applyAlignment="1">
      <alignment horizontal="left"/>
    </xf>
    <xf numFmtId="0" fontId="0" fillId="0" borderId="15" xfId="6" applyFont="1" applyBorder="1" applyAlignment="1">
      <alignment horizontal="left"/>
    </xf>
    <xf numFmtId="0" fontId="14" fillId="9" borderId="14" xfId="6" applyFont="1" applyFill="1" applyBorder="1" applyAlignment="1">
      <alignment horizontal="left"/>
    </xf>
    <xf numFmtId="0" fontId="14" fillId="9" borderId="5" xfId="6" applyFont="1" applyFill="1" applyBorder="1" applyAlignment="1">
      <alignment horizontal="left"/>
    </xf>
    <xf numFmtId="0" fontId="15" fillId="0" borderId="2" xfId="6" applyFont="1" applyBorder="1" applyAlignment="1">
      <alignment horizontal="left"/>
    </xf>
    <xf numFmtId="0" fontId="15" fillId="0" borderId="4" xfId="6" applyFont="1" applyBorder="1" applyAlignment="1">
      <alignment horizontal="left"/>
    </xf>
    <xf numFmtId="0" fontId="14" fillId="9" borderId="19" xfId="6" applyFont="1" applyFill="1" applyBorder="1" applyAlignment="1">
      <alignment horizontal="left"/>
    </xf>
    <xf numFmtId="0" fontId="14" fillId="9" borderId="1" xfId="6" applyFont="1" applyFill="1" applyBorder="1" applyAlignment="1">
      <alignment horizontal="left"/>
    </xf>
    <xf numFmtId="0" fontId="14" fillId="9" borderId="18" xfId="6" applyFont="1" applyFill="1" applyBorder="1" applyAlignment="1">
      <alignment horizontal="left"/>
    </xf>
    <xf numFmtId="0" fontId="0" fillId="0" borderId="16" xfId="6" applyFont="1" applyBorder="1" applyAlignment="1">
      <alignment horizontal="left"/>
    </xf>
    <xf numFmtId="0" fontId="0" fillId="0" borderId="0" xfId="6" applyFont="1" applyAlignment="1">
      <alignment horizontal="left"/>
    </xf>
    <xf numFmtId="0" fontId="15" fillId="0" borderId="14" xfId="6" applyFont="1" applyBorder="1" applyAlignment="1">
      <alignment horizontal="left"/>
    </xf>
    <xf numFmtId="0" fontId="15" fillId="0" borderId="5" xfId="6" applyFont="1" applyBorder="1" applyAlignment="1">
      <alignment horizontal="left"/>
    </xf>
    <xf numFmtId="0" fontId="15" fillId="0" borderId="13" xfId="6" applyFont="1" applyBorder="1" applyAlignment="1">
      <alignment horizontal="left"/>
    </xf>
    <xf numFmtId="10" fontId="3" fillId="0" borderId="0" xfId="1" applyNumberFormat="1"/>
    <xf numFmtId="9" fontId="5" fillId="0" borderId="0" xfId="1" applyFont="1"/>
    <xf numFmtId="10" fontId="5" fillId="0" borderId="0" xfId="1" applyNumberFormat="1" applyFont="1"/>
    <xf numFmtId="10" fontId="3" fillId="0" borderId="0" xfId="8" applyNumberFormat="1"/>
    <xf numFmtId="9" fontId="3" fillId="0" borderId="0" xfId="1" applyNumberFormat="1"/>
    <xf numFmtId="175" fontId="3" fillId="0" borderId="0" xfId="8" applyNumberFormat="1"/>
  </cellXfs>
  <cellStyles count="15">
    <cellStyle name="Currency 2" xfId="5" xr:uid="{88F8F898-2F56-4938-AD4C-899A75960BAF}"/>
    <cellStyle name="Currency 2 2" xfId="9" xr:uid="{5E01402C-5DDF-46DF-B94A-4EAA391FADD8}"/>
    <cellStyle name="Hipervínculo" xfId="7" builtinId="8"/>
    <cellStyle name="Hyperlink 2" xfId="10" xr:uid="{8BC5815C-0D11-4C37-889D-7D55A38CF209}"/>
    <cellStyle name="Millares" xfId="13" builtinId="3"/>
    <cellStyle name="Moneda" xfId="12" builtinId="4"/>
    <cellStyle name="Normal" xfId="0" builtinId="0"/>
    <cellStyle name="Normal 2" xfId="2" xr:uid="{BA4D782B-B47E-42B3-863C-918D5C20DE8A}"/>
    <cellStyle name="Normal 3" xfId="3" xr:uid="{1781A620-5D75-4882-8179-AAE6E00A34CC}"/>
    <cellStyle name="Normal 3 2" xfId="8" xr:uid="{C2259E5B-B75A-43E8-8501-7B2CB11A03D5}"/>
    <cellStyle name="Normal 4" xfId="6" xr:uid="{FBB1CA86-E43A-4B8A-9430-6A539084D987}"/>
    <cellStyle name="Percent 2" xfId="4" xr:uid="{0BDE58EB-3249-4EEB-AA1F-3CB4A6A82CC1}"/>
    <cellStyle name="Percent 2 2" xfId="11" xr:uid="{647100F7-16AF-4883-8961-8AACC2F23E35}"/>
    <cellStyle name="Porcentaje" xfId="1" builtinId="5"/>
    <cellStyle name="Porcentaje 2" xfId="14" xr:uid="{44CAC852-1754-496F-ADBF-09409A483F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17/06/relationships/richStyles" Target="richData/rich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DCF!$G$39</c:f>
          <c:strCache>
            <c:ptCount val="1"/>
            <c:pt idx="0">
              <c:v>(EV) VALUTATION RANGE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all" spc="50" baseline="0">
              <a:solidFill>
                <a:sysClr val="windowText" lastClr="000000"/>
              </a:solidFill>
              <a:latin typeface="Neue Haas Grotesk Text Pro" panose="020B0504020202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s-MX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DCF!$G$40:$G$47</c:f>
              <c:strCache>
                <c:ptCount val="8"/>
                <c:pt idx="0">
                  <c:v>DCF CAGR TV</c:v>
                </c:pt>
                <c:pt idx="1">
                  <c:v>DCF EV/EBITDA multiple TV</c:v>
                </c:pt>
                <c:pt idx="2">
                  <c:v>Multiples Approach Median</c:v>
                </c:pt>
                <c:pt idx="3">
                  <c:v>EV/EBITDA multiple</c:v>
                </c:pt>
                <c:pt idx="4">
                  <c:v>EV/Sales multiple</c:v>
                </c:pt>
                <c:pt idx="5">
                  <c:v>P/E Ratio multiple</c:v>
                </c:pt>
                <c:pt idx="6">
                  <c:v>(P/B) Ratio multiple</c:v>
                </c:pt>
                <c:pt idx="7">
                  <c:v>EV Refinitiv Workspace</c:v>
                </c:pt>
              </c:strCache>
            </c:strRef>
          </c:cat>
          <c:val>
            <c:numRef>
              <c:f>DCF!$H$39:$H$47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0-C74A-470F-87E7-AAFE70FB2088}"/>
            </c:ext>
          </c:extLst>
        </c:ser>
        <c:ser>
          <c:idx val="1"/>
          <c:order val="1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Neue Haas Grotesk Text Pro" panose="020B0504020202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DCF!$G$40:$G$47</c:f>
              <c:strCache>
                <c:ptCount val="8"/>
                <c:pt idx="0">
                  <c:v>DCF CAGR TV</c:v>
                </c:pt>
                <c:pt idx="1">
                  <c:v>DCF EV/EBITDA multiple TV</c:v>
                </c:pt>
                <c:pt idx="2">
                  <c:v>Multiples Approach Median</c:v>
                </c:pt>
                <c:pt idx="3">
                  <c:v>EV/EBITDA multiple</c:v>
                </c:pt>
                <c:pt idx="4">
                  <c:v>EV/Sales multiple</c:v>
                </c:pt>
                <c:pt idx="5">
                  <c:v>P/E Ratio multiple</c:v>
                </c:pt>
                <c:pt idx="6">
                  <c:v>(P/B) Ratio multiple</c:v>
                </c:pt>
                <c:pt idx="7">
                  <c:v>EV Refinitiv Workspace</c:v>
                </c:pt>
              </c:strCache>
            </c:strRef>
          </c:cat>
          <c:val>
            <c:numRef>
              <c:f>DCF!$I$40:$I$47</c:f>
              <c:numCache>
                <c:formatCode>_("$"* #,##0.00_);_("$"* \(#,##0.00\);_("$"* "-"??_);_(@_)</c:formatCode>
                <c:ptCount val="8"/>
                <c:pt idx="0">
                  <c:v>338393.63348215912</c:v>
                </c:pt>
                <c:pt idx="1">
                  <c:v>368338.60098961415</c:v>
                </c:pt>
                <c:pt idx="2">
                  <c:v>639763.21966920397</c:v>
                </c:pt>
                <c:pt idx="3">
                  <c:v>1747422.9161337763</c:v>
                </c:pt>
                <c:pt idx="4">
                  <c:v>320279.03084633488</c:v>
                </c:pt>
                <c:pt idx="5" formatCode="&quot;$&quot;#,##0.00">
                  <c:v>812010.96937779919</c:v>
                </c:pt>
                <c:pt idx="6" formatCode="&quot;$&quot;#,##0.00">
                  <c:v>467515.46996060881</c:v>
                </c:pt>
                <c:pt idx="7">
                  <c:v>228699.51999999999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4A-470F-87E7-AAFE70FB208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overlap val="100"/>
        <c:axId val="1677552400"/>
        <c:axId val="1647902352"/>
      </c:barChart>
      <c:catAx>
        <c:axId val="16775524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s-MX"/>
          </a:p>
        </c:txPr>
        <c:crossAx val="1647902352"/>
        <c:crosses val="autoZero"/>
        <c:auto val="1"/>
        <c:lblAlgn val="ctr"/>
        <c:lblOffset val="100"/>
        <c:noMultiLvlLbl val="0"/>
      </c:catAx>
      <c:valAx>
        <c:axId val="16479023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77552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>
          <a:solidFill>
            <a:sysClr val="windowText" lastClr="000000"/>
          </a:solidFill>
          <a:latin typeface="Neue Haas Grotesk Text Pro" panose="020B0504020202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'DCF pesimista'!$G$39</c:f>
          <c:strCache>
            <c:ptCount val="1"/>
            <c:pt idx="0">
              <c:v>(EV) VALUTATION RANGE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all" spc="50" baseline="0">
              <a:solidFill>
                <a:sysClr val="windowText" lastClr="000000"/>
              </a:solidFill>
              <a:latin typeface="Neue Haas Grotesk Text Pro" panose="020B0504020202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s-MX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'DCF pesimista'!$G$40:$G$47</c:f>
              <c:strCache>
                <c:ptCount val="8"/>
                <c:pt idx="0">
                  <c:v>DCF CAGR TV</c:v>
                </c:pt>
                <c:pt idx="1">
                  <c:v>DCF EV/EBITDA multiple TV</c:v>
                </c:pt>
                <c:pt idx="2">
                  <c:v>Multiples Approach Median</c:v>
                </c:pt>
                <c:pt idx="3">
                  <c:v>EV/EBITDA multiple</c:v>
                </c:pt>
                <c:pt idx="4">
                  <c:v>EV/Sales multiple</c:v>
                </c:pt>
                <c:pt idx="5">
                  <c:v>P/E Ratio multiple</c:v>
                </c:pt>
                <c:pt idx="6">
                  <c:v>(P/B) Ratio multiple</c:v>
                </c:pt>
                <c:pt idx="7">
                  <c:v>EV Refinitiv Workspace</c:v>
                </c:pt>
              </c:strCache>
            </c:strRef>
          </c:cat>
          <c:val>
            <c:numRef>
              <c:f>'DCF pesimista'!$H$39:$H$47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0-0B47-4C0D-A04A-B4552FCF15B4}"/>
            </c:ext>
          </c:extLst>
        </c:ser>
        <c:ser>
          <c:idx val="1"/>
          <c:order val="1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Neue Haas Grotesk Text Pro" panose="020B0504020202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'DCF pesimista'!$G$40:$G$47</c:f>
              <c:strCache>
                <c:ptCount val="8"/>
                <c:pt idx="0">
                  <c:v>DCF CAGR TV</c:v>
                </c:pt>
                <c:pt idx="1">
                  <c:v>DCF EV/EBITDA multiple TV</c:v>
                </c:pt>
                <c:pt idx="2">
                  <c:v>Multiples Approach Median</c:v>
                </c:pt>
                <c:pt idx="3">
                  <c:v>EV/EBITDA multiple</c:v>
                </c:pt>
                <c:pt idx="4">
                  <c:v>EV/Sales multiple</c:v>
                </c:pt>
                <c:pt idx="5">
                  <c:v>P/E Ratio multiple</c:v>
                </c:pt>
                <c:pt idx="6">
                  <c:v>(P/B) Ratio multiple</c:v>
                </c:pt>
                <c:pt idx="7">
                  <c:v>EV Refinitiv Workspace</c:v>
                </c:pt>
              </c:strCache>
            </c:strRef>
          </c:cat>
          <c:val>
            <c:numRef>
              <c:f>'DCF pesimista'!$I$40:$I$47</c:f>
              <c:numCache>
                <c:formatCode>_("$"* #,##0.00_);_("$"* \(#,##0.00\);_("$"* "-"??_);_(@_)</c:formatCode>
                <c:ptCount val="8"/>
                <c:pt idx="0">
                  <c:v>261448.77046830769</c:v>
                </c:pt>
                <c:pt idx="1">
                  <c:v>335752.25899785379</c:v>
                </c:pt>
                <c:pt idx="2">
                  <c:v>639763.21966920397</c:v>
                </c:pt>
                <c:pt idx="3">
                  <c:v>1747422.9161337763</c:v>
                </c:pt>
                <c:pt idx="4">
                  <c:v>320279.03084633488</c:v>
                </c:pt>
                <c:pt idx="5" formatCode="&quot;$&quot;#,##0.00">
                  <c:v>812010.96937779919</c:v>
                </c:pt>
                <c:pt idx="6" formatCode="&quot;$&quot;#,##0.00">
                  <c:v>467515.46996060881</c:v>
                </c:pt>
                <c:pt idx="7">
                  <c:v>228699.51999999999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47-4C0D-A04A-B4552FCF15B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overlap val="100"/>
        <c:axId val="1677552400"/>
        <c:axId val="1647902352"/>
      </c:barChart>
      <c:catAx>
        <c:axId val="16775524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s-MX"/>
          </a:p>
        </c:txPr>
        <c:crossAx val="1647902352"/>
        <c:crosses val="autoZero"/>
        <c:auto val="1"/>
        <c:lblAlgn val="ctr"/>
        <c:lblOffset val="100"/>
        <c:noMultiLvlLbl val="0"/>
      </c:catAx>
      <c:valAx>
        <c:axId val="16479023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77552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>
          <a:solidFill>
            <a:sysClr val="windowText" lastClr="000000"/>
          </a:solidFill>
          <a:latin typeface="Neue Haas Grotesk Text Pro" panose="020B0504020202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358140</xdr:colOff>
      <xdr:row>25</xdr:row>
      <xdr:rowOff>0</xdr:rowOff>
    </xdr:from>
    <xdr:to>
      <xdr:col>14</xdr:col>
      <xdr:colOff>154941</xdr:colOff>
      <xdr:row>27</xdr:row>
      <xdr:rowOff>137160</xdr:rowOff>
    </xdr:to>
    <xdr:sp macro="" textlink="">
      <xdr:nvSpPr>
        <xdr:cNvPr id="2" name="Snip Single Corner Rectangle 1">
          <a:extLst>
            <a:ext uri="{FF2B5EF4-FFF2-40B4-BE49-F238E27FC236}">
              <a16:creationId xmlns:a16="http://schemas.microsoft.com/office/drawing/2014/main" id="{B0920022-2EA9-4C0D-AB96-0035C25F6C01}"/>
            </a:ext>
          </a:extLst>
        </xdr:cNvPr>
        <xdr:cNvSpPr/>
      </xdr:nvSpPr>
      <xdr:spPr>
        <a:xfrm>
          <a:off x="7063740" y="4953000"/>
          <a:ext cx="2479041" cy="533400"/>
        </a:xfrm>
        <a:prstGeom prst="snip1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rtl="0" eaLnBrk="1" latinLnBrk="0" hangingPunct="1"/>
          <a:r>
            <a:rPr 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Terminal Value:</a:t>
          </a:r>
        </a:p>
        <a:p>
          <a:pPr rtl="0" eaLnBrk="1" latinLnBrk="0" hangingPunct="1"/>
          <a:r>
            <a:rPr lang="en-US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𝐹𝐶𝐹 ∗ (1+𝑔𝑟𝑜𝑤𝑡ℎ)/(𝑊𝐴𝐶𝐶 −𝑔𝑟𝑜𝑤𝑡ℎ)</a:t>
          </a:r>
        </a:p>
        <a:p>
          <a:pPr rtl="0" eaLnBrk="1" latinLnBrk="0" hangingPunct="1"/>
          <a:endParaRPr lang="en-US" sz="1100" b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99060</xdr:colOff>
      <xdr:row>35</xdr:row>
      <xdr:rowOff>137160</xdr:rowOff>
    </xdr:from>
    <xdr:to>
      <xdr:col>21</xdr:col>
      <xdr:colOff>548640</xdr:colOff>
      <xdr:row>48</xdr:row>
      <xdr:rowOff>647700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1D79A3-122A-42FB-A9FF-408E9937C8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358140</xdr:colOff>
      <xdr:row>25</xdr:row>
      <xdr:rowOff>0</xdr:rowOff>
    </xdr:from>
    <xdr:to>
      <xdr:col>14</xdr:col>
      <xdr:colOff>154941</xdr:colOff>
      <xdr:row>27</xdr:row>
      <xdr:rowOff>137160</xdr:rowOff>
    </xdr:to>
    <xdr:sp macro="" textlink="">
      <xdr:nvSpPr>
        <xdr:cNvPr id="2" name="Snip Single Corner Rectangle 1">
          <a:extLst>
            <a:ext uri="{FF2B5EF4-FFF2-40B4-BE49-F238E27FC236}">
              <a16:creationId xmlns:a16="http://schemas.microsoft.com/office/drawing/2014/main" id="{B123EBBC-A277-495D-A11D-80DD4B9BB8BB}"/>
            </a:ext>
          </a:extLst>
        </xdr:cNvPr>
        <xdr:cNvSpPr/>
      </xdr:nvSpPr>
      <xdr:spPr>
        <a:xfrm>
          <a:off x="13125450" y="4953000"/>
          <a:ext cx="2673351" cy="541020"/>
        </a:xfrm>
        <a:prstGeom prst="snip1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rtl="0" eaLnBrk="1" latinLnBrk="0" hangingPunct="1"/>
          <a:r>
            <a:rPr 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Terminal Value:</a:t>
          </a:r>
        </a:p>
        <a:p>
          <a:pPr rtl="0" eaLnBrk="1" latinLnBrk="0" hangingPunct="1"/>
          <a:r>
            <a:rPr lang="en-US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𝐹𝐶𝐹 ∗ (1+𝑔𝑟𝑜𝑤𝑡ℎ)/(𝑊𝐴𝐶𝐶 −𝑔𝑟𝑜𝑤𝑡ℎ)</a:t>
          </a:r>
        </a:p>
        <a:p>
          <a:pPr rtl="0" eaLnBrk="1" latinLnBrk="0" hangingPunct="1"/>
          <a:endParaRPr lang="en-US" sz="1100" b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99060</xdr:colOff>
      <xdr:row>35</xdr:row>
      <xdr:rowOff>137160</xdr:rowOff>
    </xdr:from>
    <xdr:to>
      <xdr:col>21</xdr:col>
      <xdr:colOff>548640</xdr:colOff>
      <xdr:row>48</xdr:row>
      <xdr:rowOff>647700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3C13AA-7C6F-429F-B73D-5992CAD384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https://www.bing.com/financeapi/forcetrigger?t=a1o4mw&amp;q=XNYS%3aBABA&amp;form=skydnc</v>
    <v>Learn more on Bing</v>
  </rv>
  <rv s="1">
    <v>es-ES</v>
    <v>a1o4mw</v>
    <v>268435456</v>
    <v>1</v>
    <v>Con tecnología de Refinitiv</v>
    <v>0</v>
    <v>1</v>
    <v>Alibaba Group Holding Limited (XNYS:BABA)</v>
    <v>3</v>
    <v>4</v>
    <v>Finance</v>
    <v>5</v>
    <v>XNYS</v>
    <v>2543424000</v>
    <v>1999</v>
    <v>75</v>
    <v>0.61240000000000006</v>
    <v>-2.0699999999999998</v>
    <v>-4.0180000000000001E-4</v>
    <v>-2.6974000000000001E-2</v>
    <v>-0.03</v>
    <v>189917470080</v>
    <v>76.739999999999995</v>
    <v>Alibaba Group Holding Limited es una sociedad de cartera. A través de sus filiales, la Compañía se dedica al comercio en línea y móvil a través de la oferta de productos, servicios y tecnología que permiten a comerciantes, marcas y otras empresas a transformar la manera en que comercializan, venden y operan en la República Popular de China (China) y a nivel internacional. Sus negocios consisten de comercio, computación en nube, medios móviles y entretenimiento, así como otras iniciativas de innovación. A través de empresas afiliadas, también participa en el sector logístico y de servicios locales. El comercio minorista en China, operado por la Compañía, incluye un mercado de comercio en línea de China (Taobao Marketplace), una plataforma china de terceros para marcas y minoristas (Tmall) y una plataforma de ventas y marketing para ventas de tipo flash (Juhuasuan). El comercio mayorista en China, operado por la Compañía, incluye el mercado mayorista doméstico de China (1688.com) y el mercado mayorista para el comercio global (Alibaba.com).</v>
    <v>224955</v>
    <v>XNYS</v>
    <v>45260.041622500001</v>
    <v>New York Stock Exchange</v>
    <v>0</v>
    <v>75.456000000000003</v>
    <v>121.3</v>
    <v>74.424999999999997</v>
    <v>74.424999999999997</v>
    <v>USD</v>
    <v>Alibaba Group Holding Limited</v>
    <v>Alibaba Group Holding Limited</v>
    <v>10.976699999999999</v>
    <v>74.67</v>
    <v>74.64</v>
    <v>Software &amp; IT Services</v>
    <v>969 West Wen Yi Road, Yu Hang District, HANGZHOU, ZHEJIANG, 311121 CN</v>
    <v>BABA</v>
    <v>Acciones</v>
    <v>Alibaba Group Holding Limited (XNYS:BABA)</v>
    <v>30969099</v>
    <v>17676930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Abreviatura de intercambio" t="s"/>
    <k n="Acciones en circulación"/>
    <k n="Año de constitución"/>
    <k n="Apertura"/>
    <k n="Beta"/>
    <k n="Cambio"/>
    <k n="Cambio % (horario ampliado)"/>
    <k n="Cambio (%)"/>
    <k n="Cambio (horario ampliado)"/>
    <k n="Capitalización de mercado"/>
    <k n="Cierre anterior"/>
    <k n="Descripción" t="s"/>
    <k n="Empleados"/>
    <k n="ExchangeID" t="s"/>
    <k n="Hora de la última operación"/>
    <k n="Intercambio" t="s"/>
    <k n="LearnMoreOnLink" t="r"/>
    <k n="Máximo"/>
    <k n="Máximo en 52 semanas"/>
    <k n="Mínimo"/>
    <k n="Mínimo en 52 semanas"/>
    <k n="Moneda" t="s"/>
    <k n="Nombre" t="s"/>
    <k n="Nombre oficial" t="s"/>
    <k n="P/I"/>
    <k n="Precio"/>
    <k n="Precio (horario ampliado)"/>
    <k n="Sector" t="s"/>
    <k n="Sede central" t="s"/>
    <k n="Símbolo bursátil" t="s"/>
    <k n="Tipo de instrumento" t="s"/>
    <k n="UniqueName" t="s"/>
    <k n="Volumen"/>
    <k n="Volumen promedio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6">
      <v t="s">%EntityServiceId</v>
      <v t="s">_Format</v>
      <v t="s">%IsRefreshable</v>
      <v t="s">_CanonicalPropertyNames</v>
      <v t="s">%EntityCulture</v>
      <v t="s">%EntityId</v>
      <v t="s">_Icon</v>
      <v t="s">_Display</v>
      <v t="s">Nombre</v>
      <v t="s">_SubLabel</v>
      <v t="s">Precio</v>
      <v t="s">Precio (horario ampliado)</v>
      <v t="s">Intercambio</v>
      <v t="s">Nombre oficial</v>
      <v t="s">Hora de la última operación</v>
      <v t="s">Símbolo bursátil</v>
      <v t="s">Abreviatura de intercambio</v>
      <v t="s">Cambio</v>
      <v t="s">Cambio (horario ampliado)</v>
      <v t="s">Cambio (%)</v>
      <v t="s">Cambio % (horario ampliado)</v>
      <v t="s">Moneda</v>
      <v t="s">Cierre anterior</v>
      <v t="s">Apertura</v>
      <v t="s">Máximo</v>
      <v t="s">Mínimo</v>
      <v t="s">Máximo en 52 semanas</v>
      <v t="s">Mínimo en 52 semanas</v>
      <v t="s">Volumen</v>
      <v t="s">Volumen promedio</v>
      <v t="s">Capitalización de mercado</v>
      <v t="s">Beta</v>
      <v t="s">P/I</v>
      <v t="s">Acciones en circulación</v>
      <v t="s">Descripción</v>
      <v t="s">Empleados</v>
      <v t="s">Sede central</v>
      <v t="s">Sector</v>
      <v t="s">Tipo de instrumento</v>
      <v t="s">Año de constitución</v>
      <v t="s">_Flags</v>
      <v t="s">UniqueName</v>
      <v t="s">_DisplayString</v>
      <v t="s">LearnMoreOnLink</v>
      <v t="s">ExchangeID</v>
      <v t="s">%ProviderInfo</v>
    </a>
  </spbArrays>
  <spbData count="6">
    <spb s="0">
      <v>P/E</v>
      <v>Beta</v>
      <v>Change</v>
      <v>Currency</v>
      <v>High</v>
      <v>Low</v>
      <v>Name</v>
      <v>Price</v>
      <v>Industry</v>
      <v>Volume</v>
      <v>Open</v>
      <v>Employees</v>
      <v>Change (%)</v>
      <v>ExchangeID</v>
      <v>UniqueName</v>
      <v>Description</v>
      <v>Exchange</v>
      <v>Headquarters</v>
      <v>%ProviderInfo</v>
      <v>Official name</v>
      <v>Previous close</v>
      <v>LearnMoreOnLink</v>
      <v>Ticker symbol</v>
      <v>Volume average</v>
      <v>Year incorporated</v>
      <v>Instrument type</v>
      <v>52 week high</v>
      <v>52 week low</v>
      <v>Shares outstanding</v>
      <v>Change (Extended hours)</v>
      <v>Market cap</v>
      <v>Price (Extended hours)</v>
      <v>Exchange abbreviation</v>
      <v>Change % (Extended hours)</v>
      <v>Last trade time</v>
    </spb>
    <spb s="1">
      <v>0</v>
      <v>Name</v>
      <v>LearnMoreOnLink</v>
    </spb>
    <spb s="2">
      <v>0</v>
      <v>0</v>
      <v>0</v>
    </spb>
    <spb s="3">
      <v>2</v>
      <v>2</v>
      <v>2</v>
      <v>2</v>
    </spb>
    <spb s="4">
      <v>1</v>
      <v>1</v>
      <v>2</v>
      <v>2</v>
      <v>2</v>
      <v>3</v>
      <v>2</v>
      <v>4</v>
      <v>2</v>
      <v>4</v>
      <v>5</v>
      <v>2</v>
      <v>4</v>
      <v>6</v>
      <v>7</v>
      <v>2</v>
      <v>2</v>
      <v>4</v>
      <v>2</v>
      <v>8</v>
      <v>2</v>
      <v>5</v>
      <v>9</v>
    </spb>
    <spb s="5">
      <v xml:space="preserve">desde el cierre anterior </v>
      <v xml:space="preserve">al cierre </v>
      <v xml:space="preserve">desde el cierre anterior </v>
      <v>Origen: Nasdaq</v>
      <v xml:space="preserve">desde el cierre </v>
      <v>Retrasado 15 minutos</v>
      <v xml:space="preserve">desde el cierre </v>
      <v>GMT</v>
    </spb>
  </spbData>
</supportingPropertyBags>
</file>

<file path=xl/richData/rdsupportingpropertybagstructure.xml><?xml version="1.0" encoding="utf-8"?>
<spbStructures xmlns="http://schemas.microsoft.com/office/spreadsheetml/2017/richdata2" count="6">
  <s>
    <k n="P/I" t="s"/>
    <k n="Beta" t="s"/>
    <k n="Cambio" t="s"/>
    <k n="Moneda" t="s"/>
    <k n="Máximo" t="s"/>
    <k n="Mínimo" t="s"/>
    <k n="Nombre" t="s"/>
    <k n="Precio" t="s"/>
    <k n="Sector" t="s"/>
    <k n="Volumen" t="s"/>
    <k n="Apertura" t="s"/>
    <k n="Empleados" t="s"/>
    <k n="Cambio (%)" t="s"/>
    <k n="ExchangeID" t="s"/>
    <k n="UniqueName" t="s"/>
    <k n="Descripción" t="s"/>
    <k n="Intercambio" t="s"/>
    <k n="Sede central" t="s"/>
    <k n="%ProviderInfo" t="s"/>
    <k n="Nombre oficial" t="s"/>
    <k n="Cierre anterior" t="s"/>
    <k n="LearnMoreOnLink" t="s"/>
    <k n="Símbolo bursátil" t="s"/>
    <k n="Volumen promedio" t="s"/>
    <k n="Año de constitución" t="s"/>
    <k n="Tipo de instrumento" t="s"/>
    <k n="Máximo en 52 semanas" t="s"/>
    <k n="Mínimo en 52 semanas" t="s"/>
    <k n="Acciones en circulación" t="s"/>
    <k n="Cambio (horario ampliado)" t="s"/>
    <k n="Capitalización de mercado" t="s"/>
    <k n="Precio (horario ampliado)" t="s"/>
    <k n="Abreviatura de intercambio" t="s"/>
    <k n="Cambio % (horario ampliado)" t="s"/>
    <k n="Hora de la última operación" t="s"/>
  </s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P/I" t="i"/>
    <k n="Beta" t="i"/>
    <k n="Cambio" t="i"/>
    <k n="Máximo" t="i"/>
    <k n="Mínimo" t="i"/>
    <k n="Nombre" t="i"/>
    <k n="Precio" t="i"/>
    <k n="Volumen" t="i"/>
    <k n="Apertura" t="i"/>
    <k n="Empleados" t="i"/>
    <k n="Cambio (%)" t="i"/>
    <k n="Cierre anterior" t="i"/>
    <k n="Volumen promedio" t="i"/>
    <k n="`%EntityServiceId" t="i"/>
    <k n="Año de constitución" t="i"/>
    <k n="Máximo en 52 semanas" t="i"/>
    <k n="Mínimo en 52 semanas" t="i"/>
    <k n="Acciones en circulación" t="i"/>
    <k n="Cambio (horario ampliado)" t="i"/>
    <k n="Capitalización de mercado" t="i"/>
    <k n="Precio (horario ampliado)" t="i"/>
    <k n="Cambio % (horario ampliado)" t="i"/>
    <k n="Hora de la última operación" t="i"/>
  </s>
  <s>
    <k n="Cambio" t="s"/>
    <k n="Precio" t="s"/>
    <k n="Cambio (%)" t="s"/>
    <k n="ExchangeID" t="s"/>
    <k n="Cambio (horario ampliado)" t="s"/>
    <k n="Precio (horario ampliado)" t="s"/>
    <k n="Cambio % (horario ampliado)" t="s"/>
    <k n="Hora de la última operación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4" formatCode="#,##0.00"/>
    </x:dxf>
    <x:dxf>
      <x:numFmt numFmtId="0" formatCode="General"/>
    </x:dxf>
    <x:dxf>
      <x:numFmt numFmtId="3" formatCode="#,##0"/>
    </x:dxf>
    <x:dxf>
      <x:numFmt numFmtId="14" formatCode="0.00%"/>
    </x:dxf>
    <x:dxf>
      <x:numFmt numFmtId="2" formatCode="0.00"/>
    </x:dxf>
    <x:dxf>
      <x:numFmt numFmtId="1" formatCode="0"/>
    </x:dxf>
    <x:dxf>
      <x:numFmt numFmtId="27" formatCode="dd/mm/yyyy\ hh:mm"/>
    </x:dxf>
  </dxfs>
  <richProperties>
    <rPr n="NumberFormat" t="s"/>
    <rPr n="IsTitleField" t="b"/>
  </richProperties>
  <richStyles>
    <rSty dxfid="0">
      <rpv i="0">#,##0.00</rpv>
    </rSty>
    <rSty dxfid="1">
      <rpv i="0">_([$$-en-US]* #,##0.00_);_([$$-en-US]* (#,##0.00);_([$$-en-US]* "-"??_);_(@_)</rpv>
    </rSty>
    <rSty>
      <rpv i="1">1</rpv>
    </rSty>
    <rSty dxfid="2">
      <rpv i="0">#,##0</rpv>
    </rSty>
    <rSty dxfid="3"/>
    <rSty dxfid="4">
      <rpv i="0">0.00</rpv>
    </rSty>
    <rSty dxfid="5">
      <rpv i="0">0</rpv>
    </rSty>
    <rSty dxfid="1">
      <rpv i="0">_([$$-en-US]* #,##0_);_([$$-en-US]* (#,##0);_([$$-en-US]* "-"_);_(@_)</rpv>
    </rSty>
    <rSty dxfid="6"/>
  </richStyles>
</richStyleShee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pages.stern.nyu.edu/~adamodar/New_Home_Page/datafile/ratings.ht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ycharts.com/indicators/10_year_treasury_rate" TargetMode="External"/><Relationship Id="rId1" Type="http://schemas.openxmlformats.org/officeDocument/2006/relationships/hyperlink" Target="https://pages.stern.nyu.edu/~adamodar/New_Home_Page/datafile/ctryprem.html" TargetMode="External"/><Relationship Id="rId6" Type="http://schemas.openxmlformats.org/officeDocument/2006/relationships/hyperlink" Target="https://pages.stern.nyu.edu/~adamodar/New_Home_Page/datafile/ratings.htm" TargetMode="External"/><Relationship Id="rId5" Type="http://schemas.openxmlformats.org/officeDocument/2006/relationships/hyperlink" Target="https://pages.stern.nyu.edu/~adamodar/New_Home_Page/datafile/ctryprem.html" TargetMode="External"/><Relationship Id="rId4" Type="http://schemas.openxmlformats.org/officeDocument/2006/relationships/hyperlink" Target="https://pages.stern.nyu.edu/~adamodar/New_Home_Page/datafile/ctryprem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bea.gov/data/gdp/gross-domestic-product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bea.gov/data/gdp/gross-domestic-produ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CA2D2-AE74-44CA-A797-C2E5B911FF41}">
  <sheetPr>
    <pageSetUpPr fitToPage="1"/>
  </sheetPr>
  <dimension ref="A1:E106"/>
  <sheetViews>
    <sheetView topLeftCell="A65" workbookViewId="0">
      <selection activeCell="E72" sqref="E72"/>
    </sheetView>
  </sheetViews>
  <sheetFormatPr baseColWidth="10" defaultColWidth="8.83984375" defaultRowHeight="14.4" outlineLevelRow="1"/>
  <cols>
    <col min="1" max="1" width="85.68359375" style="1" customWidth="1"/>
    <col min="2" max="5" width="15.68359375" style="1" customWidth="1"/>
    <col min="6" max="16384" width="8.83984375" style="1"/>
  </cols>
  <sheetData>
    <row r="1" spans="1:5" ht="15" customHeight="1" thickBot="1">
      <c r="A1" s="20" t="s">
        <v>173</v>
      </c>
      <c r="B1" s="19"/>
      <c r="C1" s="19"/>
      <c r="D1" s="19"/>
      <c r="E1" s="19"/>
    </row>
    <row r="2" spans="1:5" ht="15" customHeight="1" thickTop="1">
      <c r="A2" s="17" t="s">
        <v>172</v>
      </c>
      <c r="B2" s="18" t="s">
        <v>911</v>
      </c>
    </row>
    <row r="3" spans="1:5">
      <c r="A3" s="17" t="s">
        <v>171</v>
      </c>
      <c r="B3" s="17" t="s">
        <v>169</v>
      </c>
    </row>
    <row r="4" spans="1:5">
      <c r="A4" s="17" t="s">
        <v>170</v>
      </c>
      <c r="B4" s="17" t="s">
        <v>806</v>
      </c>
    </row>
    <row r="5" spans="1:5">
      <c r="A5" s="17" t="s">
        <v>168</v>
      </c>
      <c r="B5" s="17" t="s">
        <v>167</v>
      </c>
    </row>
    <row r="6" spans="1:5">
      <c r="A6" s="17" t="s">
        <v>166</v>
      </c>
      <c r="B6" s="17" t="s">
        <v>165</v>
      </c>
    </row>
    <row r="7" spans="1:5">
      <c r="A7" s="17" t="s">
        <v>164</v>
      </c>
      <c r="B7" s="17" t="s">
        <v>163</v>
      </c>
    </row>
    <row r="8" spans="1:5">
      <c r="A8" s="17" t="s">
        <v>162</v>
      </c>
      <c r="B8" s="17" t="s">
        <v>161</v>
      </c>
    </row>
    <row r="9" spans="1:5">
      <c r="A9" s="17" t="s">
        <v>160</v>
      </c>
      <c r="B9" s="17" t="s">
        <v>159</v>
      </c>
    </row>
    <row r="10" spans="1:5">
      <c r="A10" s="17" t="s">
        <v>158</v>
      </c>
      <c r="B10" s="16">
        <v>45254.694554386602</v>
      </c>
    </row>
    <row r="11" spans="1:5">
      <c r="A11" s="14" t="s">
        <v>157</v>
      </c>
      <c r="B11" s="197" t="s">
        <v>153</v>
      </c>
      <c r="C11" s="197" t="s">
        <v>154</v>
      </c>
      <c r="D11" s="197" t="s">
        <v>155</v>
      </c>
      <c r="E11" s="197" t="s">
        <v>156</v>
      </c>
    </row>
    <row r="12" spans="1:5" ht="15" customHeight="1" outlineLevel="1">
      <c r="A12" s="15" t="s">
        <v>152</v>
      </c>
      <c r="B12" s="195">
        <v>43921</v>
      </c>
      <c r="C12" s="195">
        <v>44286</v>
      </c>
      <c r="D12" s="195">
        <v>44651</v>
      </c>
      <c r="E12" s="195">
        <v>45016</v>
      </c>
    </row>
    <row r="13" spans="1:5" ht="15" customHeight="1" outlineLevel="1">
      <c r="A13" s="15" t="s">
        <v>151</v>
      </c>
      <c r="B13" s="195" t="s">
        <v>150</v>
      </c>
      <c r="C13" s="195" t="s">
        <v>150</v>
      </c>
      <c r="D13" s="195" t="s">
        <v>150</v>
      </c>
      <c r="E13" s="195" t="s">
        <v>150</v>
      </c>
    </row>
    <row r="14" spans="1:5" ht="15" customHeight="1" outlineLevel="1">
      <c r="A14" s="15" t="s">
        <v>910</v>
      </c>
      <c r="B14" s="196">
        <v>1</v>
      </c>
      <c r="C14" s="196">
        <v>1</v>
      </c>
      <c r="D14" s="196">
        <v>1</v>
      </c>
      <c r="E14" s="196">
        <v>1</v>
      </c>
    </row>
    <row r="15" spans="1:5" ht="15" customHeight="1" outlineLevel="1">
      <c r="A15" s="15" t="s">
        <v>909</v>
      </c>
      <c r="B15" s="196"/>
      <c r="C15" s="196"/>
      <c r="D15" s="196"/>
      <c r="E15" s="196"/>
    </row>
    <row r="16" spans="1:5">
      <c r="A16" s="13" t="s">
        <v>149</v>
      </c>
      <c r="B16" s="14"/>
      <c r="C16" s="14"/>
      <c r="D16" s="14"/>
      <c r="E16" s="14"/>
    </row>
    <row r="17" spans="1:5">
      <c r="A17" s="13" t="s">
        <v>148</v>
      </c>
      <c r="B17" s="12" t="s">
        <v>144</v>
      </c>
      <c r="C17" s="12" t="s">
        <v>145</v>
      </c>
      <c r="D17" s="12" t="s">
        <v>146</v>
      </c>
      <c r="E17" s="12" t="s">
        <v>147</v>
      </c>
    </row>
    <row r="18" spans="1:5" ht="15" customHeight="1">
      <c r="A18" s="7" t="s">
        <v>143</v>
      </c>
      <c r="B18" s="6"/>
      <c r="C18" s="6"/>
      <c r="D18" s="6"/>
      <c r="E18" s="6"/>
    </row>
    <row r="19" spans="1:5" ht="15" customHeight="1">
      <c r="A19" s="5" t="s">
        <v>116</v>
      </c>
      <c r="B19" s="2">
        <v>73191.039999999994</v>
      </c>
      <c r="C19" s="2">
        <v>105814.68</v>
      </c>
      <c r="D19" s="2">
        <v>132913.62</v>
      </c>
      <c r="E19" s="2">
        <v>126856.19</v>
      </c>
    </row>
    <row r="20" spans="1:5" ht="15" customHeight="1">
      <c r="A20" s="5" t="s">
        <v>142</v>
      </c>
      <c r="B20" s="2">
        <v>31779.91</v>
      </c>
      <c r="C20" s="2">
        <v>42094.18</v>
      </c>
      <c r="D20" s="2">
        <v>47164.55</v>
      </c>
      <c r="E20" s="2">
        <v>44776.51</v>
      </c>
    </row>
    <row r="21" spans="1:5" ht="15" customHeight="1">
      <c r="A21" s="5" t="s">
        <v>115</v>
      </c>
      <c r="B21" s="2">
        <v>14412.02</v>
      </c>
      <c r="C21" s="2">
        <v>13478.34</v>
      </c>
      <c r="D21" s="2">
        <v>14883.37</v>
      </c>
      <c r="E21" s="2">
        <v>15216.25</v>
      </c>
    </row>
    <row r="22" spans="1:5" ht="15" customHeight="1">
      <c r="A22" s="5" t="s">
        <v>114</v>
      </c>
      <c r="B22" s="2">
        <v>20504.25</v>
      </c>
      <c r="C22" s="2">
        <v>20545.89</v>
      </c>
      <c r="D22" s="2">
        <v>22372.27</v>
      </c>
      <c r="E22" s="2">
        <v>22481.200000000001</v>
      </c>
    </row>
    <row r="23" spans="1:5" ht="15" customHeight="1">
      <c r="A23" s="5" t="s">
        <v>113</v>
      </c>
      <c r="B23" s="2">
        <v>20153.310000000001</v>
      </c>
      <c r="C23" s="2">
        <v>21137.3</v>
      </c>
      <c r="D23" s="8">
        <v>7335.27</v>
      </c>
      <c r="E23" s="8">
        <v>9575.76</v>
      </c>
    </row>
    <row r="24" spans="1:5" ht="15" customHeight="1">
      <c r="A24" s="7" t="s">
        <v>141</v>
      </c>
      <c r="B24" s="6"/>
      <c r="C24" s="6"/>
      <c r="D24" s="6"/>
      <c r="E24" s="6"/>
    </row>
    <row r="25" spans="1:5" ht="15" customHeight="1">
      <c r="A25" s="5" t="s">
        <v>140</v>
      </c>
      <c r="B25" s="2">
        <v>46675.94</v>
      </c>
      <c r="C25" s="2">
        <v>49034.16</v>
      </c>
      <c r="D25" s="2">
        <v>29955.67</v>
      </c>
      <c r="E25" s="2">
        <v>28115.5</v>
      </c>
    </row>
    <row r="26" spans="1:5" ht="15" customHeight="1">
      <c r="A26" s="5" t="s">
        <v>139</v>
      </c>
      <c r="B26" s="2">
        <v>51295.76</v>
      </c>
      <c r="C26" s="2">
        <v>73788.12</v>
      </c>
      <c r="D26" s="2">
        <v>71787.89</v>
      </c>
      <c r="E26" s="2">
        <v>76368.75</v>
      </c>
    </row>
    <row r="27" spans="1:5" ht="15" customHeight="1">
      <c r="A27" s="5" t="s">
        <v>138</v>
      </c>
      <c r="B27" s="2">
        <v>185428.91</v>
      </c>
      <c r="C27" s="2">
        <v>257977.65</v>
      </c>
      <c r="D27" s="2">
        <v>267466.90999999997</v>
      </c>
      <c r="E27" s="2">
        <v>255262.97</v>
      </c>
    </row>
    <row r="28" spans="1:5" ht="15" customHeight="1">
      <c r="A28" s="5" t="s">
        <v>100</v>
      </c>
      <c r="B28" s="2">
        <v>17714.099999999999</v>
      </c>
      <c r="C28" s="2">
        <v>22765.19</v>
      </c>
      <c r="D28" s="2">
        <v>22296.47</v>
      </c>
      <c r="E28" s="2">
        <v>23494.959999999999</v>
      </c>
    </row>
    <row r="29" spans="1:5" ht="15" customHeight="1">
      <c r="A29" s="5" t="s">
        <v>137</v>
      </c>
      <c r="B29" s="2">
        <v>106683</v>
      </c>
      <c r="C29" s="2">
        <v>143085.87</v>
      </c>
      <c r="D29" s="2">
        <v>149618.89000000001</v>
      </c>
      <c r="E29" s="2">
        <v>144105.22</v>
      </c>
    </row>
    <row r="30" spans="1:5" ht="15" customHeight="1">
      <c r="A30" s="7" t="s">
        <v>136</v>
      </c>
      <c r="B30" s="6"/>
      <c r="C30" s="6"/>
      <c r="D30" s="6"/>
      <c r="E30" s="6"/>
    </row>
    <row r="31" spans="1:5" ht="15" customHeight="1">
      <c r="A31" s="5" t="s">
        <v>135</v>
      </c>
      <c r="B31" s="2">
        <v>25933.94</v>
      </c>
      <c r="C31" s="2">
        <v>34193.14</v>
      </c>
      <c r="D31" s="2">
        <v>22242.95</v>
      </c>
      <c r="E31" s="2">
        <v>29170.2</v>
      </c>
    </row>
    <row r="32" spans="1:5" ht="15" customHeight="1">
      <c r="A32" s="5" t="s">
        <v>134</v>
      </c>
      <c r="B32" s="8">
        <v>6681.54</v>
      </c>
      <c r="C32" s="8">
        <v>7316.56</v>
      </c>
      <c r="D32" s="2">
        <v>11522.13</v>
      </c>
      <c r="E32" s="8">
        <v>7826.74</v>
      </c>
    </row>
    <row r="33" spans="1:5" ht="15" customHeight="1">
      <c r="A33" s="5" t="s">
        <v>133</v>
      </c>
      <c r="B33" s="8">
        <v>4700.95</v>
      </c>
      <c r="C33" s="8">
        <v>6316.23</v>
      </c>
      <c r="D33" s="8">
        <v>8308.2900000000009</v>
      </c>
      <c r="E33" s="8">
        <v>4922.45</v>
      </c>
    </row>
    <row r="34" spans="1:5" ht="15" customHeight="1">
      <c r="A34" s="5" t="s">
        <v>132</v>
      </c>
      <c r="B34" s="2">
        <v>21178.28</v>
      </c>
      <c r="C34" s="8">
        <v>1547.05</v>
      </c>
      <c r="D34" s="9">
        <v>-20117.27</v>
      </c>
      <c r="E34" s="8">
        <v>314.99</v>
      </c>
    </row>
    <row r="35" spans="1:5" ht="15" customHeight="1">
      <c r="A35" s="5" t="s">
        <v>131</v>
      </c>
      <c r="B35" s="2">
        <v>19416.82</v>
      </c>
      <c r="C35" s="2">
        <v>27822.47</v>
      </c>
      <c r="D35" s="2">
        <v>13934.66</v>
      </c>
      <c r="E35" s="2">
        <v>24153.71</v>
      </c>
    </row>
    <row r="36" spans="1:5" ht="15" customHeight="1">
      <c r="A36" s="7" t="s">
        <v>130</v>
      </c>
      <c r="B36" s="6"/>
      <c r="C36" s="6"/>
      <c r="D36" s="6"/>
      <c r="E36" s="6"/>
    </row>
    <row r="37" spans="1:5" ht="15" customHeight="1">
      <c r="A37" s="5" t="s">
        <v>129</v>
      </c>
      <c r="B37" s="10">
        <v>0</v>
      </c>
      <c r="C37" s="10">
        <v>0</v>
      </c>
      <c r="D37" s="10">
        <v>0</v>
      </c>
      <c r="E37" s="10">
        <v>0</v>
      </c>
    </row>
    <row r="38" spans="1:5" ht="15" customHeight="1">
      <c r="A38" s="5" t="s">
        <v>129</v>
      </c>
      <c r="B38" s="10">
        <v>0</v>
      </c>
      <c r="C38" s="10">
        <v>0</v>
      </c>
      <c r="D38" s="10">
        <v>0</v>
      </c>
      <c r="E38" s="10">
        <v>0</v>
      </c>
    </row>
    <row r="39" spans="1:5" ht="15" customHeight="1">
      <c r="A39" s="5" t="s">
        <v>128</v>
      </c>
      <c r="B39" s="10">
        <v>0</v>
      </c>
      <c r="C39" s="10">
        <v>0</v>
      </c>
      <c r="D39" s="10">
        <v>0</v>
      </c>
      <c r="E39" s="10">
        <v>0</v>
      </c>
    </row>
    <row r="40" spans="1:5" ht="15" customHeight="1">
      <c r="A40" s="5" t="s">
        <v>128</v>
      </c>
      <c r="B40" s="10">
        <v>0</v>
      </c>
      <c r="C40" s="10">
        <v>0</v>
      </c>
      <c r="D40" s="10">
        <v>0</v>
      </c>
      <c r="E40" s="10">
        <v>0</v>
      </c>
    </row>
    <row r="41" spans="1:5" ht="15" customHeight="1">
      <c r="A41" s="5" t="s">
        <v>112</v>
      </c>
      <c r="B41" s="3">
        <v>1</v>
      </c>
      <c r="C41" s="3">
        <v>1.01</v>
      </c>
      <c r="D41" s="3">
        <v>0.44</v>
      </c>
      <c r="E41" s="3">
        <v>0.5</v>
      </c>
    </row>
    <row r="42" spans="1:5" ht="15" customHeight="1">
      <c r="A42" s="5" t="s">
        <v>127</v>
      </c>
      <c r="B42" s="2">
        <v>21346</v>
      </c>
      <c r="C42" s="2">
        <v>21982</v>
      </c>
      <c r="D42" s="2">
        <v>21787</v>
      </c>
      <c r="E42" s="2">
        <v>21114</v>
      </c>
    </row>
    <row r="43" spans="1:5" ht="15" customHeight="1">
      <c r="A43" s="7" t="s">
        <v>908</v>
      </c>
      <c r="B43" s="6"/>
      <c r="C43" s="6"/>
      <c r="D43" s="6"/>
      <c r="E43" s="6"/>
    </row>
    <row r="44" spans="1:5" ht="15" customHeight="1">
      <c r="A44" s="5" t="s">
        <v>907</v>
      </c>
      <c r="B44" s="2">
        <v>19023.09</v>
      </c>
      <c r="C44" s="2">
        <v>25371.279999999999</v>
      </c>
      <c r="D44" s="2">
        <v>21250.3</v>
      </c>
      <c r="E44" s="2">
        <v>20645.87</v>
      </c>
    </row>
    <row r="45" spans="1:5" ht="15" customHeight="1">
      <c r="A45" s="5" t="s">
        <v>906</v>
      </c>
      <c r="B45" s="2">
        <v>22638.76</v>
      </c>
      <c r="C45" s="2">
        <v>29038.19</v>
      </c>
      <c r="D45" s="2">
        <v>24649.56</v>
      </c>
      <c r="E45" s="2">
        <v>25659.3</v>
      </c>
    </row>
    <row r="46" spans="1:5" ht="15" customHeight="1">
      <c r="A46" s="5" t="s">
        <v>905</v>
      </c>
      <c r="B46" s="3">
        <v>0.95</v>
      </c>
      <c r="C46" s="3">
        <v>1.2</v>
      </c>
      <c r="D46" s="3">
        <v>1.03</v>
      </c>
      <c r="E46" s="3">
        <v>1</v>
      </c>
    </row>
    <row r="47" spans="1:5" ht="15" customHeight="1">
      <c r="A47" s="5" t="s">
        <v>904</v>
      </c>
      <c r="B47" s="2">
        <v>18798.36</v>
      </c>
      <c r="C47" s="2">
        <v>25471.15</v>
      </c>
      <c r="D47" s="2">
        <v>15405.33</v>
      </c>
      <c r="E47" s="2">
        <v>25068.31</v>
      </c>
    </row>
    <row r="48" spans="1:5" ht="15" customHeight="1">
      <c r="A48" s="7" t="s">
        <v>126</v>
      </c>
      <c r="B48" s="6"/>
      <c r="C48" s="6"/>
      <c r="D48" s="6"/>
      <c r="E48" s="6"/>
    </row>
    <row r="49" spans="1:5" ht="15" customHeight="1">
      <c r="A49" s="5" t="s">
        <v>125</v>
      </c>
      <c r="B49" s="10">
        <v>43.42</v>
      </c>
      <c r="C49" s="10">
        <v>39.78</v>
      </c>
      <c r="D49" s="10">
        <v>35.49</v>
      </c>
      <c r="E49" s="10">
        <v>35.299999999999997</v>
      </c>
    </row>
    <row r="50" spans="1:5" ht="15" customHeight="1">
      <c r="A50" s="5" t="s">
        <v>124</v>
      </c>
      <c r="B50" s="10">
        <v>28.01</v>
      </c>
      <c r="C50" s="10">
        <v>19.420000000000002</v>
      </c>
      <c r="D50" s="10">
        <v>16.829999999999998</v>
      </c>
      <c r="E50" s="10">
        <v>17.72</v>
      </c>
    </row>
    <row r="51" spans="1:5" ht="15" customHeight="1">
      <c r="A51" s="5" t="s">
        <v>123</v>
      </c>
      <c r="B51" s="10">
        <v>19.690000000000001</v>
      </c>
      <c r="C51" s="10">
        <v>12.74</v>
      </c>
      <c r="D51" s="10">
        <v>11.2</v>
      </c>
      <c r="E51" s="10">
        <v>11.99</v>
      </c>
    </row>
    <row r="52" spans="1:5" ht="15" customHeight="1">
      <c r="A52" s="5" t="s">
        <v>94</v>
      </c>
      <c r="B52" s="10">
        <v>32.69</v>
      </c>
      <c r="C52" s="10">
        <v>23.08</v>
      </c>
      <c r="D52" s="10">
        <v>6.98</v>
      </c>
      <c r="E52" s="10">
        <v>10.27</v>
      </c>
    </row>
    <row r="53" spans="1:5" ht="15" customHeight="1">
      <c r="A53" s="5" t="s">
        <v>122</v>
      </c>
      <c r="B53" s="10">
        <v>12.34</v>
      </c>
      <c r="C53" s="10">
        <v>17.68</v>
      </c>
      <c r="D53" s="10">
        <v>45.03</v>
      </c>
      <c r="E53" s="10">
        <v>17.43</v>
      </c>
    </row>
    <row r="54" spans="1:5" ht="15" customHeight="1">
      <c r="A54" s="5" t="s">
        <v>121</v>
      </c>
      <c r="B54" s="10">
        <v>27.54</v>
      </c>
      <c r="C54" s="10">
        <v>19.98</v>
      </c>
      <c r="D54" s="10">
        <v>5.52</v>
      </c>
      <c r="E54" s="10">
        <v>7.55</v>
      </c>
    </row>
    <row r="55" spans="1:5" ht="15" customHeight="1">
      <c r="A55" s="5" t="s">
        <v>120</v>
      </c>
      <c r="B55" s="2">
        <v>19416.82</v>
      </c>
      <c r="C55" s="2">
        <v>27822.47</v>
      </c>
      <c r="D55" s="2">
        <v>13934.66</v>
      </c>
      <c r="E55" s="2">
        <v>24153.71</v>
      </c>
    </row>
    <row r="56" spans="1:5" ht="15" customHeight="1">
      <c r="A56" s="5" t="s">
        <v>89</v>
      </c>
      <c r="B56" s="10">
        <v>23.81</v>
      </c>
      <c r="C56" s="10">
        <v>17.760000000000002</v>
      </c>
      <c r="D56" s="10">
        <v>6.6</v>
      </c>
      <c r="E56" s="10">
        <v>7.21</v>
      </c>
    </row>
    <row r="57" spans="1:5" ht="15" customHeight="1">
      <c r="A57" s="5" t="s">
        <v>119</v>
      </c>
      <c r="B57" s="10">
        <v>12.24</v>
      </c>
      <c r="C57" s="10">
        <v>9.5299999999999994</v>
      </c>
      <c r="D57" s="10">
        <v>2.79</v>
      </c>
      <c r="E57" s="10">
        <v>3.66</v>
      </c>
    </row>
    <row r="58" spans="1:5" ht="15" customHeight="1">
      <c r="A58" s="5" t="s">
        <v>118</v>
      </c>
      <c r="B58" s="10">
        <v>17.41</v>
      </c>
      <c r="C58" s="10">
        <v>13.76</v>
      </c>
      <c r="D58" s="10">
        <v>5.29</v>
      </c>
      <c r="E58" s="10">
        <v>5.95</v>
      </c>
    </row>
    <row r="59" spans="1:5" ht="15" customHeight="1">
      <c r="A59" s="7" t="s">
        <v>117</v>
      </c>
      <c r="B59" s="6"/>
      <c r="C59" s="6"/>
      <c r="D59" s="6"/>
      <c r="E59" s="6"/>
    </row>
    <row r="60" spans="1:5" ht="15" customHeight="1">
      <c r="A60" s="5" t="s">
        <v>116</v>
      </c>
      <c r="B60" s="2">
        <v>73191.039999999994</v>
      </c>
      <c r="C60" s="2">
        <v>105814.68</v>
      </c>
      <c r="D60" s="2">
        <v>132913.62</v>
      </c>
      <c r="E60" s="2">
        <v>126856.19</v>
      </c>
    </row>
    <row r="61" spans="1:5" ht="15" customHeight="1">
      <c r="A61" s="5" t="s">
        <v>115</v>
      </c>
      <c r="B61" s="2">
        <v>14412.02</v>
      </c>
      <c r="C61" s="2">
        <v>13478.34</v>
      </c>
      <c r="D61" s="2">
        <v>14883.37</v>
      </c>
      <c r="E61" s="2">
        <v>15216.25</v>
      </c>
    </row>
    <row r="62" spans="1:5" ht="15" customHeight="1">
      <c r="A62" s="5" t="s">
        <v>114</v>
      </c>
      <c r="B62" s="2">
        <v>20504.25</v>
      </c>
      <c r="C62" s="2">
        <v>20545.89</v>
      </c>
      <c r="D62" s="2">
        <v>22372.27</v>
      </c>
      <c r="E62" s="2">
        <v>22481.200000000001</v>
      </c>
    </row>
    <row r="63" spans="1:5" ht="15" customHeight="1">
      <c r="A63" s="5" t="s">
        <v>113</v>
      </c>
      <c r="B63" s="2">
        <v>20153.310000000001</v>
      </c>
      <c r="C63" s="2">
        <v>21137.3</v>
      </c>
      <c r="D63" s="8">
        <v>7335.27</v>
      </c>
      <c r="E63" s="8">
        <v>9575.76</v>
      </c>
    </row>
    <row r="64" spans="1:5" ht="15" customHeight="1">
      <c r="A64" s="5" t="s">
        <v>112</v>
      </c>
      <c r="B64" s="3">
        <v>1</v>
      </c>
      <c r="C64" s="3">
        <v>1.01</v>
      </c>
      <c r="D64" s="3">
        <v>0.44</v>
      </c>
      <c r="E64" s="3">
        <v>0.5</v>
      </c>
    </row>
    <row r="65" spans="1:5" ht="15" customHeight="1">
      <c r="A65" s="5" t="s">
        <v>111</v>
      </c>
      <c r="B65" s="2">
        <v>21491.99</v>
      </c>
      <c r="C65" s="2">
        <v>21699.03</v>
      </c>
      <c r="D65" s="2">
        <v>21357.32</v>
      </c>
      <c r="E65" s="2">
        <v>20526.02</v>
      </c>
    </row>
    <row r="66" spans="1:5" ht="15" customHeight="1">
      <c r="A66" s="7" t="s">
        <v>110</v>
      </c>
      <c r="B66" s="6"/>
      <c r="C66" s="6"/>
      <c r="D66" s="6"/>
      <c r="E66" s="6"/>
    </row>
    <row r="67" spans="1:5" ht="15" customHeight="1">
      <c r="A67" s="5" t="s">
        <v>109</v>
      </c>
      <c r="B67" s="10">
        <v>9.5500000000000007</v>
      </c>
      <c r="C67" s="10">
        <v>8.82</v>
      </c>
      <c r="D67" s="10">
        <v>8.34</v>
      </c>
      <c r="E67" s="10">
        <v>9.1999999999999993</v>
      </c>
    </row>
    <row r="68" spans="1:5" ht="15" customHeight="1">
      <c r="A68" s="5" t="s">
        <v>108</v>
      </c>
      <c r="B68" s="10">
        <v>12.48</v>
      </c>
      <c r="C68" s="10">
        <v>12.1</v>
      </c>
      <c r="D68" s="10">
        <v>11.55</v>
      </c>
      <c r="E68" s="10">
        <v>12.56</v>
      </c>
    </row>
    <row r="69" spans="1:5" ht="15" customHeight="1">
      <c r="A69" s="5" t="s">
        <v>107</v>
      </c>
      <c r="B69" s="10">
        <v>14.26</v>
      </c>
      <c r="C69" s="10">
        <v>13.76</v>
      </c>
      <c r="D69" s="10">
        <v>13.06</v>
      </c>
      <c r="E69" s="10">
        <v>14.37</v>
      </c>
    </row>
    <row r="70" spans="1:5" ht="15" customHeight="1">
      <c r="A70" s="5" t="s">
        <v>106</v>
      </c>
      <c r="B70" s="8">
        <v>2781.52</v>
      </c>
      <c r="C70" s="11">
        <v>-1111.67</v>
      </c>
      <c r="D70" s="8">
        <v>444.98</v>
      </c>
      <c r="E70" s="11">
        <v>-181.89</v>
      </c>
    </row>
    <row r="71" spans="1:5" ht="15" customHeight="1">
      <c r="A71" s="5" t="s">
        <v>105</v>
      </c>
      <c r="B71" s="10">
        <v>21.41</v>
      </c>
      <c r="C71" s="10"/>
      <c r="D71" s="10">
        <v>2.2400000000000002</v>
      </c>
      <c r="E71" s="10">
        <v>22.01</v>
      </c>
    </row>
    <row r="72" spans="1:5" s="142" customFormat="1" ht="15" customHeight="1">
      <c r="A72" s="140" t="s">
        <v>104</v>
      </c>
      <c r="B72" s="141">
        <v>19.38</v>
      </c>
      <c r="C72" s="141">
        <v>20.41</v>
      </c>
      <c r="D72" s="141">
        <v>19.46</v>
      </c>
      <c r="E72" s="141">
        <v>17.61</v>
      </c>
    </row>
    <row r="73" spans="1:5" ht="15" customHeight="1">
      <c r="A73" s="5" t="s">
        <v>88</v>
      </c>
      <c r="B73" s="3">
        <v>1</v>
      </c>
      <c r="C73" s="3">
        <v>1</v>
      </c>
      <c r="D73" s="3">
        <v>1</v>
      </c>
      <c r="E73" s="3">
        <v>1</v>
      </c>
    </row>
    <row r="74" spans="1:5" ht="15" customHeight="1">
      <c r="A74" s="5" t="s">
        <v>103</v>
      </c>
      <c r="B74" s="10">
        <v>0</v>
      </c>
      <c r="C74" s="10">
        <v>0</v>
      </c>
      <c r="D74" s="10">
        <v>0</v>
      </c>
      <c r="E74" s="10">
        <v>0</v>
      </c>
    </row>
    <row r="75" spans="1:5" ht="15" customHeight="1">
      <c r="A75" s="7" t="s">
        <v>102</v>
      </c>
      <c r="B75" s="6"/>
      <c r="C75" s="6"/>
      <c r="D75" s="6"/>
      <c r="E75" s="6"/>
    </row>
    <row r="76" spans="1:5" ht="15" customHeight="1">
      <c r="A76" s="5" t="s">
        <v>101</v>
      </c>
      <c r="B76" s="2">
        <v>522470.40000000002</v>
      </c>
      <c r="C76" s="2">
        <v>614977.68000000005</v>
      </c>
      <c r="D76" s="2">
        <v>290459.59000000003</v>
      </c>
      <c r="E76" s="2">
        <v>262168.56</v>
      </c>
    </row>
    <row r="77" spans="1:5" ht="15" customHeight="1">
      <c r="A77" s="5" t="s">
        <v>100</v>
      </c>
      <c r="B77" s="2">
        <v>17714.099999999999</v>
      </c>
      <c r="C77" s="2">
        <v>22765.19</v>
      </c>
      <c r="D77" s="2">
        <v>22296.47</v>
      </c>
      <c r="E77" s="2">
        <v>23494.959999999999</v>
      </c>
    </row>
    <row r="78" spans="1:5" ht="15" customHeight="1">
      <c r="A78" s="5" t="s">
        <v>99</v>
      </c>
      <c r="B78" s="2">
        <v>17547.45</v>
      </c>
      <c r="C78" s="2">
        <v>22308.98</v>
      </c>
      <c r="D78" s="2">
        <v>21092.87</v>
      </c>
      <c r="E78" s="2">
        <v>19404.740000000002</v>
      </c>
    </row>
    <row r="79" spans="1:5" ht="15" customHeight="1">
      <c r="A79" s="5" t="s">
        <v>98</v>
      </c>
      <c r="B79" s="2">
        <v>51295.76</v>
      </c>
      <c r="C79" s="2">
        <v>73788.12</v>
      </c>
      <c r="D79" s="2">
        <v>71787.89</v>
      </c>
      <c r="E79" s="2">
        <v>76368.75</v>
      </c>
    </row>
    <row r="80" spans="1:5" ht="15" customHeight="1">
      <c r="A80" s="5" t="s">
        <v>97</v>
      </c>
      <c r="B80" s="2">
        <v>506436.19</v>
      </c>
      <c r="C80" s="2">
        <v>586263.73</v>
      </c>
      <c r="D80" s="2">
        <v>262061.03</v>
      </c>
      <c r="E80" s="2">
        <v>228699.51999999999</v>
      </c>
    </row>
    <row r="81" spans="1:5" ht="15" customHeight="1">
      <c r="A81" s="7" t="s">
        <v>96</v>
      </c>
      <c r="B81" s="6"/>
      <c r="C81" s="6"/>
      <c r="D81" s="6"/>
      <c r="E81" s="6"/>
    </row>
    <row r="82" spans="1:5" ht="15" customHeight="1">
      <c r="A82" s="5" t="s">
        <v>95</v>
      </c>
      <c r="B82" s="3">
        <v>0.44</v>
      </c>
      <c r="C82" s="3">
        <v>0.48</v>
      </c>
      <c r="D82" s="3">
        <v>0.51</v>
      </c>
      <c r="E82" s="3">
        <v>0.49</v>
      </c>
    </row>
    <row r="83" spans="1:5" ht="15" customHeight="1">
      <c r="A83" s="5" t="s">
        <v>94</v>
      </c>
      <c r="B83" s="10">
        <v>32.69</v>
      </c>
      <c r="C83" s="10">
        <v>23.08</v>
      </c>
      <c r="D83" s="10">
        <v>6.98</v>
      </c>
      <c r="E83" s="10">
        <v>10.27</v>
      </c>
    </row>
    <row r="84" spans="1:5" ht="15" customHeight="1">
      <c r="A84" s="5" t="s">
        <v>93</v>
      </c>
      <c r="B84" s="10">
        <v>14.54</v>
      </c>
      <c r="C84" s="10">
        <v>11.02</v>
      </c>
      <c r="D84" s="10">
        <v>3.53</v>
      </c>
      <c r="E84" s="10">
        <v>4.9800000000000004</v>
      </c>
    </row>
    <row r="85" spans="1:5" ht="15" customHeight="1">
      <c r="A85" s="5" t="s">
        <v>92</v>
      </c>
      <c r="B85" s="3">
        <v>1.52</v>
      </c>
      <c r="C85" s="3">
        <v>1.53</v>
      </c>
      <c r="D85" s="3">
        <v>1.56</v>
      </c>
      <c r="E85" s="3">
        <v>1.56</v>
      </c>
    </row>
    <row r="86" spans="1:5" ht="15" customHeight="1">
      <c r="A86" s="5" t="s">
        <v>91</v>
      </c>
      <c r="B86" s="10">
        <v>22.16</v>
      </c>
      <c r="C86" s="10">
        <v>16.87</v>
      </c>
      <c r="D86" s="10">
        <v>5.52</v>
      </c>
      <c r="E86" s="10">
        <v>7.79</v>
      </c>
    </row>
    <row r="87" spans="1:5" ht="15" customHeight="1">
      <c r="A87" s="5" t="s">
        <v>90</v>
      </c>
      <c r="B87" s="3">
        <v>0.88</v>
      </c>
      <c r="C87" s="3">
        <v>0.82</v>
      </c>
      <c r="D87" s="3">
        <v>0.55000000000000004</v>
      </c>
      <c r="E87" s="3">
        <v>0.83</v>
      </c>
    </row>
    <row r="88" spans="1:5" ht="15" customHeight="1">
      <c r="A88" s="5" t="s">
        <v>89</v>
      </c>
      <c r="B88" s="10">
        <v>23.81</v>
      </c>
      <c r="C88" s="10">
        <v>17.760000000000002</v>
      </c>
      <c r="D88" s="10">
        <v>6.6</v>
      </c>
      <c r="E88" s="10">
        <v>7.21</v>
      </c>
    </row>
    <row r="89" spans="1:5" ht="15" customHeight="1">
      <c r="A89" s="5" t="s">
        <v>88</v>
      </c>
      <c r="B89" s="3">
        <v>1</v>
      </c>
      <c r="C89" s="3">
        <v>1</v>
      </c>
      <c r="D89" s="3">
        <v>1</v>
      </c>
      <c r="E89" s="3">
        <v>1</v>
      </c>
    </row>
    <row r="90" spans="1:5" ht="15" customHeight="1">
      <c r="A90" s="5" t="s">
        <v>87</v>
      </c>
      <c r="B90" s="10">
        <v>23.81</v>
      </c>
      <c r="C90" s="10">
        <v>17.760000000000002</v>
      </c>
      <c r="D90" s="10">
        <v>6.6</v>
      </c>
      <c r="E90" s="10">
        <v>7.21</v>
      </c>
    </row>
    <row r="91" spans="1:5" ht="15" customHeight="1">
      <c r="A91" s="7" t="s">
        <v>86</v>
      </c>
      <c r="B91" s="6"/>
      <c r="C91" s="6"/>
      <c r="D91" s="6"/>
      <c r="E91" s="6"/>
    </row>
    <row r="92" spans="1:5" ht="15" customHeight="1">
      <c r="A92" s="5" t="s">
        <v>85</v>
      </c>
      <c r="B92" s="2">
        <v>191079.61</v>
      </c>
      <c r="C92" s="2">
        <v>108962.8</v>
      </c>
      <c r="D92" s="2">
        <v>20143.5</v>
      </c>
      <c r="E92" s="2">
        <v>43876.63</v>
      </c>
    </row>
    <row r="93" spans="1:5" ht="15" customHeight="1">
      <c r="A93" s="5" t="s">
        <v>84</v>
      </c>
      <c r="B93" s="2">
        <v>666712.61</v>
      </c>
      <c r="C93" s="2">
        <v>573424.94999999995</v>
      </c>
      <c r="D93" s="2">
        <v>524932.19999999995</v>
      </c>
      <c r="E93" s="2">
        <v>517614.5</v>
      </c>
    </row>
    <row r="94" spans="1:5" ht="15" customHeight="1">
      <c r="A94" s="5" t="s">
        <v>83</v>
      </c>
      <c r="B94" s="2">
        <v>1576776.41</v>
      </c>
      <c r="C94" s="2">
        <v>1025911.09</v>
      </c>
      <c r="D94" s="2">
        <v>1049132.5900000001</v>
      </c>
      <c r="E94" s="2">
        <v>1085227.94</v>
      </c>
    </row>
    <row r="95" spans="1:5" ht="15" customHeight="1">
      <c r="A95" s="7" t="s">
        <v>82</v>
      </c>
      <c r="B95" s="6"/>
      <c r="C95" s="6"/>
      <c r="D95" s="6"/>
      <c r="E95" s="6"/>
    </row>
    <row r="96" spans="1:5" ht="15" customHeight="1">
      <c r="A96" s="5" t="s">
        <v>81</v>
      </c>
      <c r="B96" s="3">
        <v>1.91</v>
      </c>
      <c r="C96" s="3">
        <v>1.7</v>
      </c>
      <c r="D96" s="3">
        <v>1.66</v>
      </c>
      <c r="E96" s="3">
        <v>1.81</v>
      </c>
    </row>
    <row r="97" spans="1:5" ht="15" customHeight="1">
      <c r="A97" s="5" t="s">
        <v>80</v>
      </c>
      <c r="B97" s="3">
        <v>1.85</v>
      </c>
      <c r="C97" s="3">
        <v>1.63</v>
      </c>
      <c r="D97" s="3">
        <v>1.59</v>
      </c>
      <c r="E97" s="3">
        <v>1.74</v>
      </c>
    </row>
    <row r="98" spans="1:5" ht="15" customHeight="1">
      <c r="A98" s="5" t="s">
        <v>79</v>
      </c>
      <c r="B98" s="3">
        <v>0.17</v>
      </c>
      <c r="C98" s="3">
        <v>0.16</v>
      </c>
      <c r="D98" s="3">
        <v>0.15</v>
      </c>
      <c r="E98" s="3">
        <v>0.18</v>
      </c>
    </row>
    <row r="99" spans="1:5" ht="15" customHeight="1">
      <c r="A99" s="7" t="s">
        <v>78</v>
      </c>
      <c r="B99" s="6"/>
      <c r="C99" s="6"/>
      <c r="D99" s="6"/>
      <c r="E99" s="6"/>
    </row>
    <row r="100" spans="1:5" ht="15" customHeight="1">
      <c r="A100" s="5" t="s">
        <v>77</v>
      </c>
      <c r="B100" s="3">
        <v>13.78</v>
      </c>
      <c r="C100" s="3">
        <v>14.25</v>
      </c>
      <c r="D100" s="3">
        <v>13.34</v>
      </c>
      <c r="E100" s="3">
        <v>12.33</v>
      </c>
    </row>
    <row r="101" spans="1:5" ht="15" customHeight="1">
      <c r="A101" s="5" t="s">
        <v>76</v>
      </c>
      <c r="B101" s="3">
        <v>26.55</v>
      </c>
      <c r="C101" s="3">
        <v>25.68</v>
      </c>
      <c r="D101" s="3">
        <v>27.43</v>
      </c>
      <c r="E101" s="3">
        <v>29.68</v>
      </c>
    </row>
    <row r="102" spans="1:5" ht="15" customHeight="1">
      <c r="A102" s="5" t="s">
        <v>75</v>
      </c>
      <c r="B102" s="3">
        <v>60.48</v>
      </c>
      <c r="C102" s="3">
        <v>80</v>
      </c>
      <c r="D102" s="3">
        <v>80.430000000000007</v>
      </c>
      <c r="E102" s="3">
        <v>59.92</v>
      </c>
    </row>
    <row r="103" spans="1:5" ht="15" customHeight="1">
      <c r="A103" s="5" t="s">
        <v>74</v>
      </c>
      <c r="B103" s="3">
        <v>6.05</v>
      </c>
      <c r="C103" s="3">
        <v>4.57</v>
      </c>
      <c r="D103" s="3">
        <v>4.55</v>
      </c>
      <c r="E103" s="3">
        <v>6.11</v>
      </c>
    </row>
    <row r="104" spans="1:5" ht="15" customHeight="1">
      <c r="A104" s="5" t="s">
        <v>73</v>
      </c>
      <c r="B104" s="3">
        <v>24.58</v>
      </c>
      <c r="C104" s="3">
        <v>20.07</v>
      </c>
      <c r="D104" s="3">
        <v>19.059999999999999</v>
      </c>
      <c r="E104" s="3">
        <v>18.440000000000001</v>
      </c>
    </row>
    <row r="105" spans="1:5" ht="15" customHeight="1">
      <c r="A105" s="5" t="s">
        <v>72</v>
      </c>
      <c r="B105" s="3">
        <v>14.89</v>
      </c>
      <c r="C105" s="3">
        <v>18.239999999999998</v>
      </c>
      <c r="D105" s="3">
        <v>19.2</v>
      </c>
      <c r="E105" s="3">
        <v>19.850000000000001</v>
      </c>
    </row>
    <row r="106" spans="1:5" ht="15" customHeight="1">
      <c r="A106" s="5" t="s">
        <v>71</v>
      </c>
      <c r="B106" s="3">
        <v>35.39</v>
      </c>
      <c r="C106" s="3">
        <v>39.340000000000003</v>
      </c>
      <c r="D106" s="3">
        <v>42.09</v>
      </c>
      <c r="E106" s="3">
        <v>43.42</v>
      </c>
    </row>
  </sheetData>
  <mergeCells count="20">
    <mergeCell ref="B11"/>
    <mergeCell ref="C11"/>
    <mergeCell ref="D11"/>
    <mergeCell ref="E11"/>
    <mergeCell ref="B12"/>
    <mergeCell ref="D12"/>
    <mergeCell ref="B13"/>
    <mergeCell ref="B14"/>
    <mergeCell ref="B15"/>
    <mergeCell ref="C12"/>
    <mergeCell ref="C13"/>
    <mergeCell ref="C14"/>
    <mergeCell ref="C15"/>
    <mergeCell ref="D13"/>
    <mergeCell ref="D14"/>
    <mergeCell ref="D15"/>
    <mergeCell ref="E12"/>
    <mergeCell ref="E13"/>
    <mergeCell ref="E14"/>
    <mergeCell ref="E15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7064-EEEA-4E5C-8695-FAB0051909E4}">
  <sheetPr>
    <pageSetUpPr fitToPage="1"/>
  </sheetPr>
  <dimension ref="A1:E73"/>
  <sheetViews>
    <sheetView topLeftCell="B44" workbookViewId="0">
      <selection activeCell="E54" sqref="E54"/>
    </sheetView>
  </sheetViews>
  <sheetFormatPr baseColWidth="10" defaultColWidth="8.83984375" defaultRowHeight="14.4" outlineLevelRow="1"/>
  <cols>
    <col min="1" max="1" width="85.68359375" style="1" customWidth="1"/>
    <col min="2" max="5" width="15.68359375" style="1" customWidth="1"/>
    <col min="6" max="16384" width="8.83984375" style="1"/>
  </cols>
  <sheetData>
    <row r="1" spans="1:5" ht="15" customHeight="1" thickBot="1">
      <c r="A1" s="20" t="s">
        <v>222</v>
      </c>
      <c r="B1" s="19"/>
      <c r="C1" s="19"/>
      <c r="D1" s="19"/>
      <c r="E1" s="19"/>
    </row>
    <row r="2" spans="1:5" ht="15" customHeight="1" thickTop="1">
      <c r="A2" s="17" t="s">
        <v>172</v>
      </c>
      <c r="B2" s="18" t="s">
        <v>911</v>
      </c>
    </row>
    <row r="3" spans="1:5">
      <c r="A3" s="17" t="s">
        <v>171</v>
      </c>
      <c r="B3" s="17" t="s">
        <v>169</v>
      </c>
    </row>
    <row r="4" spans="1:5">
      <c r="A4" s="17" t="s">
        <v>170</v>
      </c>
      <c r="B4" s="17" t="s">
        <v>806</v>
      </c>
    </row>
    <row r="5" spans="1:5">
      <c r="A5" s="17" t="s">
        <v>168</v>
      </c>
      <c r="B5" s="17" t="s">
        <v>167</v>
      </c>
    </row>
    <row r="6" spans="1:5">
      <c r="A6" s="17" t="s">
        <v>166</v>
      </c>
      <c r="B6" s="17" t="s">
        <v>165</v>
      </c>
    </row>
    <row r="7" spans="1:5">
      <c r="A7" s="17" t="s">
        <v>164</v>
      </c>
      <c r="B7" s="17" t="s">
        <v>163</v>
      </c>
    </row>
    <row r="8" spans="1:5">
      <c r="A8" s="17" t="s">
        <v>162</v>
      </c>
      <c r="B8" s="17" t="s">
        <v>161</v>
      </c>
    </row>
    <row r="9" spans="1:5">
      <c r="A9" s="17" t="s">
        <v>160</v>
      </c>
      <c r="B9" s="17" t="s">
        <v>159</v>
      </c>
    </row>
    <row r="10" spans="1:5">
      <c r="A10" s="17" t="s">
        <v>158</v>
      </c>
      <c r="B10" s="16">
        <v>45254.694554513902</v>
      </c>
    </row>
    <row r="11" spans="1:5">
      <c r="A11" s="14" t="s">
        <v>157</v>
      </c>
      <c r="B11" s="161" t="s">
        <v>153</v>
      </c>
      <c r="C11" s="161" t="s">
        <v>154</v>
      </c>
      <c r="D11" s="161" t="s">
        <v>155</v>
      </c>
      <c r="E11" s="161" t="s">
        <v>156</v>
      </c>
    </row>
    <row r="12" spans="1:5" ht="15" customHeight="1" outlineLevel="1">
      <c r="A12" s="15" t="s">
        <v>152</v>
      </c>
      <c r="B12" s="163">
        <v>43921</v>
      </c>
      <c r="C12" s="163">
        <v>44286</v>
      </c>
      <c r="D12" s="163">
        <v>44651</v>
      </c>
      <c r="E12" s="163">
        <v>45016</v>
      </c>
    </row>
    <row r="13" spans="1:5" ht="15" customHeight="1" outlineLevel="1">
      <c r="A13" s="15" t="s">
        <v>151</v>
      </c>
      <c r="B13" s="163" t="s">
        <v>150</v>
      </c>
      <c r="C13" s="163" t="s">
        <v>150</v>
      </c>
      <c r="D13" s="163" t="s">
        <v>150</v>
      </c>
      <c r="E13" s="163" t="s">
        <v>150</v>
      </c>
    </row>
    <row r="14" spans="1:5" ht="15" customHeight="1" outlineLevel="1">
      <c r="A14" s="15" t="s">
        <v>910</v>
      </c>
      <c r="B14" s="162">
        <v>1</v>
      </c>
      <c r="C14" s="162">
        <v>1</v>
      </c>
      <c r="D14" s="162">
        <v>1</v>
      </c>
      <c r="E14" s="162">
        <v>1</v>
      </c>
    </row>
    <row r="15" spans="1:5" ht="15" customHeight="1" outlineLevel="1">
      <c r="A15" s="15" t="s">
        <v>909</v>
      </c>
      <c r="B15" s="162"/>
      <c r="C15" s="162"/>
      <c r="D15" s="162"/>
      <c r="E15" s="162"/>
    </row>
    <row r="16" spans="1:5">
      <c r="A16" s="13" t="s">
        <v>221</v>
      </c>
      <c r="B16" s="14"/>
      <c r="C16" s="14"/>
      <c r="D16" s="14"/>
      <c r="E16" s="14"/>
    </row>
    <row r="17" spans="1:5">
      <c r="A17" s="13" t="s">
        <v>148</v>
      </c>
      <c r="B17" s="12" t="s">
        <v>144</v>
      </c>
      <c r="C17" s="12" t="s">
        <v>145</v>
      </c>
      <c r="D17" s="12" t="s">
        <v>146</v>
      </c>
      <c r="E17" s="12" t="s">
        <v>147</v>
      </c>
    </row>
    <row r="18" spans="1:5" ht="15" customHeight="1">
      <c r="A18" s="7" t="s">
        <v>97</v>
      </c>
      <c r="B18" s="6"/>
      <c r="C18" s="6"/>
      <c r="D18" s="6"/>
      <c r="E18" s="6"/>
    </row>
    <row r="19" spans="1:5" ht="15" customHeight="1">
      <c r="A19" s="5" t="s">
        <v>97</v>
      </c>
      <c r="B19" s="2">
        <v>506436.19</v>
      </c>
      <c r="C19" s="2">
        <v>586263.73</v>
      </c>
      <c r="D19" s="2">
        <v>262061.03</v>
      </c>
      <c r="E19" s="2">
        <v>228699.51999999999</v>
      </c>
    </row>
    <row r="20" spans="1:5" ht="15" customHeight="1">
      <c r="A20" s="5" t="s">
        <v>220</v>
      </c>
      <c r="B20" s="2">
        <v>136564.57</v>
      </c>
      <c r="C20" s="2">
        <v>249711.96</v>
      </c>
      <c r="D20" s="2">
        <v>295800.2</v>
      </c>
      <c r="E20" s="2">
        <v>330109.92</v>
      </c>
    </row>
    <row r="21" spans="1:5" ht="15" customHeight="1">
      <c r="A21" s="7" t="s">
        <v>101</v>
      </c>
      <c r="B21" s="6"/>
      <c r="C21" s="6"/>
      <c r="D21" s="6"/>
      <c r="E21" s="6"/>
    </row>
    <row r="22" spans="1:5" ht="15" customHeight="1">
      <c r="A22" s="5" t="s">
        <v>101</v>
      </c>
      <c r="B22" s="2">
        <v>522470.40000000002</v>
      </c>
      <c r="C22" s="2">
        <v>614977.68000000005</v>
      </c>
      <c r="D22" s="2">
        <v>290459.59000000003</v>
      </c>
      <c r="E22" s="2">
        <v>262168.56</v>
      </c>
    </row>
    <row r="23" spans="1:5" ht="15" customHeight="1">
      <c r="A23" s="5" t="s">
        <v>219</v>
      </c>
      <c r="B23" s="2">
        <v>139768.71</v>
      </c>
      <c r="C23" s="2">
        <v>257876.39</v>
      </c>
      <c r="D23" s="2">
        <v>309163.96000000002</v>
      </c>
      <c r="E23" s="2">
        <v>349815.47</v>
      </c>
    </row>
    <row r="24" spans="1:5" ht="15" customHeight="1">
      <c r="A24" s="7" t="s">
        <v>218</v>
      </c>
      <c r="B24" s="6"/>
      <c r="C24" s="6"/>
      <c r="D24" s="6"/>
      <c r="E24" s="6"/>
    </row>
    <row r="25" spans="1:5" ht="15" customHeight="1">
      <c r="A25" s="5" t="s">
        <v>217</v>
      </c>
      <c r="B25" s="8">
        <v>194.48</v>
      </c>
      <c r="C25" s="8">
        <v>226.73</v>
      </c>
      <c r="D25" s="8">
        <v>108.8</v>
      </c>
      <c r="E25" s="8">
        <v>102.18</v>
      </c>
    </row>
    <row r="26" spans="1:5" ht="15" customHeight="1">
      <c r="A26" s="5" t="s">
        <v>216</v>
      </c>
      <c r="B26" s="8">
        <v>149.47</v>
      </c>
      <c r="C26" s="8">
        <v>179.01</v>
      </c>
      <c r="D26" s="8">
        <v>179.2</v>
      </c>
      <c r="E26" s="8">
        <v>162.93</v>
      </c>
    </row>
    <row r="27" spans="1:5" ht="15" customHeight="1">
      <c r="A27" s="7" t="s">
        <v>215</v>
      </c>
      <c r="B27" s="6"/>
      <c r="C27" s="6"/>
      <c r="D27" s="6"/>
      <c r="E27" s="6"/>
    </row>
    <row r="28" spans="1:5" ht="15" customHeight="1">
      <c r="A28" s="5" t="s">
        <v>214</v>
      </c>
      <c r="B28" s="10">
        <v>3.74</v>
      </c>
      <c r="C28" s="10">
        <v>4.47</v>
      </c>
      <c r="D28" s="10">
        <v>4.7</v>
      </c>
      <c r="E28" s="10">
        <v>8.9600000000000009</v>
      </c>
    </row>
    <row r="29" spans="1:5" ht="15" customHeight="1">
      <c r="A29" s="5" t="s">
        <v>213</v>
      </c>
      <c r="B29" s="10">
        <v>20.14</v>
      </c>
      <c r="C29" s="10">
        <v>15.42</v>
      </c>
      <c r="D29" s="10">
        <v>12.61</v>
      </c>
      <c r="E29" s="10">
        <v>9.5399999999999991</v>
      </c>
    </row>
    <row r="30" spans="1:5" ht="15" customHeight="1">
      <c r="A30" s="7" t="s">
        <v>212</v>
      </c>
      <c r="B30" s="6"/>
      <c r="C30" s="6"/>
      <c r="D30" s="6"/>
      <c r="E30" s="6"/>
    </row>
    <row r="31" spans="1:5" ht="15" customHeight="1">
      <c r="A31" s="5" t="s">
        <v>128</v>
      </c>
      <c r="B31" s="10">
        <v>0</v>
      </c>
      <c r="C31" s="10">
        <v>0</v>
      </c>
      <c r="D31" s="10">
        <v>0</v>
      </c>
      <c r="E31" s="10">
        <v>0</v>
      </c>
    </row>
    <row r="32" spans="1:5" ht="15" customHeight="1">
      <c r="A32" s="5" t="s">
        <v>128</v>
      </c>
      <c r="B32" s="10">
        <v>0</v>
      </c>
      <c r="C32" s="10">
        <v>0</v>
      </c>
      <c r="D32" s="10">
        <v>0</v>
      </c>
      <c r="E32" s="10">
        <v>0</v>
      </c>
    </row>
    <row r="33" spans="1:5" ht="15" customHeight="1">
      <c r="A33" s="5" t="s">
        <v>211</v>
      </c>
      <c r="B33" s="10">
        <v>0</v>
      </c>
      <c r="C33" s="10">
        <v>0</v>
      </c>
      <c r="D33" s="10">
        <v>0</v>
      </c>
      <c r="E33" s="10">
        <v>0</v>
      </c>
    </row>
    <row r="34" spans="1:5" ht="15" customHeight="1">
      <c r="A34" s="5" t="s">
        <v>129</v>
      </c>
      <c r="B34" s="10">
        <v>0</v>
      </c>
      <c r="C34" s="10">
        <v>0</v>
      </c>
      <c r="D34" s="10">
        <v>0</v>
      </c>
      <c r="E34" s="10">
        <v>0</v>
      </c>
    </row>
    <row r="35" spans="1:5" ht="15" customHeight="1">
      <c r="A35" s="5" t="s">
        <v>129</v>
      </c>
      <c r="B35" s="10">
        <v>0</v>
      </c>
      <c r="C35" s="10">
        <v>0</v>
      </c>
      <c r="D35" s="10">
        <v>0</v>
      </c>
      <c r="E35" s="10">
        <v>0</v>
      </c>
    </row>
    <row r="36" spans="1:5" ht="15" customHeight="1">
      <c r="A36" s="5" t="s">
        <v>210</v>
      </c>
      <c r="B36" s="10">
        <v>0</v>
      </c>
      <c r="C36" s="10">
        <v>0</v>
      </c>
      <c r="D36" s="10">
        <v>0</v>
      </c>
      <c r="E36" s="10">
        <v>0</v>
      </c>
    </row>
    <row r="37" spans="1:5" ht="15" customHeight="1">
      <c r="A37" s="7" t="s">
        <v>209</v>
      </c>
      <c r="B37" s="6"/>
      <c r="C37" s="6"/>
      <c r="D37" s="6"/>
      <c r="E37" s="6"/>
    </row>
    <row r="38" spans="1:5" ht="15" customHeight="1">
      <c r="A38" s="5" t="s">
        <v>208</v>
      </c>
      <c r="B38" s="3">
        <v>4.9000000000000004</v>
      </c>
      <c r="C38" s="3">
        <v>4.3</v>
      </c>
      <c r="D38" s="3">
        <v>1.94</v>
      </c>
      <c r="E38" s="3">
        <v>1.82</v>
      </c>
    </row>
    <row r="39" spans="1:5" ht="15" customHeight="1">
      <c r="A39" s="5" t="s">
        <v>208</v>
      </c>
      <c r="B39" s="3">
        <v>4.7699999999999996</v>
      </c>
      <c r="C39" s="3">
        <v>4.29</v>
      </c>
      <c r="D39" s="3">
        <v>2.04</v>
      </c>
      <c r="E39" s="3">
        <v>1.82</v>
      </c>
    </row>
    <row r="40" spans="1:5" ht="15" customHeight="1">
      <c r="A40" s="5" t="s">
        <v>207</v>
      </c>
      <c r="B40" s="3">
        <v>6.21</v>
      </c>
      <c r="C40" s="3">
        <v>5.61</v>
      </c>
      <c r="D40" s="3">
        <v>4.49</v>
      </c>
      <c r="E40" s="3">
        <v>3.5</v>
      </c>
    </row>
    <row r="41" spans="1:5" ht="15" customHeight="1">
      <c r="A41" s="7" t="s">
        <v>206</v>
      </c>
      <c r="B41" s="6"/>
      <c r="C41" s="6"/>
      <c r="D41" s="6"/>
      <c r="E41" s="6"/>
    </row>
    <row r="42" spans="1:5" ht="15" customHeight="1">
      <c r="A42" s="5" t="s">
        <v>205</v>
      </c>
      <c r="B42" s="3">
        <v>8.86</v>
      </c>
      <c r="C42" s="3">
        <v>7.02</v>
      </c>
      <c r="D42" s="3">
        <v>2.97</v>
      </c>
      <c r="E42" s="3">
        <v>2.67</v>
      </c>
    </row>
    <row r="43" spans="1:5" ht="15" customHeight="1">
      <c r="A43" s="5" t="s">
        <v>204</v>
      </c>
      <c r="B43" s="3">
        <v>2.39</v>
      </c>
      <c r="C43" s="3">
        <v>3.21</v>
      </c>
      <c r="D43" s="3">
        <v>3.56</v>
      </c>
      <c r="E43" s="3">
        <v>4.0199999999999996</v>
      </c>
    </row>
    <row r="44" spans="1:5" ht="15" customHeight="1">
      <c r="A44" s="7" t="s">
        <v>203</v>
      </c>
      <c r="B44" s="6"/>
      <c r="C44" s="6"/>
      <c r="D44" s="6"/>
      <c r="E44" s="6"/>
    </row>
    <row r="45" spans="1:5" ht="15" customHeight="1">
      <c r="A45" s="5" t="s">
        <v>202</v>
      </c>
      <c r="B45" s="3">
        <v>7.09</v>
      </c>
      <c r="C45" s="3">
        <v>5.89</v>
      </c>
      <c r="D45" s="3">
        <v>2.23</v>
      </c>
      <c r="E45" s="3">
        <v>2.13</v>
      </c>
    </row>
    <row r="46" spans="1:5" ht="15" customHeight="1">
      <c r="A46" s="5" t="s">
        <v>201</v>
      </c>
      <c r="B46" s="3">
        <v>1.71</v>
      </c>
      <c r="C46" s="3">
        <v>2.1</v>
      </c>
      <c r="D46" s="3">
        <v>2.23</v>
      </c>
      <c r="E46" s="3">
        <v>2.44</v>
      </c>
    </row>
    <row r="47" spans="1:5" ht="15" customHeight="1">
      <c r="A47" s="7" t="s">
        <v>200</v>
      </c>
      <c r="B47" s="6"/>
      <c r="C47" s="6"/>
      <c r="D47" s="6"/>
      <c r="E47" s="6"/>
    </row>
    <row r="48" spans="1:5" ht="15" customHeight="1">
      <c r="A48" s="5" t="s">
        <v>199</v>
      </c>
      <c r="B48" s="3">
        <v>26.73</v>
      </c>
      <c r="C48" s="3">
        <v>22.39</v>
      </c>
      <c r="D48" s="3">
        <v>21.26</v>
      </c>
      <c r="E48" s="3">
        <v>11.17</v>
      </c>
    </row>
    <row r="49" spans="1:5" ht="15" customHeight="1">
      <c r="A49" s="5" t="s">
        <v>198</v>
      </c>
      <c r="B49" s="3">
        <v>4.97</v>
      </c>
      <c r="C49" s="3">
        <v>6.48</v>
      </c>
      <c r="D49" s="3">
        <v>7.93</v>
      </c>
      <c r="E49" s="3">
        <v>10.48</v>
      </c>
    </row>
    <row r="50" spans="1:5" ht="15" customHeight="1">
      <c r="A50" s="7" t="s">
        <v>197</v>
      </c>
      <c r="B50" s="6"/>
      <c r="C50" s="6"/>
      <c r="D50" s="6"/>
      <c r="E50" s="6"/>
    </row>
    <row r="51" spans="1:5" ht="15" customHeight="1">
      <c r="A51" s="5" t="s">
        <v>196</v>
      </c>
      <c r="B51" s="3">
        <v>19.77</v>
      </c>
      <c r="C51" s="3">
        <v>22.09</v>
      </c>
      <c r="D51" s="3">
        <v>19.989999999999998</v>
      </c>
      <c r="E51" s="3">
        <v>16.010000000000002</v>
      </c>
    </row>
    <row r="52" spans="1:5" ht="15" customHeight="1">
      <c r="A52" s="5" t="s">
        <v>195</v>
      </c>
      <c r="B52" s="3">
        <v>4.51</v>
      </c>
      <c r="C52" s="3">
        <v>6.51</v>
      </c>
      <c r="D52" s="3">
        <v>7.63</v>
      </c>
      <c r="E52" s="3">
        <v>9.5500000000000007</v>
      </c>
    </row>
    <row r="53" spans="1:5" ht="15" customHeight="1">
      <c r="A53" s="7" t="s">
        <v>194</v>
      </c>
      <c r="B53" s="6"/>
      <c r="C53" s="6"/>
      <c r="D53" s="6"/>
      <c r="E53" s="6"/>
    </row>
    <row r="54" spans="1:5" ht="15" customHeight="1">
      <c r="A54" s="5" t="s">
        <v>193</v>
      </c>
      <c r="B54" s="3">
        <v>24.22</v>
      </c>
      <c r="C54" s="3">
        <v>28.11</v>
      </c>
      <c r="D54" s="3">
        <v>30.71</v>
      </c>
      <c r="E54" s="3">
        <v>25.48</v>
      </c>
    </row>
    <row r="55" spans="1:5" ht="15" customHeight="1">
      <c r="A55" s="5" t="s">
        <v>192</v>
      </c>
      <c r="B55" s="3">
        <v>5.63</v>
      </c>
      <c r="C55" s="3">
        <v>8.4700000000000006</v>
      </c>
      <c r="D55" s="3">
        <v>10.06</v>
      </c>
      <c r="E55" s="3">
        <v>12.84</v>
      </c>
    </row>
    <row r="56" spans="1:5" ht="15" customHeight="1">
      <c r="A56" s="7" t="s">
        <v>191</v>
      </c>
      <c r="B56" s="6"/>
      <c r="C56" s="6"/>
      <c r="D56" s="6"/>
      <c r="E56" s="6"/>
    </row>
    <row r="57" spans="1:5" ht="15" customHeight="1">
      <c r="A57" s="5" t="s">
        <v>190</v>
      </c>
      <c r="B57" s="3">
        <v>38.58</v>
      </c>
      <c r="C57" s="3">
        <v>31.61</v>
      </c>
      <c r="D57" s="3">
        <v>12.12</v>
      </c>
      <c r="E57" s="3">
        <v>14.47</v>
      </c>
    </row>
    <row r="58" spans="1:5" ht="15" customHeight="1">
      <c r="A58" s="5" t="s">
        <v>189</v>
      </c>
      <c r="B58" s="3">
        <v>1.0900000000000001</v>
      </c>
      <c r="C58" s="3">
        <v>1.42</v>
      </c>
      <c r="D58" s="3">
        <v>1.61</v>
      </c>
      <c r="E58" s="3">
        <v>1.89</v>
      </c>
    </row>
    <row r="59" spans="1:5" ht="15" customHeight="1">
      <c r="A59" s="7" t="s">
        <v>188</v>
      </c>
      <c r="B59" s="6"/>
      <c r="C59" s="6"/>
      <c r="D59" s="6"/>
      <c r="E59" s="6"/>
    </row>
    <row r="60" spans="1:5" ht="15" customHeight="1">
      <c r="A60" s="5" t="s">
        <v>187</v>
      </c>
      <c r="B60" s="4">
        <v>-0.3</v>
      </c>
      <c r="C60" s="3">
        <v>61.6</v>
      </c>
      <c r="D60" s="4">
        <v>-0.55000000000000004</v>
      </c>
      <c r="E60" s="3">
        <v>1.93</v>
      </c>
    </row>
    <row r="61" spans="1:5" ht="15" customHeight="1">
      <c r="A61" s="5" t="s">
        <v>186</v>
      </c>
      <c r="B61" s="4">
        <v>-0.67</v>
      </c>
      <c r="C61" s="4">
        <v>-0.33</v>
      </c>
      <c r="D61" s="4">
        <v>-0.34</v>
      </c>
      <c r="E61" s="4">
        <v>-0.39</v>
      </c>
    </row>
    <row r="62" spans="1:5" ht="15" customHeight="1">
      <c r="A62" s="7" t="s">
        <v>185</v>
      </c>
      <c r="B62" s="6"/>
      <c r="C62" s="6"/>
      <c r="D62" s="6"/>
      <c r="E62" s="6"/>
    </row>
    <row r="63" spans="1:5" ht="15" customHeight="1">
      <c r="A63" s="5" t="s">
        <v>184</v>
      </c>
      <c r="B63" s="3">
        <v>6.92</v>
      </c>
      <c r="C63" s="3">
        <v>5.54</v>
      </c>
      <c r="D63" s="3">
        <v>1.97</v>
      </c>
      <c r="E63" s="3">
        <v>1.8</v>
      </c>
    </row>
    <row r="64" spans="1:5" ht="15" customHeight="1">
      <c r="A64" s="5" t="s">
        <v>183</v>
      </c>
      <c r="B64" s="3">
        <v>3.31</v>
      </c>
      <c r="C64" s="3">
        <v>4.21</v>
      </c>
      <c r="D64" s="3">
        <v>3.64</v>
      </c>
      <c r="E64" s="3">
        <v>3.33</v>
      </c>
    </row>
    <row r="65" spans="1:5" ht="15" customHeight="1">
      <c r="A65" s="7" t="s">
        <v>182</v>
      </c>
      <c r="B65" s="6"/>
      <c r="C65" s="6"/>
      <c r="D65" s="6"/>
      <c r="E65" s="6"/>
    </row>
    <row r="66" spans="1:5" ht="15" customHeight="1">
      <c r="A66" s="5" t="s">
        <v>181</v>
      </c>
      <c r="B66" s="3">
        <v>24.7</v>
      </c>
      <c r="C66" s="3">
        <v>28.53</v>
      </c>
      <c r="D66" s="3">
        <v>11.71</v>
      </c>
      <c r="E66" s="3">
        <v>10.17</v>
      </c>
    </row>
    <row r="67" spans="1:5" ht="15" customHeight="1">
      <c r="A67" s="5" t="s">
        <v>180</v>
      </c>
      <c r="B67" s="3">
        <v>10.43</v>
      </c>
      <c r="C67" s="3">
        <v>15.61</v>
      </c>
      <c r="D67" s="3">
        <v>15.97</v>
      </c>
      <c r="E67" s="3">
        <v>16.420000000000002</v>
      </c>
    </row>
    <row r="68" spans="1:5" ht="15" customHeight="1">
      <c r="A68" s="7" t="s">
        <v>179</v>
      </c>
      <c r="B68" s="6"/>
      <c r="C68" s="6"/>
      <c r="D68" s="6"/>
      <c r="E68" s="6"/>
    </row>
    <row r="69" spans="1:5" ht="15" customHeight="1">
      <c r="A69" s="5" t="s">
        <v>178</v>
      </c>
      <c r="B69" s="3">
        <v>19.53</v>
      </c>
      <c r="C69" s="3">
        <v>17.149999999999999</v>
      </c>
      <c r="D69" s="3">
        <v>11.78</v>
      </c>
      <c r="E69" s="3">
        <v>7.84</v>
      </c>
    </row>
    <row r="70" spans="1:5" ht="15" customHeight="1">
      <c r="A70" s="5" t="s">
        <v>177</v>
      </c>
      <c r="B70" s="3">
        <v>7.7</v>
      </c>
      <c r="C70" s="3">
        <v>10.96</v>
      </c>
      <c r="D70" s="3">
        <v>11.94</v>
      </c>
      <c r="E70" s="3">
        <v>12.31</v>
      </c>
    </row>
    <row r="71" spans="1:5" ht="15" customHeight="1">
      <c r="A71" s="7" t="s">
        <v>176</v>
      </c>
      <c r="B71" s="6"/>
      <c r="C71" s="6"/>
      <c r="D71" s="6"/>
      <c r="E71" s="6"/>
    </row>
    <row r="72" spans="1:5" ht="15" customHeight="1">
      <c r="A72" s="5" t="s">
        <v>175</v>
      </c>
      <c r="B72" s="3">
        <v>26.08</v>
      </c>
      <c r="C72" s="3">
        <v>21.07</v>
      </c>
      <c r="D72" s="3">
        <v>18.809999999999999</v>
      </c>
      <c r="E72" s="3">
        <v>9.4700000000000006</v>
      </c>
    </row>
    <row r="73" spans="1:5" ht="15" customHeight="1">
      <c r="A73" s="5" t="s">
        <v>174</v>
      </c>
      <c r="B73" s="3">
        <v>10.35</v>
      </c>
      <c r="C73" s="3">
        <v>14.43</v>
      </c>
      <c r="D73" s="3">
        <v>16.3</v>
      </c>
      <c r="E73" s="3">
        <v>16.43</v>
      </c>
    </row>
  </sheetData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BBD7-8517-4E1B-BF95-441832AA57A8}">
  <sheetPr>
    <pageSetUpPr fitToPage="1"/>
  </sheetPr>
  <dimension ref="A1:J189"/>
  <sheetViews>
    <sheetView topLeftCell="A12" workbookViewId="0">
      <selection activeCell="F23" sqref="F23"/>
    </sheetView>
  </sheetViews>
  <sheetFormatPr baseColWidth="10" defaultColWidth="8.83984375" defaultRowHeight="14.4" outlineLevelRow="1"/>
  <cols>
    <col min="1" max="1" width="85.68359375" style="1" customWidth="1"/>
    <col min="2" max="5" width="15.68359375" style="1" customWidth="1"/>
    <col min="6" max="16384" width="8.83984375" style="1"/>
  </cols>
  <sheetData>
    <row r="1" spans="1:5" ht="15" customHeight="1" thickBot="1">
      <c r="A1" s="20" t="s">
        <v>358</v>
      </c>
      <c r="B1" s="19"/>
      <c r="C1" s="19"/>
      <c r="D1" s="19"/>
      <c r="E1" s="19"/>
    </row>
    <row r="2" spans="1:5" ht="15" customHeight="1" thickTop="1">
      <c r="A2" s="17" t="s">
        <v>172</v>
      </c>
      <c r="B2" s="18" t="s">
        <v>911</v>
      </c>
    </row>
    <row r="3" spans="1:5">
      <c r="A3" s="17" t="s">
        <v>171</v>
      </c>
      <c r="B3" s="17" t="s">
        <v>169</v>
      </c>
    </row>
    <row r="4" spans="1:5">
      <c r="A4" s="17" t="s">
        <v>170</v>
      </c>
      <c r="B4" s="17" t="s">
        <v>806</v>
      </c>
    </row>
    <row r="5" spans="1:5">
      <c r="A5" s="17" t="s">
        <v>168</v>
      </c>
      <c r="B5" s="17" t="s">
        <v>167</v>
      </c>
    </row>
    <row r="6" spans="1:5">
      <c r="A6" s="17" t="s">
        <v>166</v>
      </c>
      <c r="B6" s="17" t="s">
        <v>165</v>
      </c>
    </row>
    <row r="7" spans="1:5">
      <c r="A7" s="17" t="s">
        <v>164</v>
      </c>
      <c r="B7" s="17" t="s">
        <v>163</v>
      </c>
    </row>
    <row r="8" spans="1:5">
      <c r="A8" s="17" t="s">
        <v>162</v>
      </c>
      <c r="B8" s="17" t="s">
        <v>161</v>
      </c>
    </row>
    <row r="9" spans="1:5">
      <c r="A9" s="17" t="s">
        <v>160</v>
      </c>
      <c r="B9" s="17" t="s">
        <v>159</v>
      </c>
    </row>
    <row r="10" spans="1:5">
      <c r="A10" s="17" t="s">
        <v>158</v>
      </c>
      <c r="B10" s="16">
        <v>45254.694554849499</v>
      </c>
    </row>
    <row r="11" spans="1:5">
      <c r="A11" s="14" t="s">
        <v>157</v>
      </c>
      <c r="B11" s="161" t="s">
        <v>153</v>
      </c>
      <c r="C11" s="161" t="s">
        <v>154</v>
      </c>
      <c r="D11" s="161" t="s">
        <v>155</v>
      </c>
      <c r="E11" s="161" t="s">
        <v>156</v>
      </c>
    </row>
    <row r="12" spans="1:5" ht="15" customHeight="1" outlineLevel="1">
      <c r="A12" s="15" t="s">
        <v>152</v>
      </c>
      <c r="B12" s="163">
        <v>43921</v>
      </c>
      <c r="C12" s="163">
        <v>44286</v>
      </c>
      <c r="D12" s="163">
        <v>44651</v>
      </c>
      <c r="E12" s="163">
        <v>45016</v>
      </c>
    </row>
    <row r="13" spans="1:5" ht="15" customHeight="1" outlineLevel="1">
      <c r="A13" s="15" t="s">
        <v>151</v>
      </c>
      <c r="B13" s="163" t="s">
        <v>150</v>
      </c>
      <c r="C13" s="163" t="s">
        <v>150</v>
      </c>
      <c r="D13" s="163" t="s">
        <v>150</v>
      </c>
      <c r="E13" s="163" t="s">
        <v>150</v>
      </c>
    </row>
    <row r="14" spans="1:5" ht="15" customHeight="1" outlineLevel="1">
      <c r="A14" s="15" t="s">
        <v>910</v>
      </c>
      <c r="B14" s="162">
        <v>1</v>
      </c>
      <c r="C14" s="162">
        <v>1</v>
      </c>
      <c r="D14" s="162">
        <v>1</v>
      </c>
      <c r="E14" s="162">
        <v>1</v>
      </c>
    </row>
    <row r="15" spans="1:5" ht="15" customHeight="1" outlineLevel="1">
      <c r="A15" s="15" t="s">
        <v>909</v>
      </c>
      <c r="B15" s="162"/>
      <c r="C15" s="162"/>
      <c r="D15" s="162"/>
      <c r="E15" s="162"/>
    </row>
    <row r="16" spans="1:5">
      <c r="A16" s="13" t="s">
        <v>357</v>
      </c>
      <c r="B16" s="14"/>
      <c r="C16" s="14"/>
      <c r="D16" s="14"/>
      <c r="E16" s="14"/>
    </row>
    <row r="17" spans="1:6">
      <c r="A17" s="13" t="s">
        <v>148</v>
      </c>
      <c r="B17" s="12" t="s">
        <v>144</v>
      </c>
      <c r="C17" s="12" t="s">
        <v>145</v>
      </c>
      <c r="D17" s="12" t="s">
        <v>146</v>
      </c>
      <c r="E17" s="12" t="s">
        <v>147</v>
      </c>
    </row>
    <row r="18" spans="1:6" ht="15" customHeight="1">
      <c r="A18" s="7" t="s">
        <v>356</v>
      </c>
      <c r="B18" s="6"/>
      <c r="C18" s="6"/>
      <c r="D18" s="6"/>
      <c r="E18" s="6"/>
    </row>
    <row r="19" spans="1:6" ht="15" customHeight="1">
      <c r="A19" s="5" t="s">
        <v>355</v>
      </c>
      <c r="B19" s="2">
        <v>56632.59</v>
      </c>
      <c r="C19" s="2">
        <v>101676.59</v>
      </c>
      <c r="D19" s="2">
        <v>127187.53</v>
      </c>
      <c r="E19" s="2">
        <v>121513.31</v>
      </c>
    </row>
    <row r="20" spans="1:6" ht="15" customHeight="1">
      <c r="A20" s="21" t="s">
        <v>354</v>
      </c>
      <c r="B20" s="2">
        <v>56632.59</v>
      </c>
      <c r="C20" s="2">
        <v>101676.59</v>
      </c>
      <c r="D20" s="2">
        <v>127187.53</v>
      </c>
      <c r="E20" s="2">
        <v>121513.31</v>
      </c>
    </row>
    <row r="21" spans="1:6" ht="15" customHeight="1">
      <c r="A21" s="5" t="s">
        <v>934</v>
      </c>
      <c r="B21" s="2">
        <v>16558.45</v>
      </c>
      <c r="C21" s="8">
        <v>4138.09</v>
      </c>
      <c r="D21" s="8">
        <v>5726.09</v>
      </c>
      <c r="E21" s="8">
        <v>5342.88</v>
      </c>
    </row>
    <row r="22" spans="1:6" ht="15" customHeight="1">
      <c r="A22" s="26" t="s">
        <v>116</v>
      </c>
      <c r="B22" s="23">
        <v>73191.039999999994</v>
      </c>
      <c r="C22" s="23">
        <v>105814.68</v>
      </c>
      <c r="D22" s="23">
        <v>132913.62</v>
      </c>
      <c r="E22" s="23">
        <v>126856.19</v>
      </c>
      <c r="F22" s="227">
        <f>E22/D22</f>
        <v>0.95442581429954287</v>
      </c>
    </row>
    <row r="23" spans="1:6" ht="15" customHeight="1">
      <c r="A23" s="7" t="s">
        <v>224</v>
      </c>
      <c r="B23" s="6"/>
      <c r="C23" s="6"/>
      <c r="D23" s="6"/>
      <c r="E23" s="6"/>
    </row>
    <row r="24" spans="1:6" ht="15" customHeight="1">
      <c r="A24" s="5" t="s">
        <v>353</v>
      </c>
      <c r="B24" s="2">
        <v>41411.14</v>
      </c>
      <c r="C24" s="2">
        <v>63720.5</v>
      </c>
      <c r="D24" s="2">
        <v>85749.07</v>
      </c>
      <c r="E24" s="2">
        <v>82079.679999999993</v>
      </c>
    </row>
    <row r="25" spans="1:6" ht="15" customHeight="1">
      <c r="A25" s="21" t="s">
        <v>352</v>
      </c>
      <c r="B25" s="2">
        <v>41411.14</v>
      </c>
      <c r="C25" s="2">
        <v>63720.5</v>
      </c>
      <c r="D25" s="2">
        <v>85749.07</v>
      </c>
      <c r="E25" s="2">
        <v>82079.679999999993</v>
      </c>
    </row>
    <row r="26" spans="1:6" ht="15" customHeight="1">
      <c r="A26" s="22" t="s">
        <v>351</v>
      </c>
      <c r="B26" s="2">
        <v>37765.160000000003</v>
      </c>
      <c r="C26" s="2">
        <v>58890.1</v>
      </c>
      <c r="D26" s="2">
        <v>81700.88</v>
      </c>
      <c r="E26" s="2">
        <v>78040.429999999993</v>
      </c>
    </row>
    <row r="27" spans="1:6" ht="15" customHeight="1">
      <c r="A27" s="22" t="s">
        <v>350</v>
      </c>
      <c r="B27" s="8">
        <v>3145.27</v>
      </c>
      <c r="C27" s="8">
        <v>3174.64</v>
      </c>
      <c r="D27" s="8">
        <v>3156.2</v>
      </c>
      <c r="E27" s="8">
        <v>3205.4</v>
      </c>
    </row>
    <row r="28" spans="1:6" ht="15" customHeight="1">
      <c r="A28" s="22" t="s">
        <v>349</v>
      </c>
      <c r="B28" s="8">
        <v>1051.3900000000001</v>
      </c>
      <c r="C28" s="8">
        <v>1655.77</v>
      </c>
      <c r="D28" s="8">
        <v>892</v>
      </c>
      <c r="E28" s="8">
        <v>833.84</v>
      </c>
    </row>
    <row r="29" spans="1:6" ht="15" customHeight="1">
      <c r="A29" s="22" t="s">
        <v>935</v>
      </c>
      <c r="B29" s="11">
        <v>-550.67999999999995</v>
      </c>
      <c r="C29" s="2"/>
      <c r="D29" s="2"/>
      <c r="E29" s="2"/>
    </row>
    <row r="30" spans="1:6" ht="15" customHeight="1">
      <c r="A30" s="26" t="s">
        <v>142</v>
      </c>
      <c r="B30" s="23">
        <v>31779.91</v>
      </c>
      <c r="C30" s="23">
        <v>42094.18</v>
      </c>
      <c r="D30" s="23">
        <v>47164.55</v>
      </c>
      <c r="E30" s="23">
        <v>44776.51</v>
      </c>
      <c r="F30" s="165"/>
    </row>
    <row r="31" spans="1:6" ht="15" customHeight="1">
      <c r="A31" s="5" t="s">
        <v>348</v>
      </c>
      <c r="B31" s="2">
        <v>17511.189999999999</v>
      </c>
      <c r="C31" s="2">
        <v>28615.84</v>
      </c>
      <c r="D31" s="2">
        <v>32281.17</v>
      </c>
      <c r="E31" s="2">
        <v>29560.26</v>
      </c>
      <c r="F31" s="165">
        <f>E31-7265</f>
        <v>22295.26</v>
      </c>
    </row>
    <row r="32" spans="1:6" ht="15" customHeight="1">
      <c r="A32" s="21" t="s">
        <v>347</v>
      </c>
      <c r="B32" s="8">
        <v>5335.21</v>
      </c>
      <c r="C32" s="8">
        <v>9182.84</v>
      </c>
      <c r="D32" s="8">
        <v>8321.2199999999993</v>
      </c>
      <c r="E32" s="8">
        <v>8360.92</v>
      </c>
      <c r="F32" s="166"/>
    </row>
    <row r="33" spans="1:6" ht="15" customHeight="1">
      <c r="A33" s="21" t="s">
        <v>346</v>
      </c>
      <c r="B33" s="8">
        <v>1545.92</v>
      </c>
      <c r="C33" s="8">
        <v>2570.1</v>
      </c>
      <c r="D33" s="8">
        <v>1123.53</v>
      </c>
      <c r="E33" s="8">
        <v>1694.99</v>
      </c>
    </row>
    <row r="34" spans="1:6" ht="15" customHeight="1">
      <c r="A34" s="21" t="s">
        <v>345</v>
      </c>
      <c r="B34" s="8">
        <v>6186</v>
      </c>
      <c r="C34" s="8">
        <v>8443.4699999999993</v>
      </c>
      <c r="D34" s="8">
        <v>8641.8700000000008</v>
      </c>
      <c r="E34" s="8">
        <v>8286.4500000000007</v>
      </c>
    </row>
    <row r="35" spans="1:6" ht="15" customHeight="1">
      <c r="A35" s="21" t="s">
        <v>344</v>
      </c>
      <c r="B35" s="8">
        <v>4444.07</v>
      </c>
      <c r="C35" s="8">
        <v>8419.43</v>
      </c>
      <c r="D35" s="2">
        <v>14194.55</v>
      </c>
      <c r="E35" s="2">
        <v>11217.89</v>
      </c>
    </row>
    <row r="36" spans="1:6" ht="15" customHeight="1">
      <c r="A36" s="22" t="s">
        <v>936</v>
      </c>
      <c r="B36" s="8">
        <v>4444.07</v>
      </c>
      <c r="C36" s="8">
        <v>8419.43</v>
      </c>
      <c r="D36" s="2">
        <v>14194.55</v>
      </c>
      <c r="E36" s="2">
        <v>11217.89</v>
      </c>
    </row>
    <row r="37" spans="1:6" ht="15" customHeight="1">
      <c r="A37" s="5" t="s">
        <v>343</v>
      </c>
      <c r="B37" s="11">
        <v>-143.31</v>
      </c>
      <c r="C37" s="2"/>
      <c r="D37" s="2"/>
      <c r="E37" s="2"/>
    </row>
    <row r="38" spans="1:6" ht="15" customHeight="1">
      <c r="A38" s="21" t="s">
        <v>937</v>
      </c>
      <c r="B38" s="8">
        <v>143.31</v>
      </c>
      <c r="C38" s="2"/>
      <c r="D38" s="2"/>
      <c r="E38" s="2"/>
    </row>
    <row r="39" spans="1:6" ht="15" customHeight="1">
      <c r="A39" s="5" t="s">
        <v>342</v>
      </c>
      <c r="B39" s="2">
        <v>58779.02</v>
      </c>
      <c r="C39" s="2">
        <v>92336.34</v>
      </c>
      <c r="D39" s="2">
        <v>118030.25</v>
      </c>
      <c r="E39" s="2">
        <v>111639.93</v>
      </c>
    </row>
    <row r="40" spans="1:6" ht="15" customHeight="1">
      <c r="A40" s="7" t="s">
        <v>341</v>
      </c>
      <c r="B40" s="6"/>
      <c r="C40" s="6"/>
      <c r="D40" s="6"/>
      <c r="E40" s="6"/>
    </row>
    <row r="41" spans="1:6" ht="15" customHeight="1">
      <c r="A41" s="26" t="s">
        <v>115</v>
      </c>
      <c r="B41" s="23">
        <v>14412.02</v>
      </c>
      <c r="C41" s="23">
        <v>13478.34</v>
      </c>
      <c r="D41" s="23">
        <v>14883.37</v>
      </c>
      <c r="E41" s="23">
        <v>15216.25</v>
      </c>
      <c r="F41" s="165"/>
    </row>
    <row r="42" spans="1:6" ht="15" customHeight="1">
      <c r="A42" s="7" t="s">
        <v>340</v>
      </c>
      <c r="B42" s="6"/>
      <c r="C42" s="6"/>
      <c r="D42" s="6"/>
      <c r="E42" s="6"/>
    </row>
    <row r="43" spans="1:6" ht="15" customHeight="1">
      <c r="A43" s="5" t="s">
        <v>339</v>
      </c>
      <c r="B43" s="11">
        <v>-817.62</v>
      </c>
      <c r="C43" s="8">
        <v>2501.06</v>
      </c>
      <c r="D43" s="8">
        <v>1277.78</v>
      </c>
      <c r="E43" s="8">
        <v>1772.25</v>
      </c>
    </row>
    <row r="44" spans="1:6" ht="15" customHeight="1">
      <c r="A44" s="21" t="s">
        <v>338</v>
      </c>
      <c r="B44" s="8">
        <v>743.81</v>
      </c>
      <c r="C44" s="11">
        <v>-2501.06</v>
      </c>
      <c r="D44" s="11">
        <v>-1277.78</v>
      </c>
      <c r="E44" s="11">
        <v>-1772.25</v>
      </c>
    </row>
    <row r="45" spans="1:6" ht="15" customHeight="1">
      <c r="A45" s="22" t="s">
        <v>337</v>
      </c>
      <c r="B45" s="2"/>
      <c r="C45" s="8">
        <v>3161.36</v>
      </c>
      <c r="D45" s="8">
        <v>2042.64</v>
      </c>
      <c r="E45" s="8">
        <v>2636.46</v>
      </c>
    </row>
    <row r="46" spans="1:6" ht="15" customHeight="1">
      <c r="A46" s="22" t="s">
        <v>336</v>
      </c>
      <c r="B46" s="8">
        <v>743.81</v>
      </c>
      <c r="C46" s="8">
        <v>660.3</v>
      </c>
      <c r="D46" s="8">
        <v>764.86</v>
      </c>
      <c r="E46" s="8">
        <v>864.22</v>
      </c>
    </row>
    <row r="47" spans="1:6" ht="15" customHeight="1">
      <c r="A47" s="21" t="s">
        <v>335</v>
      </c>
      <c r="B47" s="4">
        <v>-73.81</v>
      </c>
      <c r="C47" s="2"/>
      <c r="D47" s="2"/>
      <c r="E47" s="2"/>
    </row>
    <row r="48" spans="1:6" ht="15" customHeight="1">
      <c r="A48" s="22" t="s">
        <v>334</v>
      </c>
      <c r="B48" s="4">
        <v>-73.81</v>
      </c>
      <c r="C48" s="2"/>
      <c r="D48" s="2"/>
      <c r="E48" s="2"/>
    </row>
    <row r="49" spans="1:6" ht="15" customHeight="1">
      <c r="A49" s="5" t="s">
        <v>333</v>
      </c>
      <c r="B49" s="8">
        <v>684.08</v>
      </c>
      <c r="C49" s="8">
        <v>9781.33</v>
      </c>
      <c r="D49" s="11">
        <v>-3376.51</v>
      </c>
      <c r="E49" s="11">
        <v>-2023.57</v>
      </c>
    </row>
    <row r="50" spans="1:6" ht="15" customHeight="1">
      <c r="A50" s="5" t="s">
        <v>332</v>
      </c>
      <c r="B50" s="8">
        <v>1667.4</v>
      </c>
      <c r="C50" s="11">
        <v>-3799.83</v>
      </c>
      <c r="D50" s="2">
        <v>11289.51</v>
      </c>
      <c r="E50" s="8">
        <v>6108.23</v>
      </c>
    </row>
    <row r="51" spans="1:6" ht="15" customHeight="1">
      <c r="A51" s="21" t="s">
        <v>331</v>
      </c>
      <c r="B51" s="8">
        <v>1889.54</v>
      </c>
      <c r="C51" s="8">
        <v>4863.01</v>
      </c>
      <c r="D51" s="8">
        <v>6273.44</v>
      </c>
      <c r="E51" s="8">
        <v>3234.32</v>
      </c>
    </row>
    <row r="52" spans="1:6" ht="15" customHeight="1">
      <c r="A52" s="21" t="s">
        <v>938</v>
      </c>
      <c r="B52" s="11">
        <v>-684.08</v>
      </c>
      <c r="C52" s="11">
        <v>-9781.33</v>
      </c>
      <c r="D52" s="8">
        <v>3376.51</v>
      </c>
      <c r="E52" s="8">
        <v>2023.57</v>
      </c>
    </row>
    <row r="53" spans="1:6" ht="15" customHeight="1">
      <c r="A53" s="5" t="s">
        <v>330</v>
      </c>
      <c r="B53" s="2">
        <v>15945.88</v>
      </c>
      <c r="C53" s="2">
        <v>21960.9</v>
      </c>
      <c r="D53" s="2">
        <v>24074.16</v>
      </c>
      <c r="E53" s="2">
        <v>21073.16</v>
      </c>
    </row>
    <row r="54" spans="1:6" ht="15" customHeight="1">
      <c r="A54" s="7" t="s">
        <v>329</v>
      </c>
      <c r="B54" s="6"/>
      <c r="C54" s="6"/>
      <c r="D54" s="6"/>
      <c r="E54" s="6"/>
    </row>
    <row r="55" spans="1:6" ht="15" customHeight="1">
      <c r="A55" s="5" t="s">
        <v>328</v>
      </c>
      <c r="B55" s="8">
        <v>7983.21</v>
      </c>
      <c r="C55" s="8">
        <v>2465.21</v>
      </c>
      <c r="D55" s="9">
        <v>-14795.81</v>
      </c>
      <c r="E55" s="11">
        <v>-8049.29</v>
      </c>
    </row>
    <row r="56" spans="1:6" ht="15" customHeight="1">
      <c r="A56" s="21" t="s">
        <v>327</v>
      </c>
      <c r="B56" s="8">
        <v>589.30999999999995</v>
      </c>
      <c r="C56" s="8">
        <v>249.01</v>
      </c>
      <c r="D56" s="8">
        <v>4033.24</v>
      </c>
      <c r="E56" s="8">
        <v>561.79</v>
      </c>
    </row>
    <row r="57" spans="1:6" ht="15" customHeight="1">
      <c r="A57" s="22" t="s">
        <v>326</v>
      </c>
      <c r="B57" s="3">
        <v>82.71</v>
      </c>
      <c r="C57" s="2">
        <v>0</v>
      </c>
      <c r="D57" s="8">
        <v>3917.16</v>
      </c>
      <c r="E57" s="8">
        <v>396.33</v>
      </c>
    </row>
    <row r="58" spans="1:6" ht="15" customHeight="1">
      <c r="A58" s="22" t="s">
        <v>325</v>
      </c>
      <c r="B58" s="8">
        <v>506.6</v>
      </c>
      <c r="C58" s="8">
        <v>249.01</v>
      </c>
      <c r="D58" s="8">
        <v>116.08</v>
      </c>
      <c r="E58" s="8">
        <v>165.45</v>
      </c>
    </row>
    <row r="59" spans="1:6" ht="15" customHeight="1">
      <c r="A59" s="21" t="s">
        <v>324</v>
      </c>
      <c r="B59" s="8">
        <v>3173.84</v>
      </c>
      <c r="C59" s="8">
        <v>2199.8200000000002</v>
      </c>
      <c r="D59" s="8">
        <v>6775.92</v>
      </c>
      <c r="E59" s="8">
        <v>3107.71</v>
      </c>
    </row>
    <row r="60" spans="1:6" ht="15" customHeight="1">
      <c r="A60" s="21" t="s">
        <v>939</v>
      </c>
      <c r="B60" s="2"/>
      <c r="C60" s="8">
        <v>6658.92</v>
      </c>
      <c r="D60" s="11">
        <v>-3986.65</v>
      </c>
      <c r="E60" s="11">
        <v>-4305.17</v>
      </c>
    </row>
    <row r="61" spans="1:6" ht="15" customHeight="1">
      <c r="A61" s="21" t="s">
        <v>323</v>
      </c>
      <c r="B61" s="2">
        <v>11760.28</v>
      </c>
      <c r="C61" s="8">
        <v>944.13</v>
      </c>
      <c r="D61" s="2"/>
      <c r="E61" s="2"/>
    </row>
    <row r="62" spans="1:6" ht="15" customHeight="1">
      <c r="A62" s="21" t="s">
        <v>322</v>
      </c>
      <c r="B62" s="4">
        <v>-13.93</v>
      </c>
      <c r="C62" s="11">
        <v>-2689</v>
      </c>
      <c r="D62" s="2"/>
      <c r="E62" s="4">
        <v>-74.62</v>
      </c>
    </row>
    <row r="63" spans="1:6" ht="15" customHeight="1">
      <c r="A63" s="7" t="s">
        <v>321</v>
      </c>
      <c r="B63" s="6"/>
      <c r="C63" s="6"/>
      <c r="D63" s="6"/>
      <c r="E63" s="6"/>
    </row>
    <row r="64" spans="1:6" ht="15" customHeight="1">
      <c r="A64" s="26" t="s">
        <v>320</v>
      </c>
      <c r="B64" s="23">
        <v>23929.09</v>
      </c>
      <c r="C64" s="23">
        <v>24426.11</v>
      </c>
      <c r="D64" s="25">
        <v>9278.35</v>
      </c>
      <c r="E64" s="23">
        <v>13023.87</v>
      </c>
      <c r="F64" s="167"/>
    </row>
    <row r="65" spans="1:10" ht="15" customHeight="1">
      <c r="A65" s="7" t="s">
        <v>319</v>
      </c>
      <c r="B65" s="6"/>
      <c r="C65" s="6"/>
      <c r="D65" s="6"/>
      <c r="E65" s="6"/>
    </row>
    <row r="66" spans="1:10" ht="15" customHeight="1">
      <c r="A66" s="5" t="s">
        <v>318</v>
      </c>
      <c r="B66" s="8">
        <v>2952.56</v>
      </c>
      <c r="C66" s="8">
        <v>4319.1000000000004</v>
      </c>
      <c r="D66" s="8">
        <v>4177.9799999999996</v>
      </c>
      <c r="E66" s="8">
        <v>2270.65</v>
      </c>
      <c r="F66" s="168">
        <f>B66/B64</f>
        <v>0.12338789314595749</v>
      </c>
      <c r="G66" s="168">
        <f t="shared" ref="G66:I66" si="0">C66/C64</f>
        <v>0.17682307989278687</v>
      </c>
      <c r="H66" s="168">
        <f t="shared" si="0"/>
        <v>0.45029342501630132</v>
      </c>
      <c r="I66" s="168">
        <f t="shared" si="0"/>
        <v>0.17434525989586813</v>
      </c>
      <c r="J66" s="169">
        <f>AVERAGE(F66:I66)</f>
        <v>0.23121241448772845</v>
      </c>
    </row>
    <row r="67" spans="1:10" ht="15" customHeight="1">
      <c r="A67" s="21" t="s">
        <v>317</v>
      </c>
      <c r="B67" s="8">
        <v>3446.96</v>
      </c>
      <c r="C67" s="8">
        <v>3841.72</v>
      </c>
      <c r="D67" s="8">
        <v>4391.28</v>
      </c>
      <c r="E67" s="8">
        <v>2521.39</v>
      </c>
    </row>
    <row r="68" spans="1:10" ht="15" customHeight="1">
      <c r="A68" s="22" t="s">
        <v>316</v>
      </c>
      <c r="B68" s="8">
        <v>3446.96</v>
      </c>
      <c r="C68" s="8">
        <v>3841.72</v>
      </c>
      <c r="D68" s="8">
        <v>4391.28</v>
      </c>
      <c r="E68" s="8">
        <v>2521.39</v>
      </c>
    </row>
    <row r="69" spans="1:10" ht="15" customHeight="1">
      <c r="A69" s="21" t="s">
        <v>315</v>
      </c>
      <c r="B69" s="11">
        <v>-494.39</v>
      </c>
      <c r="C69" s="8">
        <v>477.38</v>
      </c>
      <c r="D69" s="11">
        <v>-213.3</v>
      </c>
      <c r="E69" s="11">
        <v>-250.74</v>
      </c>
    </row>
    <row r="70" spans="1:10" ht="15" customHeight="1">
      <c r="A70" s="22" t="s">
        <v>314</v>
      </c>
      <c r="B70" s="11">
        <v>-494.39</v>
      </c>
      <c r="C70" s="8">
        <v>477.38</v>
      </c>
      <c r="D70" s="11">
        <v>-213.3</v>
      </c>
      <c r="E70" s="11">
        <v>-250.74</v>
      </c>
    </row>
    <row r="71" spans="1:10" ht="15" customHeight="1">
      <c r="A71" s="7" t="s">
        <v>313</v>
      </c>
      <c r="B71" s="6"/>
      <c r="C71" s="6"/>
      <c r="D71" s="6"/>
      <c r="E71" s="6"/>
    </row>
    <row r="72" spans="1:10" ht="15" customHeight="1">
      <c r="A72" s="5" t="s">
        <v>312</v>
      </c>
      <c r="B72" s="2">
        <v>20976.53</v>
      </c>
      <c r="C72" s="2">
        <v>20107.02</v>
      </c>
      <c r="D72" s="8">
        <v>5100.3599999999997</v>
      </c>
      <c r="E72" s="2">
        <v>10753.22</v>
      </c>
      <c r="F72" s="228">
        <f>E72/E22</f>
        <v>8.4767010581036681E-2</v>
      </c>
    </row>
    <row r="73" spans="1:10" ht="15" customHeight="1">
      <c r="A73" s="7" t="s">
        <v>311</v>
      </c>
      <c r="B73" s="6"/>
      <c r="C73" s="6"/>
      <c r="D73" s="6"/>
      <c r="E73" s="6"/>
    </row>
    <row r="74" spans="1:10" ht="15" customHeight="1">
      <c r="A74" s="5" t="s">
        <v>940</v>
      </c>
      <c r="B74" s="11">
        <v>-823.22</v>
      </c>
      <c r="C74" s="8">
        <v>1030.28</v>
      </c>
      <c r="D74" s="8">
        <v>2234.91</v>
      </c>
      <c r="E74" s="11">
        <v>-1177.46</v>
      </c>
    </row>
    <row r="75" spans="1:10" ht="15" customHeight="1">
      <c r="A75" s="21" t="s">
        <v>941</v>
      </c>
      <c r="B75" s="2"/>
      <c r="C75" s="2"/>
      <c r="D75" s="2"/>
      <c r="E75" s="11">
        <v>-1213.53</v>
      </c>
    </row>
    <row r="76" spans="1:10" ht="15" customHeight="1">
      <c r="A76" s="26" t="s">
        <v>113</v>
      </c>
      <c r="B76" s="23">
        <v>20153.310000000001</v>
      </c>
      <c r="C76" s="23">
        <v>21137.3</v>
      </c>
      <c r="D76" s="25">
        <v>7335.27</v>
      </c>
      <c r="E76" s="25">
        <v>9575.76</v>
      </c>
    </row>
    <row r="77" spans="1:10" ht="15" customHeight="1">
      <c r="A77" s="5" t="s">
        <v>310</v>
      </c>
      <c r="B77" s="2">
        <v>20153.310000000001</v>
      </c>
      <c r="C77" s="2">
        <v>21137.3</v>
      </c>
      <c r="D77" s="8">
        <v>7335.27</v>
      </c>
      <c r="E77" s="8">
        <v>9575.76</v>
      </c>
    </row>
    <row r="78" spans="1:10" ht="15" customHeight="1">
      <c r="A78" s="5" t="s">
        <v>309</v>
      </c>
      <c r="B78" s="11">
        <v>-1279.8499999999999</v>
      </c>
      <c r="C78" s="11">
        <v>-1036.18</v>
      </c>
      <c r="D78" s="11">
        <v>-2318.42</v>
      </c>
      <c r="E78" s="11">
        <v>-1012.88</v>
      </c>
    </row>
    <row r="79" spans="1:10" ht="15" customHeight="1">
      <c r="A79" s="5" t="s">
        <v>308</v>
      </c>
      <c r="B79" s="2">
        <v>21433.15</v>
      </c>
      <c r="C79" s="2">
        <v>22173.48</v>
      </c>
      <c r="D79" s="8">
        <v>9653.69</v>
      </c>
      <c r="E79" s="2">
        <v>10588.64</v>
      </c>
    </row>
    <row r="80" spans="1:10" ht="15" customHeight="1">
      <c r="A80" s="7" t="s">
        <v>307</v>
      </c>
      <c r="B80" s="6"/>
      <c r="C80" s="6"/>
      <c r="D80" s="6"/>
      <c r="E80" s="6"/>
    </row>
    <row r="81" spans="1:5" ht="15" customHeight="1">
      <c r="A81" s="26" t="s">
        <v>306</v>
      </c>
      <c r="B81" s="23">
        <v>21433.15</v>
      </c>
      <c r="C81" s="23">
        <v>22173.48</v>
      </c>
      <c r="D81" s="25">
        <v>9653.69</v>
      </c>
      <c r="E81" s="23">
        <v>10588.64</v>
      </c>
    </row>
    <row r="82" spans="1:5" ht="15" customHeight="1">
      <c r="A82" s="7" t="s">
        <v>305</v>
      </c>
      <c r="B82" s="6"/>
      <c r="C82" s="6"/>
      <c r="D82" s="6"/>
      <c r="E82" s="6"/>
    </row>
    <row r="83" spans="1:5" ht="15" customHeight="1">
      <c r="A83" s="5" t="s">
        <v>304</v>
      </c>
      <c r="B83" s="2">
        <v>20153.310000000001</v>
      </c>
      <c r="C83" s="2">
        <v>21137.3</v>
      </c>
      <c r="D83" s="8">
        <v>7335.27</v>
      </c>
      <c r="E83" s="8">
        <v>9575.76</v>
      </c>
    </row>
    <row r="84" spans="1:5" ht="15" customHeight="1">
      <c r="A84" s="5" t="s">
        <v>303</v>
      </c>
      <c r="B84" s="8">
        <v>439.11</v>
      </c>
      <c r="C84" s="11">
        <v>-2750.66</v>
      </c>
      <c r="D84" s="11">
        <v>-2410.34</v>
      </c>
      <c r="E84" s="8">
        <v>3261.19</v>
      </c>
    </row>
    <row r="85" spans="1:5" ht="15" customHeight="1">
      <c r="A85" s="5" t="s">
        <v>302</v>
      </c>
      <c r="B85" s="2">
        <v>0</v>
      </c>
      <c r="C85" s="2"/>
      <c r="D85" s="2"/>
      <c r="E85" s="2"/>
    </row>
    <row r="86" spans="1:5" ht="15" customHeight="1">
      <c r="A86" s="5" t="s">
        <v>301</v>
      </c>
      <c r="B86" s="4">
        <v>-72.8</v>
      </c>
      <c r="C86" s="3">
        <v>15.34</v>
      </c>
      <c r="D86" s="3">
        <v>24.46</v>
      </c>
      <c r="E86" s="3">
        <v>1.46</v>
      </c>
    </row>
    <row r="87" spans="1:5" ht="15" customHeight="1">
      <c r="A87" s="5" t="s">
        <v>300</v>
      </c>
      <c r="B87" s="4">
        <v>-78.400000000000006</v>
      </c>
      <c r="C87" s="11">
        <v>-213.76</v>
      </c>
      <c r="D87" s="11">
        <v>-122.15</v>
      </c>
      <c r="E87" s="8">
        <v>218.03</v>
      </c>
    </row>
    <row r="88" spans="1:5" ht="15" customHeight="1">
      <c r="A88" s="5" t="s">
        <v>299</v>
      </c>
      <c r="B88" s="8">
        <v>287.89999999999998</v>
      </c>
      <c r="C88" s="11">
        <v>-2949.08</v>
      </c>
      <c r="D88" s="11">
        <v>-2508.04</v>
      </c>
      <c r="E88" s="8">
        <v>3480.68</v>
      </c>
    </row>
    <row r="89" spans="1:5" ht="15" customHeight="1">
      <c r="A89" s="26" t="s">
        <v>298</v>
      </c>
      <c r="B89" s="23">
        <v>20441.21</v>
      </c>
      <c r="C89" s="23">
        <v>18188.22</v>
      </c>
      <c r="D89" s="25">
        <v>4827.2299999999996</v>
      </c>
      <c r="E89" s="23">
        <v>13056.44</v>
      </c>
    </row>
    <row r="90" spans="1:5" ht="15" customHeight="1">
      <c r="A90" s="5" t="s">
        <v>942</v>
      </c>
      <c r="B90" s="8">
        <v>1237.06</v>
      </c>
      <c r="C90" s="8">
        <v>1328.42</v>
      </c>
      <c r="D90" s="8">
        <v>2704.98</v>
      </c>
      <c r="E90" s="8">
        <v>946.29</v>
      </c>
    </row>
    <row r="91" spans="1:5" ht="15" customHeight="1">
      <c r="A91" s="5" t="s">
        <v>297</v>
      </c>
      <c r="B91" s="2">
        <v>21678.27</v>
      </c>
      <c r="C91" s="2">
        <v>19516.64</v>
      </c>
      <c r="D91" s="8">
        <v>7532.21</v>
      </c>
      <c r="E91" s="2">
        <v>14002.73</v>
      </c>
    </row>
    <row r="92" spans="1:5" ht="15" customHeight="1">
      <c r="A92" s="7" t="s">
        <v>296</v>
      </c>
      <c r="B92" s="6"/>
      <c r="C92" s="6"/>
      <c r="D92" s="6"/>
      <c r="E92" s="6"/>
    </row>
    <row r="93" spans="1:5" ht="15" customHeight="1">
      <c r="A93" s="5" t="s">
        <v>295</v>
      </c>
      <c r="B93" s="2">
        <v>21433.15</v>
      </c>
      <c r="C93" s="2">
        <v>22173.48</v>
      </c>
      <c r="D93" s="8">
        <v>9653.69</v>
      </c>
      <c r="E93" s="2">
        <v>10588.64</v>
      </c>
    </row>
    <row r="94" spans="1:5" ht="15" customHeight="1">
      <c r="A94" s="21" t="s">
        <v>294</v>
      </c>
      <c r="B94" s="2">
        <v>21433.15</v>
      </c>
      <c r="C94" s="2">
        <v>22173.48</v>
      </c>
      <c r="D94" s="8">
        <v>9653.69</v>
      </c>
      <c r="E94" s="2">
        <v>10588.64</v>
      </c>
    </row>
    <row r="95" spans="1:5" ht="15" customHeight="1">
      <c r="A95" s="21" t="s">
        <v>293</v>
      </c>
      <c r="B95" s="2">
        <v>21017</v>
      </c>
      <c r="C95" s="2">
        <v>21619</v>
      </c>
      <c r="D95" s="2">
        <v>21558</v>
      </c>
      <c r="E95" s="2">
        <v>20980</v>
      </c>
    </row>
    <row r="96" spans="1:5" ht="15" customHeight="1">
      <c r="A96" s="22" t="s">
        <v>292</v>
      </c>
      <c r="B96" s="3">
        <v>1.02</v>
      </c>
      <c r="C96" s="3">
        <v>1.03</v>
      </c>
      <c r="D96" s="3">
        <v>0.45</v>
      </c>
      <c r="E96" s="3">
        <v>0.5</v>
      </c>
    </row>
    <row r="97" spans="1:5" ht="15" customHeight="1">
      <c r="A97" s="22" t="s">
        <v>291</v>
      </c>
      <c r="B97" s="3">
        <v>1.02</v>
      </c>
      <c r="C97" s="3">
        <v>1.03</v>
      </c>
      <c r="D97" s="3">
        <v>0.45</v>
      </c>
      <c r="E97" s="3">
        <v>0.5</v>
      </c>
    </row>
    <row r="98" spans="1:5" ht="15" customHeight="1">
      <c r="A98" s="22" t="s">
        <v>290</v>
      </c>
      <c r="B98" s="3">
        <v>0.64</v>
      </c>
      <c r="C98" s="3">
        <v>0.91</v>
      </c>
      <c r="D98" s="3">
        <v>1.1299999999999999</v>
      </c>
      <c r="E98" s="3">
        <v>0.89</v>
      </c>
    </row>
    <row r="99" spans="1:5" ht="15" customHeight="1">
      <c r="A99" s="5" t="s">
        <v>289</v>
      </c>
      <c r="B99" s="2">
        <v>21433.15</v>
      </c>
      <c r="C99" s="2">
        <v>22173.48</v>
      </c>
      <c r="D99" s="8">
        <v>9653.69</v>
      </c>
      <c r="E99" s="2">
        <v>10588.64</v>
      </c>
    </row>
    <row r="100" spans="1:5" ht="15" customHeight="1">
      <c r="A100" s="5" t="s">
        <v>288</v>
      </c>
      <c r="B100" s="3">
        <v>1</v>
      </c>
      <c r="C100" s="3">
        <v>1</v>
      </c>
      <c r="D100" s="3">
        <v>1</v>
      </c>
      <c r="E100" s="3">
        <v>1</v>
      </c>
    </row>
    <row r="101" spans="1:5" ht="15" customHeight="1">
      <c r="A101" s="21" t="s">
        <v>287</v>
      </c>
      <c r="B101" s="2">
        <v>21017</v>
      </c>
      <c r="C101" s="2">
        <v>21619</v>
      </c>
      <c r="D101" s="2">
        <v>21558</v>
      </c>
      <c r="E101" s="2">
        <v>20980</v>
      </c>
    </row>
    <row r="102" spans="1:5" ht="15" customHeight="1">
      <c r="A102" s="22" t="s">
        <v>286</v>
      </c>
      <c r="B102" s="3">
        <v>1.02</v>
      </c>
      <c r="C102" s="3">
        <v>1.03</v>
      </c>
      <c r="D102" s="3">
        <v>0.45</v>
      </c>
      <c r="E102" s="3">
        <v>0.5</v>
      </c>
    </row>
    <row r="103" spans="1:5" ht="15" customHeight="1">
      <c r="A103" s="22" t="s">
        <v>285</v>
      </c>
      <c r="B103" s="3">
        <v>1.02</v>
      </c>
      <c r="C103" s="3">
        <v>1.03</v>
      </c>
      <c r="D103" s="3">
        <v>0.45</v>
      </c>
      <c r="E103" s="3">
        <v>0.5</v>
      </c>
    </row>
    <row r="104" spans="1:5" ht="15" customHeight="1">
      <c r="A104" s="22" t="s">
        <v>284</v>
      </c>
      <c r="B104" s="3">
        <v>0.64</v>
      </c>
      <c r="C104" s="3">
        <v>0.91</v>
      </c>
      <c r="D104" s="3">
        <v>1.1299999999999999</v>
      </c>
      <c r="E104" s="3">
        <v>0.89</v>
      </c>
    </row>
    <row r="105" spans="1:5" ht="15" customHeight="1">
      <c r="A105" s="5" t="s">
        <v>288</v>
      </c>
      <c r="B105" s="3">
        <v>1</v>
      </c>
      <c r="C105" s="3">
        <v>1</v>
      </c>
      <c r="D105" s="3">
        <v>1</v>
      </c>
      <c r="E105" s="3">
        <v>1</v>
      </c>
    </row>
    <row r="106" spans="1:5" ht="15" customHeight="1">
      <c r="A106" s="21" t="s">
        <v>943</v>
      </c>
      <c r="B106" s="8">
        <v>2627.13</v>
      </c>
      <c r="C106" s="8">
        <v>2702.38</v>
      </c>
      <c r="D106" s="8">
        <v>2694.75</v>
      </c>
      <c r="E106" s="8">
        <v>2622.5</v>
      </c>
    </row>
    <row r="107" spans="1:5" ht="15" customHeight="1">
      <c r="A107" s="22" t="s">
        <v>944</v>
      </c>
      <c r="B107" s="3">
        <v>8.16</v>
      </c>
      <c r="C107" s="3">
        <v>8.1999999999999993</v>
      </c>
      <c r="D107" s="3">
        <v>3.58</v>
      </c>
      <c r="E107" s="3">
        <v>4.04</v>
      </c>
    </row>
    <row r="108" spans="1:5" ht="15" customHeight="1">
      <c r="A108" s="22" t="s">
        <v>945</v>
      </c>
      <c r="B108" s="3">
        <v>8.16</v>
      </c>
      <c r="C108" s="3">
        <v>8.2100000000000009</v>
      </c>
      <c r="D108" s="3">
        <v>3.58</v>
      </c>
      <c r="E108" s="3">
        <v>4.04</v>
      </c>
    </row>
    <row r="109" spans="1:5" ht="15" customHeight="1">
      <c r="A109" s="22" t="s">
        <v>946</v>
      </c>
      <c r="B109" s="3">
        <v>5.12</v>
      </c>
      <c r="C109" s="3">
        <v>7.29</v>
      </c>
      <c r="D109" s="3">
        <v>9.07</v>
      </c>
      <c r="E109" s="3">
        <v>7.11</v>
      </c>
    </row>
    <row r="110" spans="1:5" ht="15" customHeight="1">
      <c r="A110" s="5" t="s">
        <v>283</v>
      </c>
      <c r="B110" s="2">
        <v>0</v>
      </c>
      <c r="C110" s="2">
        <v>0</v>
      </c>
      <c r="D110" s="2">
        <v>0</v>
      </c>
      <c r="E110" s="2">
        <v>0</v>
      </c>
    </row>
    <row r="111" spans="1:5" ht="15" customHeight="1">
      <c r="A111" s="5" t="s">
        <v>282</v>
      </c>
      <c r="B111" s="3">
        <v>1.03</v>
      </c>
      <c r="C111" s="3">
        <v>0.9</v>
      </c>
      <c r="D111" s="3">
        <v>0.35</v>
      </c>
      <c r="E111" s="3">
        <v>0.67</v>
      </c>
    </row>
    <row r="112" spans="1:5" ht="15" customHeight="1">
      <c r="A112" s="5" t="s">
        <v>947</v>
      </c>
      <c r="B112" s="3">
        <v>8.25</v>
      </c>
      <c r="C112" s="3">
        <v>7.22</v>
      </c>
      <c r="D112" s="3">
        <v>2.8</v>
      </c>
      <c r="E112" s="3">
        <v>5.34</v>
      </c>
    </row>
    <row r="113" spans="1:5" ht="15" customHeight="1">
      <c r="A113" s="7" t="s">
        <v>281</v>
      </c>
      <c r="B113" s="6"/>
      <c r="C113" s="6"/>
      <c r="D113" s="6"/>
      <c r="E113" s="6"/>
    </row>
    <row r="114" spans="1:5" ht="15" customHeight="1">
      <c r="A114" s="5" t="s">
        <v>280</v>
      </c>
      <c r="B114" s="4">
        <v>-6.89</v>
      </c>
      <c r="C114" s="4">
        <v>-8.11</v>
      </c>
      <c r="D114" s="4">
        <v>-5.76</v>
      </c>
      <c r="E114" s="4">
        <v>-5.55</v>
      </c>
    </row>
    <row r="115" spans="1:5" ht="15" customHeight="1">
      <c r="A115" s="5" t="s">
        <v>279</v>
      </c>
      <c r="B115" s="2">
        <v>21426.26</v>
      </c>
      <c r="C115" s="2">
        <v>22165.37</v>
      </c>
      <c r="D115" s="8">
        <v>9647.92</v>
      </c>
      <c r="E115" s="2">
        <v>10583.09</v>
      </c>
    </row>
    <row r="116" spans="1:5" ht="15" customHeight="1">
      <c r="A116" s="21" t="s">
        <v>278</v>
      </c>
      <c r="B116" s="2">
        <v>21426.26</v>
      </c>
      <c r="C116" s="2">
        <v>22165.37</v>
      </c>
      <c r="D116" s="8">
        <v>9647.92</v>
      </c>
      <c r="E116" s="2">
        <v>10583.09</v>
      </c>
    </row>
    <row r="117" spans="1:5" ht="15" customHeight="1">
      <c r="A117" s="21" t="s">
        <v>127</v>
      </c>
      <c r="B117" s="2">
        <v>21346</v>
      </c>
      <c r="C117" s="2">
        <v>21982</v>
      </c>
      <c r="D117" s="2">
        <v>21787</v>
      </c>
      <c r="E117" s="2">
        <v>21114</v>
      </c>
    </row>
    <row r="118" spans="1:5" ht="15" customHeight="1">
      <c r="A118" s="22" t="s">
        <v>277</v>
      </c>
      <c r="B118" s="3">
        <v>1</v>
      </c>
      <c r="C118" s="3">
        <v>1.01</v>
      </c>
      <c r="D118" s="3">
        <v>0.44</v>
      </c>
      <c r="E118" s="3">
        <v>0.5</v>
      </c>
    </row>
    <row r="119" spans="1:5" ht="15" customHeight="1">
      <c r="A119" s="22" t="s">
        <v>112</v>
      </c>
      <c r="B119" s="3">
        <v>1</v>
      </c>
      <c r="C119" s="3">
        <v>1.01</v>
      </c>
      <c r="D119" s="3">
        <v>0.44</v>
      </c>
      <c r="E119" s="3">
        <v>0.5</v>
      </c>
    </row>
    <row r="120" spans="1:5" ht="15" customHeight="1">
      <c r="A120" s="22" t="s">
        <v>276</v>
      </c>
      <c r="B120" s="3">
        <v>0.63</v>
      </c>
      <c r="C120" s="3">
        <v>0.9</v>
      </c>
      <c r="D120" s="3">
        <v>1.1200000000000001</v>
      </c>
      <c r="E120" s="3">
        <v>0.88</v>
      </c>
    </row>
    <row r="121" spans="1:5" ht="15" customHeight="1">
      <c r="A121" s="5" t="s">
        <v>275</v>
      </c>
      <c r="B121" s="2">
        <v>21426.26</v>
      </c>
      <c r="C121" s="2">
        <v>22165.37</v>
      </c>
      <c r="D121" s="8">
        <v>9647.92</v>
      </c>
      <c r="E121" s="2">
        <v>10583.09</v>
      </c>
    </row>
    <row r="122" spans="1:5" ht="15" customHeight="1">
      <c r="A122" s="5" t="s">
        <v>274</v>
      </c>
      <c r="B122" s="3">
        <v>1</v>
      </c>
      <c r="C122" s="3">
        <v>1</v>
      </c>
      <c r="D122" s="3">
        <v>1</v>
      </c>
      <c r="E122" s="3">
        <v>1</v>
      </c>
    </row>
    <row r="123" spans="1:5" ht="15" customHeight="1">
      <c r="A123" s="21" t="s">
        <v>273</v>
      </c>
      <c r="B123" s="2">
        <v>21346</v>
      </c>
      <c r="C123" s="2">
        <v>21982</v>
      </c>
      <c r="D123" s="2">
        <v>21787</v>
      </c>
      <c r="E123" s="2">
        <v>21114</v>
      </c>
    </row>
    <row r="124" spans="1:5" ht="15" customHeight="1">
      <c r="A124" s="22" t="s">
        <v>272</v>
      </c>
      <c r="B124" s="3">
        <v>1</v>
      </c>
      <c r="C124" s="3">
        <v>1.01</v>
      </c>
      <c r="D124" s="3">
        <v>0.44</v>
      </c>
      <c r="E124" s="3">
        <v>0.5</v>
      </c>
    </row>
    <row r="125" spans="1:5" ht="15" customHeight="1">
      <c r="A125" s="22" t="s">
        <v>271</v>
      </c>
      <c r="B125" s="3">
        <v>1</v>
      </c>
      <c r="C125" s="3">
        <v>1.01</v>
      </c>
      <c r="D125" s="3">
        <v>0.44</v>
      </c>
      <c r="E125" s="3">
        <v>0.5</v>
      </c>
    </row>
    <row r="126" spans="1:5" ht="15" customHeight="1">
      <c r="A126" s="22" t="s">
        <v>270</v>
      </c>
      <c r="B126" s="3">
        <v>0.63</v>
      </c>
      <c r="C126" s="3">
        <v>0.9</v>
      </c>
      <c r="D126" s="3">
        <v>1.1200000000000001</v>
      </c>
      <c r="E126" s="3">
        <v>0.88</v>
      </c>
    </row>
    <row r="127" spans="1:5" ht="15" customHeight="1">
      <c r="A127" s="5" t="s">
        <v>274</v>
      </c>
      <c r="B127" s="3">
        <v>1</v>
      </c>
      <c r="C127" s="3">
        <v>1</v>
      </c>
      <c r="D127" s="3">
        <v>1</v>
      </c>
      <c r="E127" s="3">
        <v>1</v>
      </c>
    </row>
    <row r="128" spans="1:5" ht="15" customHeight="1">
      <c r="A128" s="21" t="s">
        <v>948</v>
      </c>
      <c r="B128" s="8">
        <v>2668.25</v>
      </c>
      <c r="C128" s="8">
        <v>2747.75</v>
      </c>
      <c r="D128" s="8">
        <v>2723.38</v>
      </c>
      <c r="E128" s="8">
        <v>2639.25</v>
      </c>
    </row>
    <row r="129" spans="1:5" ht="15" customHeight="1">
      <c r="A129" s="22" t="s">
        <v>949</v>
      </c>
      <c r="B129" s="3">
        <v>8.0299999999999994</v>
      </c>
      <c r="C129" s="3">
        <v>8.07</v>
      </c>
      <c r="D129" s="3">
        <v>3.54</v>
      </c>
      <c r="E129" s="3">
        <v>4.01</v>
      </c>
    </row>
    <row r="130" spans="1:5" ht="15" customHeight="1">
      <c r="A130" s="22" t="s">
        <v>950</v>
      </c>
      <c r="B130" s="3">
        <v>8.0299999999999994</v>
      </c>
      <c r="C130" s="3">
        <v>8.07</v>
      </c>
      <c r="D130" s="3">
        <v>3.54</v>
      </c>
      <c r="E130" s="3">
        <v>4.01</v>
      </c>
    </row>
    <row r="131" spans="1:5" ht="15" customHeight="1">
      <c r="A131" s="22" t="s">
        <v>951</v>
      </c>
      <c r="B131" s="3">
        <v>5.04</v>
      </c>
      <c r="C131" s="3">
        <v>7.17</v>
      </c>
      <c r="D131" s="3">
        <v>8.98</v>
      </c>
      <c r="E131" s="3">
        <v>7.06</v>
      </c>
    </row>
    <row r="132" spans="1:5" ht="15" customHeight="1">
      <c r="A132" s="5" t="s">
        <v>269</v>
      </c>
      <c r="B132" s="2">
        <v>0</v>
      </c>
      <c r="C132" s="2">
        <v>0</v>
      </c>
      <c r="D132" s="2">
        <v>0</v>
      </c>
      <c r="E132" s="2">
        <v>0</v>
      </c>
    </row>
    <row r="133" spans="1:5" ht="15" customHeight="1">
      <c r="A133" s="5" t="s">
        <v>268</v>
      </c>
      <c r="B133" s="3">
        <v>1.02</v>
      </c>
      <c r="C133" s="3">
        <v>0.89</v>
      </c>
      <c r="D133" s="3">
        <v>0.35</v>
      </c>
      <c r="E133" s="3">
        <v>0.66</v>
      </c>
    </row>
    <row r="134" spans="1:5" ht="15" customHeight="1">
      <c r="A134" s="5" t="s">
        <v>952</v>
      </c>
      <c r="B134" s="3">
        <v>8.1199999999999992</v>
      </c>
      <c r="C134" s="3">
        <v>7.1</v>
      </c>
      <c r="D134" s="3">
        <v>2.77</v>
      </c>
      <c r="E134" s="3">
        <v>5.31</v>
      </c>
    </row>
    <row r="135" spans="1:5" ht="15" customHeight="1">
      <c r="A135" s="7" t="s">
        <v>267</v>
      </c>
      <c r="B135" s="6"/>
      <c r="C135" s="6"/>
      <c r="D135" s="6"/>
      <c r="E135" s="6"/>
    </row>
    <row r="136" spans="1:5" ht="15" customHeight="1">
      <c r="A136" s="5" t="s">
        <v>266</v>
      </c>
      <c r="B136" s="2">
        <v>0</v>
      </c>
      <c r="C136" s="2">
        <v>0</v>
      </c>
      <c r="D136" s="2">
        <v>0</v>
      </c>
      <c r="E136" s="2">
        <v>0</v>
      </c>
    </row>
    <row r="137" spans="1:5" ht="15" customHeight="1">
      <c r="A137" s="5" t="s">
        <v>265</v>
      </c>
      <c r="B137" s="2">
        <v>0</v>
      </c>
      <c r="C137" s="2">
        <v>0</v>
      </c>
      <c r="D137" s="2">
        <v>0</v>
      </c>
      <c r="E137" s="2">
        <v>0</v>
      </c>
    </row>
    <row r="138" spans="1:5" ht="15" customHeight="1">
      <c r="A138" s="5" t="s">
        <v>953</v>
      </c>
      <c r="B138" s="2">
        <v>0</v>
      </c>
      <c r="C138" s="2">
        <v>0</v>
      </c>
      <c r="D138" s="2">
        <v>0</v>
      </c>
      <c r="E138" s="2">
        <v>0</v>
      </c>
    </row>
    <row r="139" spans="1:5" ht="15" customHeight="1">
      <c r="A139" s="5" t="s">
        <v>954</v>
      </c>
      <c r="B139" s="2">
        <v>0</v>
      </c>
      <c r="C139" s="2">
        <v>0</v>
      </c>
      <c r="D139" s="2">
        <v>0</v>
      </c>
      <c r="E139" s="2">
        <v>0</v>
      </c>
    </row>
    <row r="140" spans="1:5" ht="15" customHeight="1">
      <c r="A140" s="7" t="s">
        <v>264</v>
      </c>
      <c r="B140" s="6"/>
      <c r="C140" s="6"/>
      <c r="D140" s="6"/>
      <c r="E140" s="6"/>
    </row>
    <row r="141" spans="1:5" ht="15" customHeight="1">
      <c r="A141" s="5" t="s">
        <v>263</v>
      </c>
      <c r="B141" s="2">
        <v>14412.02</v>
      </c>
      <c r="C141" s="2">
        <v>13478.34</v>
      </c>
      <c r="D141" s="2">
        <v>14883.37</v>
      </c>
      <c r="E141" s="2">
        <v>15216.25</v>
      </c>
    </row>
    <row r="142" spans="1:5" ht="15" customHeight="1">
      <c r="A142" s="5" t="s">
        <v>114</v>
      </c>
      <c r="B142" s="2">
        <v>20504.25</v>
      </c>
      <c r="C142" s="2">
        <v>20545.89</v>
      </c>
      <c r="D142" s="2">
        <v>22372.27</v>
      </c>
      <c r="E142" s="2">
        <v>22481.200000000001</v>
      </c>
    </row>
    <row r="143" spans="1:5" ht="15" customHeight="1">
      <c r="A143" s="5" t="s">
        <v>262</v>
      </c>
      <c r="B143" s="2">
        <v>21319.72</v>
      </c>
      <c r="C143" s="2">
        <v>21550.799999999999</v>
      </c>
      <c r="D143" s="2">
        <v>24083.35</v>
      </c>
      <c r="E143" s="2">
        <v>24058.639999999999</v>
      </c>
    </row>
    <row r="144" spans="1:5" ht="15" customHeight="1">
      <c r="A144" s="7" t="s">
        <v>261</v>
      </c>
      <c r="B144" s="6"/>
      <c r="C144" s="6"/>
      <c r="D144" s="6"/>
      <c r="E144" s="6"/>
    </row>
    <row r="145" spans="1:5" ht="15" customHeight="1">
      <c r="A145" s="5" t="s">
        <v>260</v>
      </c>
      <c r="B145" s="8">
        <v>6092.23</v>
      </c>
      <c r="C145" s="8">
        <v>7067.55</v>
      </c>
      <c r="D145" s="8">
        <v>7488.9</v>
      </c>
      <c r="E145" s="8">
        <v>7264.95</v>
      </c>
    </row>
    <row r="146" spans="1:5" ht="15" customHeight="1">
      <c r="A146" s="21" t="s">
        <v>259</v>
      </c>
      <c r="B146" s="8">
        <v>2946.96</v>
      </c>
      <c r="C146" s="8">
        <v>3892.91</v>
      </c>
      <c r="D146" s="8">
        <v>4332.7</v>
      </c>
      <c r="E146" s="8">
        <v>4059.55</v>
      </c>
    </row>
    <row r="147" spans="1:5" ht="15" customHeight="1">
      <c r="A147" s="21" t="s">
        <v>258</v>
      </c>
      <c r="B147" s="8">
        <v>3145.27</v>
      </c>
      <c r="C147" s="8">
        <v>3174.64</v>
      </c>
      <c r="D147" s="8">
        <v>3156.2</v>
      </c>
      <c r="E147" s="8">
        <v>3205.4</v>
      </c>
    </row>
    <row r="148" spans="1:5" ht="15" customHeight="1">
      <c r="A148" s="22" t="s">
        <v>257</v>
      </c>
      <c r="B148" s="8">
        <v>3145.27</v>
      </c>
      <c r="C148" s="8">
        <v>3174.64</v>
      </c>
      <c r="D148" s="8">
        <v>3156.2</v>
      </c>
      <c r="E148" s="8">
        <v>3205.4</v>
      </c>
    </row>
    <row r="149" spans="1:5" ht="15" customHeight="1">
      <c r="A149" s="27" t="s">
        <v>955</v>
      </c>
      <c r="B149" s="8">
        <v>1348.34</v>
      </c>
      <c r="C149" s="8">
        <v>1341.4</v>
      </c>
      <c r="D149" s="8">
        <v>1341.5</v>
      </c>
      <c r="E149" s="8">
        <v>1233.3900000000001</v>
      </c>
    </row>
    <row r="150" spans="1:5" ht="15" customHeight="1">
      <c r="A150" s="7" t="s">
        <v>256</v>
      </c>
      <c r="B150" s="6"/>
      <c r="C150" s="6"/>
      <c r="D150" s="6"/>
      <c r="E150" s="6"/>
    </row>
    <row r="151" spans="1:5" ht="15" customHeight="1">
      <c r="A151" s="5" t="s">
        <v>255</v>
      </c>
      <c r="B151" s="8">
        <v>6092.23</v>
      </c>
      <c r="C151" s="8">
        <v>7067.55</v>
      </c>
      <c r="D151" s="8">
        <v>7488.9</v>
      </c>
      <c r="E151" s="8">
        <v>7264.95</v>
      </c>
    </row>
    <row r="152" spans="1:5" ht="15" customHeight="1">
      <c r="A152" s="21" t="s">
        <v>254</v>
      </c>
      <c r="B152" s="8">
        <v>2946.96</v>
      </c>
      <c r="C152" s="8">
        <v>3892.91</v>
      </c>
      <c r="D152" s="8">
        <v>4332.7</v>
      </c>
      <c r="E152" s="8">
        <v>4059.55</v>
      </c>
    </row>
    <row r="153" spans="1:5" ht="15" customHeight="1">
      <c r="A153" s="21" t="s">
        <v>253</v>
      </c>
      <c r="B153" s="8">
        <v>3145.27</v>
      </c>
      <c r="C153" s="8">
        <v>3174.64</v>
      </c>
      <c r="D153" s="8">
        <v>3156.2</v>
      </c>
      <c r="E153" s="8">
        <v>3205.4</v>
      </c>
    </row>
    <row r="154" spans="1:5" ht="15" customHeight="1">
      <c r="A154" s="7" t="s">
        <v>252</v>
      </c>
      <c r="B154" s="6"/>
      <c r="C154" s="6"/>
      <c r="D154" s="6"/>
      <c r="E154" s="6"/>
    </row>
    <row r="155" spans="1:5" ht="15" customHeight="1">
      <c r="A155" s="5" t="s">
        <v>251</v>
      </c>
      <c r="B155" s="8">
        <v>6186</v>
      </c>
      <c r="C155" s="8">
        <v>8443.4699999999993</v>
      </c>
      <c r="D155" s="8">
        <v>8641.8700000000008</v>
      </c>
      <c r="E155" s="8">
        <v>8286.4500000000007</v>
      </c>
    </row>
    <row r="156" spans="1:5" ht="15" customHeight="1">
      <c r="A156" s="21" t="s">
        <v>250</v>
      </c>
      <c r="B156" s="8">
        <v>6186</v>
      </c>
      <c r="C156" s="8">
        <v>8443.4699999999993</v>
      </c>
      <c r="D156" s="8">
        <v>8641.8700000000008</v>
      </c>
      <c r="E156" s="8">
        <v>8286.4500000000007</v>
      </c>
    </row>
    <row r="157" spans="1:5" ht="15" customHeight="1">
      <c r="A157" s="7" t="s">
        <v>249</v>
      </c>
      <c r="B157" s="6"/>
      <c r="C157" s="6"/>
      <c r="D157" s="6"/>
      <c r="E157" s="6"/>
    </row>
    <row r="158" spans="1:5" ht="15" customHeight="1">
      <c r="A158" s="5" t="s">
        <v>248</v>
      </c>
      <c r="B158" s="2"/>
      <c r="C158" s="2"/>
      <c r="D158" s="2"/>
      <c r="E158" s="2"/>
    </row>
    <row r="159" spans="1:5" ht="15" customHeight="1">
      <c r="A159" s="21" t="s">
        <v>247</v>
      </c>
      <c r="B159" s="8">
        <v>3418.45</v>
      </c>
      <c r="C159" s="8">
        <v>5545.29</v>
      </c>
      <c r="D159" s="8">
        <v>2801.15</v>
      </c>
      <c r="E159" s="8">
        <v>3376.74</v>
      </c>
    </row>
    <row r="160" spans="1:5" ht="15" customHeight="1">
      <c r="A160" s="22" t="s">
        <v>246</v>
      </c>
      <c r="B160" s="8">
        <v>4557.9399999999996</v>
      </c>
      <c r="C160" s="8">
        <v>7393.72</v>
      </c>
      <c r="D160" s="8">
        <v>3734.87</v>
      </c>
      <c r="E160" s="8">
        <v>4502.32</v>
      </c>
    </row>
    <row r="161" spans="1:5" ht="15" customHeight="1">
      <c r="A161" s="22" t="s">
        <v>245</v>
      </c>
      <c r="B161" s="8">
        <v>1139.48</v>
      </c>
      <c r="C161" s="8">
        <v>1848.43</v>
      </c>
      <c r="D161" s="8">
        <v>933.72</v>
      </c>
      <c r="E161" s="8">
        <v>1125.58</v>
      </c>
    </row>
    <row r="162" spans="1:5" ht="15" customHeight="1">
      <c r="A162" s="7" t="s">
        <v>244</v>
      </c>
      <c r="B162" s="6"/>
      <c r="C162" s="6"/>
      <c r="D162" s="6"/>
      <c r="E162" s="6"/>
    </row>
    <row r="163" spans="1:5" ht="15" customHeight="1">
      <c r="A163" s="5" t="s">
        <v>244</v>
      </c>
      <c r="B163" s="3">
        <v>23.34</v>
      </c>
      <c r="C163" s="3">
        <v>19.53</v>
      </c>
      <c r="D163" s="3">
        <v>23.7</v>
      </c>
      <c r="E163" s="3">
        <v>19.059999999999999</v>
      </c>
    </row>
    <row r="164" spans="1:5" ht="15" customHeight="1">
      <c r="A164" s="21" t="s">
        <v>243</v>
      </c>
      <c r="B164" s="3">
        <v>22.07</v>
      </c>
      <c r="C164" s="3">
        <v>16.91</v>
      </c>
      <c r="D164" s="3">
        <v>20.86</v>
      </c>
      <c r="E164" s="3">
        <v>16.489999999999998</v>
      </c>
    </row>
    <row r="165" spans="1:5" ht="15" customHeight="1">
      <c r="A165" s="21" t="s">
        <v>242</v>
      </c>
      <c r="B165" s="3">
        <v>0.1</v>
      </c>
      <c r="C165" s="3">
        <v>0.35</v>
      </c>
      <c r="D165" s="3">
        <v>0.43</v>
      </c>
      <c r="E165" s="3">
        <v>1.03</v>
      </c>
    </row>
    <row r="166" spans="1:5" ht="15" customHeight="1">
      <c r="A166" s="21" t="s">
        <v>241</v>
      </c>
      <c r="B166" s="3">
        <v>1.1599999999999999</v>
      </c>
      <c r="C166" s="3">
        <v>2.27</v>
      </c>
      <c r="D166" s="3">
        <v>2.41</v>
      </c>
      <c r="E166" s="3">
        <v>1.53</v>
      </c>
    </row>
    <row r="167" spans="1:5" ht="15" customHeight="1">
      <c r="A167" s="7" t="s">
        <v>956</v>
      </c>
      <c r="B167" s="6"/>
      <c r="C167" s="6"/>
      <c r="D167" s="6"/>
      <c r="E167" s="6"/>
    </row>
    <row r="168" spans="1:5" ht="15" customHeight="1">
      <c r="A168" s="5" t="s">
        <v>907</v>
      </c>
      <c r="B168" s="2">
        <v>19023.09</v>
      </c>
      <c r="C168" s="2">
        <v>25371.279999999999</v>
      </c>
      <c r="D168" s="2">
        <v>21250.3</v>
      </c>
      <c r="E168" s="2">
        <v>20645.87</v>
      </c>
    </row>
    <row r="169" spans="1:5" ht="15" customHeight="1">
      <c r="A169" s="5" t="s">
        <v>906</v>
      </c>
      <c r="B169" s="2">
        <v>22638.76</v>
      </c>
      <c r="C169" s="2">
        <v>29038.19</v>
      </c>
      <c r="D169" s="2">
        <v>24649.56</v>
      </c>
      <c r="E169" s="2">
        <v>25659.3</v>
      </c>
    </row>
    <row r="170" spans="1:5" ht="15" customHeight="1">
      <c r="A170" s="5" t="s">
        <v>905</v>
      </c>
      <c r="B170" s="3">
        <v>0.95</v>
      </c>
      <c r="C170" s="3">
        <v>1.2</v>
      </c>
      <c r="D170" s="3">
        <v>1.03</v>
      </c>
      <c r="E170" s="3">
        <v>1</v>
      </c>
    </row>
    <row r="171" spans="1:5" ht="15" customHeight="1">
      <c r="A171" s="5" t="s">
        <v>957</v>
      </c>
      <c r="B171" s="8">
        <v>348.79</v>
      </c>
      <c r="C171" s="3">
        <v>74.650000000000006</v>
      </c>
      <c r="D171" s="8">
        <v>1284.48</v>
      </c>
      <c r="E171" s="8">
        <v>1058.44</v>
      </c>
    </row>
    <row r="172" spans="1:5" ht="15" customHeight="1">
      <c r="A172" s="7" t="s">
        <v>240</v>
      </c>
      <c r="B172" s="6"/>
      <c r="C172" s="6"/>
      <c r="D172" s="6"/>
      <c r="E172" s="6"/>
    </row>
    <row r="173" spans="1:5" ht="15" customHeight="1">
      <c r="A173" s="5" t="s">
        <v>239</v>
      </c>
      <c r="B173" s="2">
        <v>12993.32</v>
      </c>
      <c r="C173" s="2">
        <v>17641.8</v>
      </c>
      <c r="D173" s="2">
        <v>19896.169999999998</v>
      </c>
      <c r="E173" s="2">
        <v>18802.509999999998</v>
      </c>
    </row>
    <row r="174" spans="1:5" ht="15" customHeight="1">
      <c r="A174" s="5" t="s">
        <v>238</v>
      </c>
      <c r="B174" s="2">
        <v>12170.1</v>
      </c>
      <c r="C174" s="2">
        <v>18672.09</v>
      </c>
      <c r="D174" s="2">
        <v>22131.08</v>
      </c>
      <c r="E174" s="2">
        <v>17625.05</v>
      </c>
    </row>
    <row r="175" spans="1:5" ht="15" customHeight="1">
      <c r="A175" s="5" t="s">
        <v>237</v>
      </c>
      <c r="B175" s="2">
        <v>13449.95</v>
      </c>
      <c r="C175" s="2">
        <v>19708.27</v>
      </c>
      <c r="D175" s="2">
        <v>24449.5</v>
      </c>
      <c r="E175" s="2">
        <v>18637.93</v>
      </c>
    </row>
    <row r="176" spans="1:5" ht="15" customHeight="1">
      <c r="A176" s="5" t="s">
        <v>236</v>
      </c>
      <c r="B176" s="2">
        <v>16689.7</v>
      </c>
      <c r="C176" s="2">
        <v>19459.84</v>
      </c>
      <c r="D176" s="2">
        <v>22796.38</v>
      </c>
      <c r="E176" s="2">
        <v>19300.919999999998</v>
      </c>
    </row>
    <row r="177" spans="1:5" ht="15" customHeight="1">
      <c r="A177" s="5" t="s">
        <v>235</v>
      </c>
      <c r="B177" s="2">
        <v>22781.93</v>
      </c>
      <c r="C177" s="2">
        <v>26527.39</v>
      </c>
      <c r="D177" s="2">
        <v>30285.279999999999</v>
      </c>
      <c r="E177" s="2">
        <v>26565.87</v>
      </c>
    </row>
    <row r="178" spans="1:5" ht="15" customHeight="1">
      <c r="A178" s="7" t="s">
        <v>234</v>
      </c>
      <c r="B178" s="6"/>
      <c r="C178" s="6"/>
      <c r="D178" s="6"/>
      <c r="E178" s="6"/>
    </row>
    <row r="179" spans="1:5" ht="15" customHeight="1">
      <c r="A179" s="5" t="s">
        <v>233</v>
      </c>
      <c r="B179" s="2"/>
      <c r="C179" s="8">
        <v>1011.84</v>
      </c>
      <c r="D179" s="8">
        <v>1841.49</v>
      </c>
      <c r="E179" s="8">
        <v>1675.57</v>
      </c>
    </row>
    <row r="180" spans="1:5" ht="15" customHeight="1">
      <c r="A180" s="21" t="s">
        <v>232</v>
      </c>
      <c r="B180" s="2"/>
      <c r="C180" s="8">
        <v>1004.91</v>
      </c>
      <c r="D180" s="8">
        <v>1711.08</v>
      </c>
      <c r="E180" s="8">
        <v>1577.44</v>
      </c>
    </row>
    <row r="181" spans="1:5" ht="15" customHeight="1">
      <c r="A181" s="21" t="s">
        <v>231</v>
      </c>
      <c r="B181" s="2"/>
      <c r="C181" s="3">
        <v>6.93</v>
      </c>
      <c r="D181" s="8">
        <v>130.41</v>
      </c>
      <c r="E181" s="3">
        <v>98.13</v>
      </c>
    </row>
    <row r="182" spans="1:5" ht="15" customHeight="1">
      <c r="A182" s="7" t="s">
        <v>230</v>
      </c>
      <c r="B182" s="6"/>
      <c r="C182" s="6"/>
      <c r="D182" s="6"/>
      <c r="E182" s="6"/>
    </row>
    <row r="183" spans="1:5" ht="15" customHeight="1">
      <c r="A183" s="5" t="s">
        <v>229</v>
      </c>
      <c r="B183" s="8">
        <v>815.47</v>
      </c>
      <c r="C183" s="8">
        <v>1004.91</v>
      </c>
      <c r="D183" s="8">
        <v>1711.08</v>
      </c>
      <c r="E183" s="8">
        <v>1577.44</v>
      </c>
    </row>
    <row r="184" spans="1:5" ht="15" customHeight="1">
      <c r="A184" s="5" t="s">
        <v>228</v>
      </c>
      <c r="B184" s="8">
        <v>4444.07</v>
      </c>
      <c r="C184" s="8">
        <v>8419.43</v>
      </c>
      <c r="D184" s="2">
        <v>14194.55</v>
      </c>
      <c r="E184" s="2">
        <v>11217.89</v>
      </c>
    </row>
    <row r="185" spans="1:5" ht="15" customHeight="1">
      <c r="A185" s="5" t="s">
        <v>227</v>
      </c>
      <c r="B185" s="2">
        <v>41411.14</v>
      </c>
      <c r="C185" s="2">
        <v>63720.5</v>
      </c>
      <c r="D185" s="2">
        <v>85749.07</v>
      </c>
      <c r="E185" s="2">
        <v>82079.679999999993</v>
      </c>
    </row>
    <row r="186" spans="1:5" ht="15" customHeight="1">
      <c r="A186" s="5" t="s">
        <v>226</v>
      </c>
      <c r="B186" s="2">
        <v>38265.870000000003</v>
      </c>
      <c r="C186" s="2">
        <v>60545.87</v>
      </c>
      <c r="D186" s="2">
        <v>82592.88</v>
      </c>
      <c r="E186" s="2">
        <v>78874.27</v>
      </c>
    </row>
    <row r="187" spans="1:5" ht="15" customHeight="1">
      <c r="A187" s="5" t="s">
        <v>225</v>
      </c>
      <c r="B187" s="8">
        <v>743.81</v>
      </c>
      <c r="C187" s="8">
        <v>660.3</v>
      </c>
      <c r="D187" s="8">
        <v>764.86</v>
      </c>
      <c r="E187" s="8">
        <v>864.22</v>
      </c>
    </row>
    <row r="188" spans="1:5" ht="15" customHeight="1">
      <c r="A188" s="5" t="s">
        <v>224</v>
      </c>
      <c r="B188" s="2">
        <v>58779.02</v>
      </c>
      <c r="C188" s="2">
        <v>92336.34</v>
      </c>
      <c r="D188" s="2">
        <v>118030.25</v>
      </c>
      <c r="E188" s="2">
        <v>111639.93</v>
      </c>
    </row>
    <row r="189" spans="1:5" ht="15" customHeight="1">
      <c r="A189" s="5" t="s">
        <v>223</v>
      </c>
      <c r="B189" s="2">
        <v>11325.2</v>
      </c>
      <c r="C189" s="2">
        <v>20172.37</v>
      </c>
      <c r="D189" s="2">
        <v>23639.3</v>
      </c>
      <c r="E189" s="2">
        <v>21273.81</v>
      </c>
    </row>
  </sheetData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1882-D054-4AB8-9914-54D35344CB0A}">
  <sheetPr>
    <pageSetUpPr fitToPage="1"/>
  </sheetPr>
  <dimension ref="A1:I201"/>
  <sheetViews>
    <sheetView topLeftCell="A93" workbookViewId="0">
      <selection activeCell="F32" sqref="F32"/>
    </sheetView>
  </sheetViews>
  <sheetFormatPr baseColWidth="10" defaultColWidth="8.83984375" defaultRowHeight="14.4" outlineLevelRow="1"/>
  <cols>
    <col min="1" max="1" width="85.68359375" style="1" customWidth="1"/>
    <col min="2" max="5" width="15.68359375" style="1" customWidth="1"/>
    <col min="6" max="16384" width="8.83984375" style="1"/>
  </cols>
  <sheetData>
    <row r="1" spans="1:5" ht="15" customHeight="1" thickBot="1">
      <c r="A1" s="20" t="s">
        <v>518</v>
      </c>
      <c r="B1" s="19"/>
      <c r="C1" s="19"/>
      <c r="D1" s="19"/>
      <c r="E1" s="19"/>
    </row>
    <row r="2" spans="1:5" ht="15" customHeight="1" thickTop="1">
      <c r="A2" s="17" t="s">
        <v>172</v>
      </c>
      <c r="B2" s="18" t="s">
        <v>911</v>
      </c>
    </row>
    <row r="3" spans="1:5">
      <c r="A3" s="17" t="s">
        <v>171</v>
      </c>
      <c r="B3" s="17" t="s">
        <v>169</v>
      </c>
    </row>
    <row r="4" spans="1:5">
      <c r="A4" s="17" t="s">
        <v>170</v>
      </c>
      <c r="B4" s="17" t="s">
        <v>806</v>
      </c>
    </row>
    <row r="5" spans="1:5">
      <c r="A5" s="17" t="s">
        <v>168</v>
      </c>
      <c r="B5" s="17" t="s">
        <v>167</v>
      </c>
    </row>
    <row r="6" spans="1:5">
      <c r="A6" s="17" t="s">
        <v>166</v>
      </c>
      <c r="B6" s="17" t="s">
        <v>165</v>
      </c>
    </row>
    <row r="7" spans="1:5">
      <c r="A7" s="17" t="s">
        <v>164</v>
      </c>
      <c r="B7" s="17" t="s">
        <v>163</v>
      </c>
    </row>
    <row r="8" spans="1:5">
      <c r="A8" s="17" t="s">
        <v>162</v>
      </c>
      <c r="B8" s="17" t="s">
        <v>161</v>
      </c>
    </row>
    <row r="9" spans="1:5">
      <c r="A9" s="17" t="s">
        <v>160</v>
      </c>
      <c r="B9" s="17" t="s">
        <v>159</v>
      </c>
    </row>
    <row r="10" spans="1:5">
      <c r="A10" s="17" t="s">
        <v>158</v>
      </c>
      <c r="B10" s="16">
        <v>45254.694554641203</v>
      </c>
    </row>
    <row r="11" spans="1:5">
      <c r="A11" s="14" t="s">
        <v>157</v>
      </c>
      <c r="B11" s="161" t="s">
        <v>153</v>
      </c>
      <c r="C11" s="161" t="s">
        <v>154</v>
      </c>
      <c r="D11" s="161" t="s">
        <v>155</v>
      </c>
      <c r="E11" s="161" t="s">
        <v>156</v>
      </c>
    </row>
    <row r="12" spans="1:5" ht="15" customHeight="1" outlineLevel="1">
      <c r="A12" s="15" t="s">
        <v>152</v>
      </c>
      <c r="B12" s="163">
        <v>43921</v>
      </c>
      <c r="C12" s="163">
        <v>44286</v>
      </c>
      <c r="D12" s="163">
        <v>44651</v>
      </c>
      <c r="E12" s="163">
        <v>45016</v>
      </c>
    </row>
    <row r="13" spans="1:5" ht="15" customHeight="1" outlineLevel="1">
      <c r="A13" s="15" t="s">
        <v>151</v>
      </c>
      <c r="B13" s="163" t="s">
        <v>150</v>
      </c>
      <c r="C13" s="163" t="s">
        <v>150</v>
      </c>
      <c r="D13" s="163" t="s">
        <v>150</v>
      </c>
      <c r="E13" s="163" t="s">
        <v>150</v>
      </c>
    </row>
    <row r="14" spans="1:5" ht="15" customHeight="1" outlineLevel="1">
      <c r="A14" s="15" t="s">
        <v>910</v>
      </c>
      <c r="B14" s="162">
        <v>1</v>
      </c>
      <c r="C14" s="162">
        <v>1</v>
      </c>
      <c r="D14" s="162">
        <v>1</v>
      </c>
      <c r="E14" s="162">
        <v>1</v>
      </c>
    </row>
    <row r="15" spans="1:5" ht="15" customHeight="1" outlineLevel="1">
      <c r="A15" s="15" t="s">
        <v>909</v>
      </c>
      <c r="B15" s="162"/>
      <c r="C15" s="162"/>
      <c r="D15" s="162"/>
      <c r="E15" s="162"/>
    </row>
    <row r="16" spans="1:5">
      <c r="A16" s="13" t="s">
        <v>517</v>
      </c>
      <c r="B16" s="14"/>
      <c r="C16" s="14"/>
      <c r="D16" s="14"/>
      <c r="E16" s="14"/>
    </row>
    <row r="17" spans="1:9">
      <c r="A17" s="13" t="s">
        <v>148</v>
      </c>
      <c r="B17" s="12" t="s">
        <v>144</v>
      </c>
      <c r="C17" s="12" t="s">
        <v>145</v>
      </c>
      <c r="D17" s="12" t="s">
        <v>146</v>
      </c>
      <c r="E17" s="12" t="s">
        <v>147</v>
      </c>
    </row>
    <row r="18" spans="1:9" ht="15" customHeight="1">
      <c r="A18" s="7" t="s">
        <v>516</v>
      </c>
      <c r="B18" s="6"/>
      <c r="C18" s="6"/>
      <c r="D18" s="6"/>
      <c r="E18" s="6"/>
    </row>
    <row r="19" spans="1:9" ht="15" customHeight="1">
      <c r="A19" s="5" t="s">
        <v>139</v>
      </c>
      <c r="B19" s="2">
        <v>51295.76</v>
      </c>
      <c r="C19" s="2">
        <v>73788.12</v>
      </c>
      <c r="D19" s="2">
        <v>71787.89</v>
      </c>
      <c r="E19" s="2">
        <v>76368.75</v>
      </c>
    </row>
    <row r="20" spans="1:9" ht="15" customHeight="1">
      <c r="A20" s="21" t="s">
        <v>140</v>
      </c>
      <c r="B20" s="2">
        <v>46675.94</v>
      </c>
      <c r="C20" s="2">
        <v>49034.16</v>
      </c>
      <c r="D20" s="2">
        <v>29955.67</v>
      </c>
      <c r="E20" s="2">
        <v>28115.5</v>
      </c>
    </row>
    <row r="21" spans="1:9" ht="15" customHeight="1">
      <c r="A21" s="21" t="s">
        <v>515</v>
      </c>
      <c r="B21" s="8">
        <v>4619.82</v>
      </c>
      <c r="C21" s="2">
        <v>24753.96</v>
      </c>
      <c r="D21" s="2">
        <v>41832.22</v>
      </c>
      <c r="E21" s="2">
        <v>48253.25</v>
      </c>
    </row>
    <row r="22" spans="1:9" ht="15" customHeight="1">
      <c r="A22" s="5" t="s">
        <v>514</v>
      </c>
      <c r="B22" s="8">
        <v>6161.03</v>
      </c>
      <c r="C22" s="8">
        <v>8688.15</v>
      </c>
      <c r="D22" s="2">
        <v>11236.1</v>
      </c>
      <c r="E22" s="8">
        <v>9340.09</v>
      </c>
    </row>
    <row r="23" spans="1:9" ht="15" customHeight="1">
      <c r="A23" s="21" t="s">
        <v>513</v>
      </c>
      <c r="B23" s="8">
        <v>4351.91</v>
      </c>
      <c r="C23" s="8">
        <v>5715.99</v>
      </c>
      <c r="D23" s="8">
        <v>7098.73</v>
      </c>
      <c r="E23" s="8">
        <v>5995.69</v>
      </c>
    </row>
    <row r="24" spans="1:9" ht="15" customHeight="1">
      <c r="A24" s="21" t="s">
        <v>920</v>
      </c>
      <c r="B24" s="8">
        <v>1670.15</v>
      </c>
      <c r="C24" s="8">
        <v>2650.11</v>
      </c>
      <c r="D24" s="8">
        <v>3751.05</v>
      </c>
      <c r="E24" s="8">
        <v>2547.7600000000002</v>
      </c>
    </row>
    <row r="25" spans="1:9" ht="15" customHeight="1">
      <c r="A25" s="21" t="s">
        <v>921</v>
      </c>
      <c r="B25" s="8">
        <v>138.97</v>
      </c>
      <c r="C25" s="8">
        <v>322.05</v>
      </c>
      <c r="D25" s="8">
        <v>386.32</v>
      </c>
      <c r="E25" s="8">
        <v>796.64</v>
      </c>
    </row>
    <row r="26" spans="1:9" ht="15" customHeight="1">
      <c r="A26" s="5" t="s">
        <v>512</v>
      </c>
      <c r="B26" s="8">
        <v>2098.4899999999998</v>
      </c>
      <c r="C26" s="8">
        <v>4251.96</v>
      </c>
      <c r="D26" s="8">
        <v>4746.1099999999997</v>
      </c>
      <c r="E26" s="8">
        <v>4156.7700000000004</v>
      </c>
    </row>
    <row r="27" spans="1:9" ht="15" customHeight="1">
      <c r="A27" s="5" t="s">
        <v>511</v>
      </c>
      <c r="B27" s="8">
        <v>1065.8399999999999</v>
      </c>
      <c r="C27" s="8">
        <v>2828.54</v>
      </c>
      <c r="D27" s="8">
        <v>2823.97</v>
      </c>
      <c r="E27" s="8">
        <v>2445.4</v>
      </c>
    </row>
    <row r="28" spans="1:9" ht="15" customHeight="1">
      <c r="A28" s="5" t="s">
        <v>510</v>
      </c>
      <c r="B28" s="8">
        <v>4756.1000000000004</v>
      </c>
      <c r="C28" s="8">
        <v>8639.15</v>
      </c>
      <c r="D28" s="2">
        <v>10132.35</v>
      </c>
      <c r="E28" s="8">
        <v>9320.7199999999993</v>
      </c>
    </row>
    <row r="29" spans="1:9" ht="15" customHeight="1">
      <c r="A29" s="21" t="s">
        <v>922</v>
      </c>
      <c r="B29" s="8">
        <v>282.45</v>
      </c>
      <c r="C29" s="8">
        <v>504.14</v>
      </c>
      <c r="D29" s="8">
        <v>617.58000000000004</v>
      </c>
      <c r="E29" s="8">
        <v>694.71</v>
      </c>
    </row>
    <row r="30" spans="1:9" ht="15" customHeight="1">
      <c r="A30" s="21" t="s">
        <v>923</v>
      </c>
      <c r="B30" s="8">
        <v>2186.0500000000002</v>
      </c>
      <c r="C30" s="8">
        <v>5373.64</v>
      </c>
      <c r="D30" s="8">
        <v>5908.38</v>
      </c>
      <c r="E30" s="8">
        <v>5303.75</v>
      </c>
    </row>
    <row r="31" spans="1:9" ht="15" customHeight="1">
      <c r="A31" s="21" t="s">
        <v>509</v>
      </c>
      <c r="B31" s="8">
        <v>2287.59</v>
      </c>
      <c r="C31" s="8">
        <v>2761.38</v>
      </c>
      <c r="D31" s="8">
        <v>3606.39</v>
      </c>
      <c r="E31" s="8">
        <v>3322.27</v>
      </c>
    </row>
    <row r="32" spans="1:9" ht="15" customHeight="1">
      <c r="A32" s="26" t="s">
        <v>508</v>
      </c>
      <c r="B32" s="23">
        <v>65377.22</v>
      </c>
      <c r="C32" s="23">
        <v>98195.92</v>
      </c>
      <c r="D32" s="23">
        <v>100726.42</v>
      </c>
      <c r="E32" s="23">
        <v>101631.72</v>
      </c>
      <c r="F32" s="165">
        <f>B32-B85</f>
        <v>31218.370000000003</v>
      </c>
      <c r="G32" s="165">
        <f t="shared" ref="G32:I32" si="0">C32-C85</f>
        <v>40599.839999999997</v>
      </c>
      <c r="H32" s="165">
        <f t="shared" si="0"/>
        <v>40185.979999999996</v>
      </c>
      <c r="I32" s="165">
        <f t="shared" si="0"/>
        <v>45520.270000000004</v>
      </c>
    </row>
    <row r="33" spans="1:5" ht="15" customHeight="1">
      <c r="A33" s="7" t="s">
        <v>507</v>
      </c>
      <c r="B33" s="6"/>
      <c r="C33" s="6"/>
      <c r="D33" s="6"/>
      <c r="E33" s="6"/>
    </row>
    <row r="34" spans="1:5" ht="15" customHeight="1">
      <c r="A34" s="5" t="s">
        <v>506</v>
      </c>
      <c r="B34" s="2">
        <v>22784.01</v>
      </c>
      <c r="C34" s="2">
        <v>36207</v>
      </c>
      <c r="D34" s="2">
        <v>35273.769999999997</v>
      </c>
      <c r="E34" s="2">
        <v>35782.080000000002</v>
      </c>
    </row>
    <row r="35" spans="1:5" ht="15" customHeight="1">
      <c r="A35" s="21" t="s">
        <v>505</v>
      </c>
      <c r="B35" s="2">
        <v>22784.01</v>
      </c>
      <c r="C35" s="2">
        <v>36207</v>
      </c>
      <c r="D35" s="2">
        <v>35273.769999999997</v>
      </c>
      <c r="E35" s="2">
        <v>35782.080000000002</v>
      </c>
    </row>
    <row r="36" spans="1:5" ht="15" customHeight="1">
      <c r="A36" s="5" t="s">
        <v>504</v>
      </c>
      <c r="B36" s="2">
        <v>26781.15</v>
      </c>
      <c r="C36" s="2">
        <v>30554.81</v>
      </c>
      <c r="D36" s="2">
        <v>34647.67</v>
      </c>
      <c r="E36" s="2">
        <v>30196.87</v>
      </c>
    </row>
    <row r="37" spans="1:5" ht="15" customHeight="1">
      <c r="A37" s="5" t="s">
        <v>503</v>
      </c>
      <c r="B37" s="2">
        <v>19495.96</v>
      </c>
      <c r="C37" s="2">
        <v>33494.92</v>
      </c>
      <c r="D37" s="2">
        <v>39414.29</v>
      </c>
      <c r="E37" s="2">
        <v>36906.49</v>
      </c>
    </row>
    <row r="38" spans="1:5" ht="15" customHeight="1">
      <c r="A38" s="21" t="s">
        <v>502</v>
      </c>
      <c r="B38" s="2">
        <v>19495.96</v>
      </c>
      <c r="C38" s="2">
        <v>33494.92</v>
      </c>
      <c r="D38" s="2">
        <v>39414.29</v>
      </c>
      <c r="E38" s="2">
        <v>36906.49</v>
      </c>
    </row>
    <row r="39" spans="1:5" ht="15" customHeight="1">
      <c r="A39" s="21" t="s">
        <v>501</v>
      </c>
      <c r="B39" s="2">
        <v>26838.92</v>
      </c>
      <c r="C39" s="2">
        <v>44725.72</v>
      </c>
      <c r="D39" s="2">
        <v>54203.93</v>
      </c>
      <c r="E39" s="2">
        <v>53588.88</v>
      </c>
    </row>
    <row r="40" spans="1:5" ht="15" customHeight="1">
      <c r="A40" s="22" t="s">
        <v>500</v>
      </c>
      <c r="B40" s="2">
        <v>26838.92</v>
      </c>
      <c r="C40" s="2">
        <v>44725.72</v>
      </c>
      <c r="D40" s="2">
        <v>54203.93</v>
      </c>
      <c r="E40" s="2">
        <v>53588.88</v>
      </c>
    </row>
    <row r="41" spans="1:5" ht="15" customHeight="1">
      <c r="A41" s="27" t="s">
        <v>499</v>
      </c>
      <c r="B41" s="8">
        <v>9948.17</v>
      </c>
      <c r="C41" s="2">
        <v>15123.63</v>
      </c>
      <c r="D41" s="2">
        <v>16846.34</v>
      </c>
      <c r="E41" s="2">
        <v>17950.38</v>
      </c>
    </row>
    <row r="42" spans="1:5" ht="15" customHeight="1">
      <c r="A42" s="28" t="s">
        <v>498</v>
      </c>
      <c r="B42" s="8">
        <v>9948.17</v>
      </c>
      <c r="C42" s="2">
        <v>15123.63</v>
      </c>
      <c r="D42" s="2">
        <v>16846.34</v>
      </c>
      <c r="E42" s="2">
        <v>17950.38</v>
      </c>
    </row>
    <row r="43" spans="1:5" ht="15" customHeight="1">
      <c r="A43" s="27" t="s">
        <v>497</v>
      </c>
      <c r="B43" s="8">
        <v>9516.16</v>
      </c>
      <c r="C43" s="2">
        <v>12943.31</v>
      </c>
      <c r="D43" s="2">
        <v>14913.16</v>
      </c>
      <c r="E43" s="2">
        <v>14643.11</v>
      </c>
    </row>
    <row r="44" spans="1:5" ht="15" customHeight="1">
      <c r="A44" s="28" t="s">
        <v>496</v>
      </c>
      <c r="B44" s="8">
        <v>9516.16</v>
      </c>
      <c r="C44" s="2">
        <v>12943.31</v>
      </c>
      <c r="D44" s="2">
        <v>14913.16</v>
      </c>
      <c r="E44" s="2">
        <v>14643.11</v>
      </c>
    </row>
    <row r="45" spans="1:5" ht="15" customHeight="1">
      <c r="A45" s="27" t="s">
        <v>495</v>
      </c>
      <c r="B45" s="8">
        <v>1529.21</v>
      </c>
      <c r="C45" s="8">
        <v>3046.19</v>
      </c>
      <c r="D45" s="8">
        <v>6889.56</v>
      </c>
      <c r="E45" s="8">
        <v>6571.29</v>
      </c>
    </row>
    <row r="46" spans="1:5" ht="15" customHeight="1">
      <c r="A46" s="27" t="s">
        <v>494</v>
      </c>
      <c r="B46" s="8">
        <v>4894.93</v>
      </c>
      <c r="C46" s="2">
        <v>10995.45</v>
      </c>
      <c r="D46" s="2">
        <v>12312.56</v>
      </c>
      <c r="E46" s="2">
        <v>11274.39</v>
      </c>
    </row>
    <row r="47" spans="1:5" ht="15" customHeight="1">
      <c r="A47" s="28" t="s">
        <v>493</v>
      </c>
      <c r="B47" s="8">
        <v>4894.93</v>
      </c>
      <c r="C47" s="2">
        <v>10995.45</v>
      </c>
      <c r="D47" s="2">
        <v>12312.56</v>
      </c>
      <c r="E47" s="2">
        <v>11274.39</v>
      </c>
    </row>
    <row r="48" spans="1:5" ht="15" customHeight="1">
      <c r="A48" s="27" t="s">
        <v>492</v>
      </c>
      <c r="B48" s="8">
        <v>950.46</v>
      </c>
      <c r="C48" s="8">
        <v>2617.14</v>
      </c>
      <c r="D48" s="8">
        <v>3242.31</v>
      </c>
      <c r="E48" s="8">
        <v>3149.72</v>
      </c>
    </row>
    <row r="49" spans="1:5" ht="15" customHeight="1">
      <c r="A49" s="21" t="s">
        <v>491</v>
      </c>
      <c r="B49" s="8">
        <v>7342.96</v>
      </c>
      <c r="C49" s="2">
        <v>11230.81</v>
      </c>
      <c r="D49" s="2">
        <v>14789.65</v>
      </c>
      <c r="E49" s="2">
        <v>16682.39</v>
      </c>
    </row>
    <row r="50" spans="1:5" ht="15" customHeight="1">
      <c r="A50" s="22" t="s">
        <v>490</v>
      </c>
      <c r="B50" s="8">
        <v>7342.96</v>
      </c>
      <c r="C50" s="2">
        <v>11230.81</v>
      </c>
      <c r="D50" s="2">
        <v>14789.65</v>
      </c>
      <c r="E50" s="2">
        <v>16682.39</v>
      </c>
    </row>
    <row r="51" spans="1:5" ht="15" customHeight="1">
      <c r="A51" s="5" t="s">
        <v>489</v>
      </c>
      <c r="B51" s="8">
        <v>3294.12</v>
      </c>
      <c r="C51" s="8">
        <v>4028.21</v>
      </c>
      <c r="D51" s="8">
        <v>5535.94</v>
      </c>
      <c r="E51" s="8">
        <v>4877.6899999999996</v>
      </c>
    </row>
    <row r="52" spans="1:5" ht="15" customHeight="1">
      <c r="A52" s="21" t="s">
        <v>488</v>
      </c>
      <c r="B52" s="8">
        <v>1071.9100000000001</v>
      </c>
      <c r="C52" s="8">
        <v>1685.19</v>
      </c>
      <c r="D52" s="8">
        <v>2283.38</v>
      </c>
      <c r="E52" s="8">
        <v>2256.1</v>
      </c>
    </row>
    <row r="53" spans="1:5" ht="15" customHeight="1">
      <c r="A53" s="21" t="s">
        <v>924</v>
      </c>
      <c r="B53" s="3">
        <v>38.840000000000003</v>
      </c>
      <c r="C53" s="2"/>
      <c r="D53" s="2"/>
      <c r="E53" s="2"/>
    </row>
    <row r="54" spans="1:5" ht="15" customHeight="1">
      <c r="A54" s="21" t="s">
        <v>487</v>
      </c>
      <c r="B54" s="8">
        <v>1697.55</v>
      </c>
      <c r="C54" s="8">
        <v>1839.65</v>
      </c>
      <c r="D54" s="8">
        <v>2526.62</v>
      </c>
      <c r="E54" s="8">
        <v>1875.62</v>
      </c>
    </row>
    <row r="55" spans="1:5" ht="15" customHeight="1">
      <c r="A55" s="21" t="s">
        <v>486</v>
      </c>
      <c r="B55" s="8">
        <v>485.82</v>
      </c>
      <c r="C55" s="8">
        <v>503.37</v>
      </c>
      <c r="D55" s="8">
        <v>725.95</v>
      </c>
      <c r="E55" s="8">
        <v>745.97</v>
      </c>
    </row>
    <row r="56" spans="1:5" ht="15" customHeight="1">
      <c r="A56" s="5" t="s">
        <v>485</v>
      </c>
      <c r="B56" s="2">
        <v>47696.45</v>
      </c>
      <c r="C56" s="2">
        <v>55496.81</v>
      </c>
      <c r="D56" s="2">
        <v>51868.82</v>
      </c>
      <c r="E56" s="2">
        <v>45868.13</v>
      </c>
    </row>
    <row r="57" spans="1:5" ht="15" customHeight="1">
      <c r="A57" s="21" t="s">
        <v>484</v>
      </c>
      <c r="B57" s="2">
        <v>39089.089999999997</v>
      </c>
      <c r="C57" s="2">
        <v>44685.58</v>
      </c>
      <c r="D57" s="2">
        <v>42525.36</v>
      </c>
      <c r="E57" s="2">
        <v>39037.07</v>
      </c>
    </row>
    <row r="58" spans="1:5" ht="15" customHeight="1">
      <c r="A58" s="21" t="s">
        <v>483</v>
      </c>
      <c r="B58" s="8">
        <v>8607.36</v>
      </c>
      <c r="C58" s="2">
        <v>10811.23</v>
      </c>
      <c r="D58" s="8">
        <v>9343.4599999999991</v>
      </c>
      <c r="E58" s="8">
        <v>6831.06</v>
      </c>
    </row>
    <row r="59" spans="1:5" ht="15" customHeight="1">
      <c r="A59" s="21" t="s">
        <v>482</v>
      </c>
      <c r="B59" s="2">
        <v>55282.03</v>
      </c>
      <c r="C59" s="2">
        <v>65396.84</v>
      </c>
      <c r="D59" s="2">
        <v>65642.89</v>
      </c>
      <c r="E59" s="2">
        <v>60581.43</v>
      </c>
    </row>
    <row r="60" spans="1:5" ht="15" customHeight="1">
      <c r="A60" s="22" t="s">
        <v>481</v>
      </c>
      <c r="B60" s="2">
        <v>39727.43</v>
      </c>
      <c r="C60" s="2">
        <v>45369.21</v>
      </c>
      <c r="D60" s="2">
        <v>47197.8</v>
      </c>
      <c r="E60" s="2">
        <v>43745.27</v>
      </c>
    </row>
    <row r="61" spans="1:5" ht="15" customHeight="1">
      <c r="A61" s="22" t="s">
        <v>480</v>
      </c>
      <c r="B61" s="2">
        <v>15554.6</v>
      </c>
      <c r="C61" s="2">
        <v>20027.63</v>
      </c>
      <c r="D61" s="2">
        <v>18445.099999999999</v>
      </c>
      <c r="E61" s="2">
        <v>16836.16</v>
      </c>
    </row>
    <row r="62" spans="1:5" ht="15" customHeight="1">
      <c r="A62" s="27" t="s">
        <v>479</v>
      </c>
      <c r="B62" s="8">
        <v>1419.47</v>
      </c>
      <c r="C62" s="8">
        <v>1962.06</v>
      </c>
      <c r="D62" s="8">
        <v>1118.0999999999999</v>
      </c>
      <c r="E62" s="8">
        <v>966.71</v>
      </c>
    </row>
    <row r="63" spans="1:5" ht="15" customHeight="1">
      <c r="A63" s="27" t="s">
        <v>478</v>
      </c>
      <c r="B63" s="8">
        <v>3693.23</v>
      </c>
      <c r="C63" s="8">
        <v>6019.72</v>
      </c>
      <c r="D63" s="8">
        <v>6164.72</v>
      </c>
      <c r="E63" s="8">
        <v>5722.67</v>
      </c>
    </row>
    <row r="64" spans="1:5" ht="15" customHeight="1">
      <c r="A64" s="27" t="s">
        <v>925</v>
      </c>
      <c r="B64" s="8">
        <v>1361.29</v>
      </c>
      <c r="C64" s="8">
        <v>1436.4</v>
      </c>
      <c r="D64" s="8">
        <v>1322.54</v>
      </c>
      <c r="E64" s="8">
        <v>1294.92</v>
      </c>
    </row>
    <row r="65" spans="1:5" ht="15" customHeight="1">
      <c r="A65" s="27" t="s">
        <v>477</v>
      </c>
      <c r="B65" s="8">
        <v>9080.61</v>
      </c>
      <c r="C65" s="2">
        <v>10609.45</v>
      </c>
      <c r="D65" s="8">
        <v>9839.73</v>
      </c>
      <c r="E65" s="8">
        <v>8851.86</v>
      </c>
    </row>
    <row r="66" spans="1:5" ht="15" customHeight="1">
      <c r="A66" s="21" t="s">
        <v>476</v>
      </c>
      <c r="B66" s="8">
        <v>7585.58</v>
      </c>
      <c r="C66" s="8">
        <v>9900.0300000000007</v>
      </c>
      <c r="D66" s="2">
        <v>13774.08</v>
      </c>
      <c r="E66" s="2">
        <v>14713.29</v>
      </c>
    </row>
    <row r="67" spans="1:5" ht="15" customHeight="1">
      <c r="A67" s="22" t="s">
        <v>475</v>
      </c>
      <c r="B67" s="8">
        <v>638.35</v>
      </c>
      <c r="C67" s="8">
        <v>683.63</v>
      </c>
      <c r="D67" s="8">
        <v>4672.4399999999996</v>
      </c>
      <c r="E67" s="8">
        <v>4708.2</v>
      </c>
    </row>
    <row r="68" spans="1:5" ht="15" customHeight="1">
      <c r="A68" s="22" t="s">
        <v>474</v>
      </c>
      <c r="B68" s="8">
        <v>6947.24</v>
      </c>
      <c r="C68" s="8">
        <v>9216.4</v>
      </c>
      <c r="D68" s="8">
        <v>9101.64</v>
      </c>
      <c r="E68" s="2">
        <v>10005.1</v>
      </c>
    </row>
    <row r="69" spans="1:5" ht="15" customHeight="1">
      <c r="A69" s="26" t="s">
        <v>473</v>
      </c>
      <c r="B69" s="23">
        <v>120051.69</v>
      </c>
      <c r="C69" s="23">
        <v>159781.74</v>
      </c>
      <c r="D69" s="23">
        <v>166740.49</v>
      </c>
      <c r="E69" s="23">
        <v>153631.25</v>
      </c>
    </row>
    <row r="70" spans="1:5" ht="15" customHeight="1">
      <c r="A70" s="7" t="s">
        <v>138</v>
      </c>
      <c r="B70" s="6"/>
      <c r="C70" s="6"/>
      <c r="D70" s="6"/>
      <c r="E70" s="6"/>
    </row>
    <row r="71" spans="1:5" ht="15" customHeight="1">
      <c r="A71" s="26" t="s">
        <v>138</v>
      </c>
      <c r="B71" s="23">
        <v>185428.91</v>
      </c>
      <c r="C71" s="23">
        <v>257977.65</v>
      </c>
      <c r="D71" s="23">
        <v>267466.90999999997</v>
      </c>
      <c r="E71" s="23">
        <v>255262.97</v>
      </c>
    </row>
    <row r="72" spans="1:5" ht="15" customHeight="1">
      <c r="A72" s="7" t="s">
        <v>472</v>
      </c>
      <c r="B72" s="6"/>
      <c r="C72" s="6"/>
      <c r="D72" s="6"/>
      <c r="E72" s="6"/>
    </row>
    <row r="73" spans="1:5" ht="15" customHeight="1">
      <c r="A73" s="5" t="s">
        <v>471</v>
      </c>
      <c r="B73" s="2">
        <v>17080.84</v>
      </c>
      <c r="C73" s="2">
        <v>28092.43</v>
      </c>
      <c r="D73" s="2">
        <v>29878.54</v>
      </c>
      <c r="E73" s="2">
        <v>27784.09</v>
      </c>
    </row>
    <row r="74" spans="1:5" ht="15" customHeight="1">
      <c r="A74" s="21" t="s">
        <v>470</v>
      </c>
      <c r="B74" s="8">
        <v>688.48</v>
      </c>
      <c r="C74" s="8">
        <v>904.48</v>
      </c>
      <c r="D74" s="8">
        <v>1227.74</v>
      </c>
      <c r="E74" s="8">
        <v>1511.88</v>
      </c>
    </row>
    <row r="75" spans="1:5" ht="15" customHeight="1">
      <c r="A75" s="21" t="s">
        <v>469</v>
      </c>
      <c r="B75" s="2">
        <v>16392.36</v>
      </c>
      <c r="C75" s="2">
        <v>27187.95</v>
      </c>
      <c r="D75" s="2">
        <v>28650.799999999999</v>
      </c>
      <c r="E75" s="2">
        <v>26272.21</v>
      </c>
    </row>
    <row r="76" spans="1:5" ht="15" customHeight="1">
      <c r="A76" s="5" t="s">
        <v>468</v>
      </c>
      <c r="B76" s="2"/>
      <c r="C76" s="2"/>
      <c r="D76" s="2"/>
      <c r="E76" s="2"/>
    </row>
    <row r="77" spans="1:5" ht="15" customHeight="1">
      <c r="A77" s="21" t="s">
        <v>467</v>
      </c>
      <c r="B77" s="8">
        <v>727.88</v>
      </c>
      <c r="C77" s="8">
        <v>2050.89</v>
      </c>
      <c r="D77" s="8">
        <v>1394.63</v>
      </c>
      <c r="E77" s="8">
        <v>1786.07</v>
      </c>
    </row>
    <row r="78" spans="1:5" ht="15" customHeight="1">
      <c r="A78" s="22" t="s">
        <v>466</v>
      </c>
      <c r="B78" s="8">
        <v>727.88</v>
      </c>
      <c r="C78" s="8">
        <v>2050.89</v>
      </c>
      <c r="D78" s="8">
        <v>1394.63</v>
      </c>
      <c r="E78" s="8">
        <v>1786.07</v>
      </c>
    </row>
    <row r="79" spans="1:5" ht="15" customHeight="1">
      <c r="A79" s="5" t="s">
        <v>926</v>
      </c>
      <c r="B79" s="8">
        <v>2851.37</v>
      </c>
      <c r="C79" s="8">
        <v>3857.72</v>
      </c>
      <c r="D79" s="8">
        <v>3431.45</v>
      </c>
      <c r="E79" s="8">
        <v>1826.4</v>
      </c>
    </row>
    <row r="80" spans="1:5" ht="15" customHeight="1">
      <c r="A80" s="5" t="s">
        <v>465</v>
      </c>
      <c r="B80" s="8">
        <v>390.63</v>
      </c>
      <c r="C80" s="8">
        <v>621.04999999999995</v>
      </c>
      <c r="D80" s="8">
        <v>787.78</v>
      </c>
      <c r="E80" s="8">
        <v>825.18</v>
      </c>
    </row>
    <row r="81" spans="1:5" ht="15" customHeight="1">
      <c r="A81" s="5" t="s">
        <v>464</v>
      </c>
      <c r="B81" s="2">
        <v>13108.12</v>
      </c>
      <c r="C81" s="2">
        <v>22973.99</v>
      </c>
      <c r="D81" s="2">
        <v>25048.03</v>
      </c>
      <c r="E81" s="2">
        <v>23889.71</v>
      </c>
    </row>
    <row r="82" spans="1:5" ht="15" customHeight="1">
      <c r="A82" s="21" t="s">
        <v>463</v>
      </c>
      <c r="B82" s="8">
        <v>5414.36</v>
      </c>
      <c r="C82" s="8">
        <v>9537.68</v>
      </c>
      <c r="D82" s="2">
        <v>10566.31</v>
      </c>
      <c r="E82" s="2">
        <v>10381.36</v>
      </c>
    </row>
    <row r="83" spans="1:5" ht="15" customHeight="1">
      <c r="A83" s="21" t="s">
        <v>927</v>
      </c>
      <c r="B83" s="8">
        <v>5519.57</v>
      </c>
      <c r="C83" s="2">
        <v>10502.61</v>
      </c>
      <c r="D83" s="2">
        <v>11033.87</v>
      </c>
      <c r="E83" s="8">
        <v>9939.57</v>
      </c>
    </row>
    <row r="84" spans="1:5" ht="15" customHeight="1">
      <c r="A84" s="21" t="s">
        <v>462</v>
      </c>
      <c r="B84" s="8">
        <v>2174.19</v>
      </c>
      <c r="C84" s="8">
        <v>2933.7</v>
      </c>
      <c r="D84" s="8">
        <v>3447.86</v>
      </c>
      <c r="E84" s="8">
        <v>3568.79</v>
      </c>
    </row>
    <row r="85" spans="1:5" ht="15" customHeight="1">
      <c r="A85" s="26" t="s">
        <v>461</v>
      </c>
      <c r="B85" s="23">
        <v>34158.85</v>
      </c>
      <c r="C85" s="23">
        <v>57596.08</v>
      </c>
      <c r="D85" s="23">
        <v>60540.44</v>
      </c>
      <c r="E85" s="23">
        <v>56111.45</v>
      </c>
    </row>
    <row r="86" spans="1:5" ht="15" customHeight="1">
      <c r="A86" s="7" t="s">
        <v>460</v>
      </c>
      <c r="B86" s="6"/>
      <c r="C86" s="6"/>
      <c r="D86" s="6"/>
      <c r="E86" s="6"/>
    </row>
    <row r="87" spans="1:5" ht="15" customHeight="1">
      <c r="A87" s="5" t="s">
        <v>459</v>
      </c>
      <c r="B87" s="2">
        <v>16986.22</v>
      </c>
      <c r="C87" s="2">
        <v>20714.310000000001</v>
      </c>
      <c r="D87" s="2">
        <v>20901.830000000002</v>
      </c>
      <c r="E87" s="2">
        <v>21708.89</v>
      </c>
    </row>
    <row r="88" spans="1:5" ht="15" customHeight="1">
      <c r="A88" s="21" t="s">
        <v>458</v>
      </c>
      <c r="B88" s="2">
        <v>16986.22</v>
      </c>
      <c r="C88" s="2">
        <v>20714.310000000001</v>
      </c>
      <c r="D88" s="2">
        <v>20901.830000000002</v>
      </c>
      <c r="E88" s="2">
        <v>21708.89</v>
      </c>
    </row>
    <row r="89" spans="1:5" ht="15" customHeight="1">
      <c r="A89" s="22" t="s">
        <v>457</v>
      </c>
      <c r="B89" s="2">
        <v>16986.22</v>
      </c>
      <c r="C89" s="2">
        <v>20714.310000000001</v>
      </c>
      <c r="D89" s="2">
        <v>20901.830000000002</v>
      </c>
      <c r="E89" s="2">
        <v>21708.89</v>
      </c>
    </row>
    <row r="90" spans="1:5" ht="15" customHeight="1">
      <c r="A90" s="5" t="s">
        <v>456</v>
      </c>
      <c r="B90" s="8">
        <v>6199.58</v>
      </c>
      <c r="C90" s="8">
        <v>9096.43</v>
      </c>
      <c r="D90" s="8">
        <v>9733.8799999999992</v>
      </c>
      <c r="E90" s="8">
        <v>8990.77</v>
      </c>
    </row>
    <row r="91" spans="1:5" ht="15" customHeight="1">
      <c r="A91" s="21" t="s">
        <v>455</v>
      </c>
      <c r="B91" s="8">
        <v>6199.58</v>
      </c>
      <c r="C91" s="8">
        <v>9096.43</v>
      </c>
      <c r="D91" s="8">
        <v>9733.8799999999992</v>
      </c>
      <c r="E91" s="8">
        <v>8990.77</v>
      </c>
    </row>
    <row r="92" spans="1:5" ht="15" customHeight="1">
      <c r="A92" s="5" t="s">
        <v>454</v>
      </c>
      <c r="B92" s="8">
        <v>2696.16</v>
      </c>
      <c r="C92" s="8">
        <v>4306.76</v>
      </c>
      <c r="D92" s="8">
        <v>4773.24</v>
      </c>
      <c r="E92" s="8">
        <v>4156.91</v>
      </c>
    </row>
    <row r="93" spans="1:5" ht="15" customHeight="1">
      <c r="A93" s="5" t="s">
        <v>453</v>
      </c>
      <c r="B93" s="8">
        <v>1157.6400000000001</v>
      </c>
      <c r="C93" s="8">
        <v>869.23</v>
      </c>
      <c r="D93" s="8">
        <v>805.77</v>
      </c>
      <c r="E93" s="8">
        <v>784.99</v>
      </c>
    </row>
    <row r="94" spans="1:5" ht="15" customHeight="1">
      <c r="A94" s="21" t="s">
        <v>928</v>
      </c>
      <c r="B94" s="8">
        <v>285.98</v>
      </c>
      <c r="C94" s="8">
        <v>482</v>
      </c>
      <c r="D94" s="8">
        <v>550.53</v>
      </c>
      <c r="E94" s="8">
        <v>518.38</v>
      </c>
    </row>
    <row r="95" spans="1:5" ht="15" customHeight="1">
      <c r="A95" s="21" t="s">
        <v>452</v>
      </c>
      <c r="B95" s="8">
        <v>871.65</v>
      </c>
      <c r="C95" s="8">
        <v>387.22</v>
      </c>
      <c r="D95" s="8">
        <v>255.23</v>
      </c>
      <c r="E95" s="8">
        <v>266.61</v>
      </c>
    </row>
    <row r="96" spans="1:5" ht="15" customHeight="1">
      <c r="A96" s="5" t="s">
        <v>451</v>
      </c>
      <c r="B96" s="2">
        <v>27039.599999999999</v>
      </c>
      <c r="C96" s="2">
        <v>34986.720000000001</v>
      </c>
      <c r="D96" s="2">
        <v>36214.720000000001</v>
      </c>
      <c r="E96" s="2">
        <v>35641.56</v>
      </c>
    </row>
    <row r="97" spans="1:5" ht="15" customHeight="1">
      <c r="A97" s="7" t="s">
        <v>450</v>
      </c>
      <c r="B97" s="6"/>
      <c r="C97" s="6"/>
      <c r="D97" s="6"/>
      <c r="E97" s="6"/>
    </row>
    <row r="98" spans="1:5" ht="15" customHeight="1">
      <c r="A98" s="26" t="s">
        <v>450</v>
      </c>
      <c r="B98" s="23">
        <v>61198.45</v>
      </c>
      <c r="C98" s="23">
        <v>92582.8</v>
      </c>
      <c r="D98" s="23">
        <v>96755.16</v>
      </c>
      <c r="E98" s="23">
        <v>91753.01</v>
      </c>
    </row>
    <row r="99" spans="1:5" ht="15" customHeight="1">
      <c r="A99" s="7" t="s">
        <v>449</v>
      </c>
      <c r="B99" s="6"/>
      <c r="C99" s="6"/>
      <c r="D99" s="6"/>
      <c r="E99" s="6"/>
    </row>
    <row r="100" spans="1:5" ht="15" customHeight="1">
      <c r="A100" s="5" t="s">
        <v>448</v>
      </c>
      <c r="B100" s="2">
        <v>106683</v>
      </c>
      <c r="C100" s="2">
        <v>143085.87</v>
      </c>
      <c r="D100" s="2">
        <v>149618.89000000001</v>
      </c>
      <c r="E100" s="2">
        <v>144105.22</v>
      </c>
    </row>
    <row r="101" spans="1:5" ht="15" customHeight="1">
      <c r="A101" s="21" t="s">
        <v>447</v>
      </c>
      <c r="B101" s="2">
        <v>106683</v>
      </c>
      <c r="C101" s="2">
        <v>143085.87</v>
      </c>
      <c r="D101" s="2">
        <v>149618.89000000001</v>
      </c>
      <c r="E101" s="2">
        <v>144105.22</v>
      </c>
    </row>
    <row r="102" spans="1:5" ht="15" customHeight="1">
      <c r="A102" s="22" t="s">
        <v>446</v>
      </c>
      <c r="B102" s="2">
        <v>0</v>
      </c>
      <c r="C102" s="2">
        <v>0</v>
      </c>
      <c r="D102" s="8">
        <v>350.35</v>
      </c>
      <c r="E102" s="8">
        <v>4188.22</v>
      </c>
    </row>
    <row r="103" spans="1:5" ht="15" customHeight="1">
      <c r="A103" s="22" t="s">
        <v>445</v>
      </c>
      <c r="B103" s="2">
        <v>48540.84</v>
      </c>
      <c r="C103" s="2">
        <v>60183.31</v>
      </c>
      <c r="D103" s="2">
        <v>64755.89</v>
      </c>
      <c r="E103" s="2">
        <v>60702.57</v>
      </c>
    </row>
    <row r="104" spans="1:5" ht="15" customHeight="1">
      <c r="A104" s="27" t="s">
        <v>444</v>
      </c>
      <c r="B104" s="3">
        <v>0.14000000000000001</v>
      </c>
      <c r="C104" s="3">
        <v>0.15</v>
      </c>
      <c r="D104" s="3">
        <v>0.16</v>
      </c>
      <c r="E104" s="3">
        <v>0.15</v>
      </c>
    </row>
    <row r="105" spans="1:5" ht="15" customHeight="1">
      <c r="A105" s="27" t="s">
        <v>443</v>
      </c>
      <c r="B105" s="2">
        <v>48540.7</v>
      </c>
      <c r="C105" s="2">
        <v>60183.16</v>
      </c>
      <c r="D105" s="2">
        <v>64755.73</v>
      </c>
      <c r="E105" s="2">
        <v>60702.43</v>
      </c>
    </row>
    <row r="106" spans="1:5" ht="15" customHeight="1">
      <c r="A106" s="22" t="s">
        <v>442</v>
      </c>
      <c r="B106" s="2">
        <v>58142.16</v>
      </c>
      <c r="C106" s="2">
        <v>82902.559999999998</v>
      </c>
      <c r="D106" s="2">
        <v>85213.35</v>
      </c>
      <c r="E106" s="2">
        <v>87590.86</v>
      </c>
    </row>
    <row r="107" spans="1:5" ht="15" customHeight="1">
      <c r="A107" s="27" t="s">
        <v>441</v>
      </c>
      <c r="B107" s="2">
        <v>58240.17</v>
      </c>
      <c r="C107" s="2">
        <v>85819.32</v>
      </c>
      <c r="D107" s="2">
        <v>90451</v>
      </c>
      <c r="E107" s="2">
        <v>89114.83</v>
      </c>
    </row>
    <row r="108" spans="1:5" ht="15" customHeight="1">
      <c r="A108" s="27" t="s">
        <v>440</v>
      </c>
      <c r="B108" s="4">
        <v>-90.81</v>
      </c>
      <c r="C108" s="11">
        <v>-2909.58</v>
      </c>
      <c r="D108" s="11">
        <v>-5230.3900000000003</v>
      </c>
      <c r="E108" s="11">
        <v>-1516.83</v>
      </c>
    </row>
    <row r="109" spans="1:5" ht="15" customHeight="1">
      <c r="A109" s="28" t="s">
        <v>439</v>
      </c>
      <c r="B109" s="4">
        <v>-36.15</v>
      </c>
      <c r="C109" s="4">
        <v>-20.3</v>
      </c>
      <c r="D109" s="3">
        <v>4.26</v>
      </c>
      <c r="E109" s="3">
        <v>8.59</v>
      </c>
    </row>
    <row r="110" spans="1:5" ht="15" customHeight="1">
      <c r="A110" s="28" t="s">
        <v>438</v>
      </c>
      <c r="B110" s="4">
        <v>-54.65</v>
      </c>
      <c r="C110" s="11">
        <v>-2889.28</v>
      </c>
      <c r="D110" s="11">
        <v>-5234.6499999999996</v>
      </c>
      <c r="E110" s="11">
        <v>-1525.42</v>
      </c>
    </row>
    <row r="111" spans="1:5" ht="15" customHeight="1">
      <c r="A111" s="27" t="s">
        <v>437</v>
      </c>
      <c r="B111" s="4">
        <v>-7.2</v>
      </c>
      <c r="C111" s="4">
        <v>-7.17</v>
      </c>
      <c r="D111" s="4">
        <v>-7.26</v>
      </c>
      <c r="E111" s="4">
        <v>-7.13</v>
      </c>
    </row>
    <row r="112" spans="1:5" ht="15" customHeight="1">
      <c r="A112" s="21" t="s">
        <v>137</v>
      </c>
      <c r="B112" s="2">
        <v>106683</v>
      </c>
      <c r="C112" s="2">
        <v>143085.87</v>
      </c>
      <c r="D112" s="2">
        <v>149618.89000000001</v>
      </c>
      <c r="E112" s="2">
        <v>144105.22</v>
      </c>
    </row>
    <row r="113" spans="1:5" ht="15" customHeight="1">
      <c r="A113" s="5" t="s">
        <v>436</v>
      </c>
      <c r="B113" s="2">
        <v>17547.45</v>
      </c>
      <c r="C113" s="2">
        <v>22308.98</v>
      </c>
      <c r="D113" s="2">
        <v>21092.87</v>
      </c>
      <c r="E113" s="2">
        <v>19404.740000000002</v>
      </c>
    </row>
    <row r="114" spans="1:5" ht="15" customHeight="1">
      <c r="A114" s="7" t="s">
        <v>435</v>
      </c>
      <c r="B114" s="6"/>
      <c r="C114" s="6"/>
      <c r="D114" s="6"/>
      <c r="E114" s="6"/>
    </row>
    <row r="115" spans="1:5" ht="15" customHeight="1">
      <c r="A115" s="26" t="s">
        <v>434</v>
      </c>
      <c r="B115" s="23">
        <v>124230.45</v>
      </c>
      <c r="C115" s="23">
        <v>165394.85</v>
      </c>
      <c r="D115" s="23">
        <v>170711.75</v>
      </c>
      <c r="E115" s="23">
        <v>163509.96</v>
      </c>
    </row>
    <row r="116" spans="1:5" ht="15" customHeight="1">
      <c r="A116" s="7" t="s">
        <v>433</v>
      </c>
      <c r="B116" s="6"/>
      <c r="C116" s="6"/>
      <c r="D116" s="6"/>
      <c r="E116" s="6"/>
    </row>
    <row r="117" spans="1:5" ht="15" customHeight="1">
      <c r="A117" s="26" t="s">
        <v>432</v>
      </c>
      <c r="B117" s="23">
        <v>185428.91</v>
      </c>
      <c r="C117" s="23">
        <v>257977.65</v>
      </c>
      <c r="D117" s="23">
        <v>267466.90999999997</v>
      </c>
      <c r="E117" s="23">
        <v>255262.97</v>
      </c>
    </row>
    <row r="118" spans="1:5" ht="15" customHeight="1">
      <c r="A118" s="7" t="s">
        <v>431</v>
      </c>
      <c r="B118" s="6"/>
      <c r="C118" s="6"/>
      <c r="D118" s="6"/>
      <c r="E118" s="6"/>
    </row>
    <row r="119" spans="1:5" ht="15" customHeight="1">
      <c r="A119" s="5" t="s">
        <v>430</v>
      </c>
      <c r="B119" s="2">
        <v>21491.99</v>
      </c>
      <c r="C119" s="2">
        <v>21699.03</v>
      </c>
      <c r="D119" s="2">
        <v>21357.32</v>
      </c>
      <c r="E119" s="2">
        <v>20526.02</v>
      </c>
    </row>
    <row r="120" spans="1:5" ht="15" customHeight="1">
      <c r="A120" s="21" t="s">
        <v>111</v>
      </c>
      <c r="B120" s="2">
        <v>21491.99</v>
      </c>
      <c r="C120" s="2">
        <v>21699.03</v>
      </c>
      <c r="D120" s="2">
        <v>21357.32</v>
      </c>
      <c r="E120" s="2">
        <v>20526.02</v>
      </c>
    </row>
    <row r="121" spans="1:5" ht="15" customHeight="1">
      <c r="A121" s="21" t="s">
        <v>429</v>
      </c>
      <c r="B121" s="2">
        <v>0</v>
      </c>
      <c r="C121" s="2">
        <v>0</v>
      </c>
      <c r="D121" s="2">
        <v>0</v>
      </c>
      <c r="E121" s="2">
        <v>0</v>
      </c>
    </row>
    <row r="122" spans="1:5" ht="15" customHeight="1">
      <c r="A122" s="5" t="s">
        <v>428</v>
      </c>
      <c r="B122" s="2">
        <v>32000</v>
      </c>
      <c r="C122" s="2">
        <v>32000</v>
      </c>
      <c r="D122" s="2">
        <v>32000</v>
      </c>
      <c r="E122" s="2">
        <v>32000</v>
      </c>
    </row>
    <row r="123" spans="1:5" ht="15" customHeight="1">
      <c r="A123" s="5" t="s">
        <v>427</v>
      </c>
      <c r="B123" s="2">
        <v>21491.99</v>
      </c>
      <c r="C123" s="2">
        <v>21699.03</v>
      </c>
      <c r="D123" s="2">
        <v>21357.32</v>
      </c>
      <c r="E123" s="2">
        <v>20526.02</v>
      </c>
    </row>
    <row r="124" spans="1:5" ht="15" customHeight="1">
      <c r="A124" s="21" t="s">
        <v>426</v>
      </c>
      <c r="B124" s="2">
        <v>21491.99</v>
      </c>
      <c r="C124" s="2">
        <v>21699.03</v>
      </c>
      <c r="D124" s="2">
        <v>21357.32</v>
      </c>
      <c r="E124" s="2">
        <v>20526.02</v>
      </c>
    </row>
    <row r="125" spans="1:5" ht="15" customHeight="1">
      <c r="A125" s="21" t="s">
        <v>425</v>
      </c>
      <c r="B125" s="2">
        <v>0</v>
      </c>
      <c r="C125" s="2">
        <v>0</v>
      </c>
      <c r="D125" s="2">
        <v>0</v>
      </c>
      <c r="E125" s="2">
        <v>0</v>
      </c>
    </row>
    <row r="126" spans="1:5" ht="15" customHeight="1">
      <c r="A126" s="5" t="s">
        <v>929</v>
      </c>
      <c r="B126" s="8">
        <v>2686.5</v>
      </c>
      <c r="C126" s="8">
        <v>2712.38</v>
      </c>
      <c r="D126" s="8">
        <v>2669.67</v>
      </c>
      <c r="E126" s="8">
        <v>2565.75</v>
      </c>
    </row>
    <row r="127" spans="1:5" ht="15" customHeight="1">
      <c r="A127" s="21" t="s">
        <v>930</v>
      </c>
      <c r="B127" s="8">
        <v>2686.5</v>
      </c>
      <c r="C127" s="8">
        <v>2712.38</v>
      </c>
      <c r="D127" s="8">
        <v>2669.67</v>
      </c>
      <c r="E127" s="8">
        <v>2565.75</v>
      </c>
    </row>
    <row r="128" spans="1:5" ht="15" customHeight="1">
      <c r="A128" s="21" t="s">
        <v>931</v>
      </c>
      <c r="B128" s="2">
        <v>0</v>
      </c>
      <c r="C128" s="2">
        <v>0</v>
      </c>
      <c r="D128" s="2">
        <v>0</v>
      </c>
      <c r="E128" s="2">
        <v>0</v>
      </c>
    </row>
    <row r="129" spans="1:5" ht="15" customHeight="1">
      <c r="A129" s="7" t="s">
        <v>424</v>
      </c>
      <c r="B129" s="6"/>
      <c r="C129" s="6"/>
      <c r="D129" s="6"/>
      <c r="E129" s="6"/>
    </row>
    <row r="130" spans="1:5" ht="15" customHeight="1">
      <c r="A130" s="5" t="s">
        <v>423</v>
      </c>
      <c r="B130" s="3">
        <v>1</v>
      </c>
      <c r="C130" s="3">
        <v>1</v>
      </c>
      <c r="D130" s="3">
        <v>1</v>
      </c>
      <c r="E130" s="3">
        <v>1</v>
      </c>
    </row>
    <row r="131" spans="1:5" ht="15" customHeight="1">
      <c r="A131" s="5" t="s">
        <v>423</v>
      </c>
      <c r="B131" s="3">
        <v>1</v>
      </c>
      <c r="C131" s="3">
        <v>1</v>
      </c>
      <c r="D131" s="3">
        <v>1</v>
      </c>
      <c r="E131" s="3">
        <v>1</v>
      </c>
    </row>
    <row r="132" spans="1:5" ht="15" customHeight="1">
      <c r="A132" s="7" t="s">
        <v>422</v>
      </c>
      <c r="B132" s="6"/>
      <c r="C132" s="6"/>
      <c r="D132" s="6"/>
      <c r="E132" s="6"/>
    </row>
    <row r="133" spans="1:5" ht="15" customHeight="1">
      <c r="A133" s="5" t="s">
        <v>421</v>
      </c>
      <c r="B133" s="8">
        <v>4894.93</v>
      </c>
      <c r="C133" s="2">
        <v>10995.45</v>
      </c>
      <c r="D133" s="2">
        <v>12312.56</v>
      </c>
      <c r="E133" s="2">
        <v>11274.39</v>
      </c>
    </row>
    <row r="134" spans="1:5" ht="15" customHeight="1">
      <c r="A134" s="21" t="s">
        <v>420</v>
      </c>
      <c r="B134" s="8">
        <v>4894.93</v>
      </c>
      <c r="C134" s="2">
        <v>10995.45</v>
      </c>
      <c r="D134" s="2">
        <v>12312.56</v>
      </c>
      <c r="E134" s="2">
        <v>11274.39</v>
      </c>
    </row>
    <row r="135" spans="1:5" ht="15" customHeight="1">
      <c r="A135" s="5" t="s">
        <v>419</v>
      </c>
      <c r="B135" s="2">
        <v>14601.03</v>
      </c>
      <c r="C135" s="2">
        <v>22499.47</v>
      </c>
      <c r="D135" s="2">
        <v>27101.73</v>
      </c>
      <c r="E135" s="2">
        <v>25632.1</v>
      </c>
    </row>
    <row r="136" spans="1:5" ht="15" customHeight="1">
      <c r="A136" s="7" t="s">
        <v>418</v>
      </c>
      <c r="B136" s="6"/>
      <c r="C136" s="6"/>
      <c r="D136" s="6"/>
      <c r="E136" s="6"/>
    </row>
    <row r="137" spans="1:5" ht="15" customHeight="1">
      <c r="A137" s="5" t="s">
        <v>417</v>
      </c>
      <c r="B137" s="8">
        <v>3086.8</v>
      </c>
      <c r="C137" s="8">
        <v>4927.8100000000004</v>
      </c>
      <c r="D137" s="8">
        <v>5561.02</v>
      </c>
      <c r="E137" s="8">
        <v>4982.09</v>
      </c>
    </row>
    <row r="138" spans="1:5" ht="15" customHeight="1">
      <c r="A138" s="21" t="s">
        <v>416</v>
      </c>
      <c r="B138" s="8">
        <v>390.63</v>
      </c>
      <c r="C138" s="8">
        <v>621.04999999999995</v>
      </c>
      <c r="D138" s="8">
        <v>787.78</v>
      </c>
      <c r="E138" s="8">
        <v>825.18</v>
      </c>
    </row>
    <row r="139" spans="1:5" ht="15" customHeight="1">
      <c r="A139" s="21" t="s">
        <v>415</v>
      </c>
      <c r="B139" s="8">
        <v>2696.16</v>
      </c>
      <c r="C139" s="8">
        <v>4306.76</v>
      </c>
      <c r="D139" s="8">
        <v>4773.24</v>
      </c>
      <c r="E139" s="8">
        <v>4156.91</v>
      </c>
    </row>
    <row r="140" spans="1:5" ht="15" customHeight="1">
      <c r="A140" s="5" t="s">
        <v>414</v>
      </c>
      <c r="B140" s="8">
        <v>3086.8</v>
      </c>
      <c r="C140" s="8">
        <v>4927.8100000000004</v>
      </c>
      <c r="D140" s="8">
        <v>5561.02</v>
      </c>
      <c r="E140" s="8">
        <v>4982.09</v>
      </c>
    </row>
    <row r="141" spans="1:5" ht="15" customHeight="1">
      <c r="A141" s="7" t="s">
        <v>413</v>
      </c>
      <c r="B141" s="6"/>
      <c r="C141" s="6"/>
      <c r="D141" s="6"/>
      <c r="E141" s="6"/>
    </row>
    <row r="142" spans="1:5" ht="15" customHeight="1">
      <c r="A142" s="5" t="s">
        <v>412</v>
      </c>
      <c r="B142" s="2">
        <v>27403.82</v>
      </c>
      <c r="C142" s="2">
        <v>60960.959999999999</v>
      </c>
      <c r="D142" s="2">
        <v>77105.990000000005</v>
      </c>
      <c r="E142" s="2">
        <v>84035.33</v>
      </c>
    </row>
    <row r="143" spans="1:5" ht="15" customHeight="1">
      <c r="A143" s="5" t="s">
        <v>411</v>
      </c>
      <c r="B143" s="8">
        <v>6161.03</v>
      </c>
      <c r="C143" s="8">
        <v>8688.15</v>
      </c>
      <c r="D143" s="2">
        <v>11236.1</v>
      </c>
      <c r="E143" s="8">
        <v>9340.09</v>
      </c>
    </row>
    <row r="144" spans="1:5" ht="15" customHeight="1">
      <c r="A144" s="5" t="s">
        <v>410</v>
      </c>
      <c r="B144" s="8">
        <v>8050.22</v>
      </c>
      <c r="C144" s="2">
        <v>12667.36</v>
      </c>
      <c r="D144" s="2">
        <v>15668.29</v>
      </c>
      <c r="E144" s="2">
        <v>14198.41</v>
      </c>
    </row>
    <row r="145" spans="1:5" ht="15" customHeight="1">
      <c r="A145" s="5" t="s">
        <v>932</v>
      </c>
      <c r="B145" s="8">
        <v>2851.37</v>
      </c>
      <c r="C145" s="8">
        <v>3857.72</v>
      </c>
      <c r="D145" s="8">
        <v>3431.45</v>
      </c>
      <c r="E145" s="8">
        <v>1826.4</v>
      </c>
    </row>
    <row r="146" spans="1:5" ht="15" customHeight="1">
      <c r="A146" s="5" t="s">
        <v>409</v>
      </c>
      <c r="B146" s="2">
        <v>17080.84</v>
      </c>
      <c r="C146" s="2">
        <v>28092.43</v>
      </c>
      <c r="D146" s="2">
        <v>29878.54</v>
      </c>
      <c r="E146" s="2">
        <v>27784.09</v>
      </c>
    </row>
    <row r="147" spans="1:5" ht="15" customHeight="1">
      <c r="A147" s="21" t="s">
        <v>408</v>
      </c>
      <c r="B147" s="8">
        <v>688.48</v>
      </c>
      <c r="C147" s="8">
        <v>904.48</v>
      </c>
      <c r="D147" s="8">
        <v>1227.74</v>
      </c>
      <c r="E147" s="8">
        <v>1511.88</v>
      </c>
    </row>
    <row r="148" spans="1:5" ht="15" customHeight="1">
      <c r="A148" s="21" t="s">
        <v>407</v>
      </c>
      <c r="B148" s="2">
        <v>16392.36</v>
      </c>
      <c r="C148" s="2">
        <v>27187.95</v>
      </c>
      <c r="D148" s="2">
        <v>28650.799999999999</v>
      </c>
      <c r="E148" s="2">
        <v>26272.21</v>
      </c>
    </row>
    <row r="149" spans="1:5" ht="15" customHeight="1">
      <c r="A149" s="7" t="s">
        <v>406</v>
      </c>
      <c r="B149" s="6"/>
      <c r="C149" s="6"/>
      <c r="D149" s="6"/>
      <c r="E149" s="6"/>
    </row>
    <row r="150" spans="1:5" ht="15" customHeight="1">
      <c r="A150" s="5" t="s">
        <v>405</v>
      </c>
      <c r="B150" s="9">
        <v>-33581.660000000003</v>
      </c>
      <c r="C150" s="9">
        <v>-51022.92</v>
      </c>
      <c r="D150" s="9">
        <v>-49491.43</v>
      </c>
      <c r="E150" s="9">
        <v>-52873.78</v>
      </c>
    </row>
    <row r="151" spans="1:5" ht="15" customHeight="1">
      <c r="A151" s="5" t="s">
        <v>100</v>
      </c>
      <c r="B151" s="2">
        <v>17714.099999999999</v>
      </c>
      <c r="C151" s="2">
        <v>22765.19</v>
      </c>
      <c r="D151" s="2">
        <v>22296.47</v>
      </c>
      <c r="E151" s="2">
        <v>23494.959999999999</v>
      </c>
    </row>
    <row r="152" spans="1:5" ht="15" customHeight="1">
      <c r="A152" s="5" t="s">
        <v>933</v>
      </c>
      <c r="B152" s="8">
        <v>727.32</v>
      </c>
      <c r="C152" s="8">
        <v>992.09</v>
      </c>
      <c r="D152" s="8">
        <v>6500</v>
      </c>
      <c r="E152" s="8">
        <v>6500</v>
      </c>
    </row>
    <row r="153" spans="1:5" ht="15" customHeight="1">
      <c r="A153" s="5" t="s">
        <v>404</v>
      </c>
      <c r="B153" s="8">
        <v>727.32</v>
      </c>
      <c r="C153" s="8">
        <v>992.09</v>
      </c>
      <c r="D153" s="8">
        <v>6500</v>
      </c>
      <c r="E153" s="8">
        <v>6500</v>
      </c>
    </row>
    <row r="154" spans="1:5" ht="15" customHeight="1">
      <c r="A154" s="7" t="s">
        <v>403</v>
      </c>
      <c r="B154" s="6"/>
      <c r="C154" s="6"/>
      <c r="D154" s="6"/>
      <c r="E154" s="6"/>
    </row>
    <row r="155" spans="1:5" ht="15" customHeight="1">
      <c r="A155" s="5" t="s">
        <v>402</v>
      </c>
      <c r="B155" s="2">
        <v>17812.11</v>
      </c>
      <c r="C155" s="2">
        <v>22896</v>
      </c>
      <c r="D155" s="2">
        <v>22412.41</v>
      </c>
      <c r="E155" s="2">
        <v>23597.62</v>
      </c>
    </row>
    <row r="156" spans="1:5" ht="15" customHeight="1">
      <c r="A156" s="21" t="s">
        <v>401</v>
      </c>
      <c r="B156" s="8">
        <v>727.88</v>
      </c>
      <c r="C156" s="8">
        <v>2053.02</v>
      </c>
      <c r="D156" s="8">
        <v>1394.63</v>
      </c>
      <c r="E156" s="8">
        <v>1786.21</v>
      </c>
    </row>
    <row r="157" spans="1:5" ht="15" customHeight="1">
      <c r="A157" s="21" t="s">
        <v>400</v>
      </c>
      <c r="B157" s="8">
        <v>1625.8</v>
      </c>
      <c r="C157" s="8">
        <v>260.23</v>
      </c>
      <c r="D157" s="8">
        <v>816.65</v>
      </c>
      <c r="E157" s="8">
        <v>6623.57</v>
      </c>
    </row>
    <row r="158" spans="1:5" ht="15" customHeight="1">
      <c r="A158" s="21" t="s">
        <v>399</v>
      </c>
      <c r="B158" s="8">
        <v>229.21</v>
      </c>
      <c r="C158" s="8">
        <v>812.45</v>
      </c>
      <c r="D158" s="8">
        <v>6664.3</v>
      </c>
      <c r="E158" s="8">
        <v>697.04</v>
      </c>
    </row>
    <row r="159" spans="1:5" ht="15" customHeight="1">
      <c r="A159" s="21" t="s">
        <v>398</v>
      </c>
      <c r="B159" s="8">
        <v>797.37</v>
      </c>
      <c r="C159" s="8">
        <v>6641.99</v>
      </c>
      <c r="D159" s="8">
        <v>440.27</v>
      </c>
      <c r="E159" s="8">
        <v>374.22</v>
      </c>
    </row>
    <row r="160" spans="1:5" ht="15" customHeight="1">
      <c r="A160" s="21" t="s">
        <v>397</v>
      </c>
      <c r="B160" s="8">
        <v>6607.16</v>
      </c>
      <c r="C160" s="8">
        <v>346.62</v>
      </c>
      <c r="D160" s="8">
        <v>300.82</v>
      </c>
      <c r="E160" s="8">
        <v>3200.24</v>
      </c>
    </row>
    <row r="161" spans="1:5" ht="15" customHeight="1">
      <c r="A161" s="21" t="s">
        <v>396</v>
      </c>
      <c r="B161" s="8">
        <v>7824.68</v>
      </c>
      <c r="C161" s="2">
        <v>12781.68</v>
      </c>
      <c r="D161" s="2">
        <v>12795.73</v>
      </c>
      <c r="E161" s="2">
        <v>10916.33</v>
      </c>
    </row>
    <row r="162" spans="1:5" ht="15" customHeight="1">
      <c r="A162" s="5" t="s">
        <v>395</v>
      </c>
      <c r="B162" s="8">
        <v>1855.02</v>
      </c>
      <c r="C162" s="8">
        <v>1072.68</v>
      </c>
      <c r="D162" s="8">
        <v>7480.95</v>
      </c>
      <c r="E162" s="8">
        <v>7320.61</v>
      </c>
    </row>
    <row r="163" spans="1:5" ht="15" customHeight="1">
      <c r="A163" s="5" t="s">
        <v>394</v>
      </c>
      <c r="B163" s="8">
        <v>7404.53</v>
      </c>
      <c r="C163" s="8">
        <v>6988.61</v>
      </c>
      <c r="D163" s="8">
        <v>741.09</v>
      </c>
      <c r="E163" s="8">
        <v>3574.47</v>
      </c>
    </row>
    <row r="164" spans="1:5" ht="15" customHeight="1">
      <c r="A164" s="5" t="s">
        <v>393</v>
      </c>
      <c r="B164" s="8">
        <v>7824.68</v>
      </c>
      <c r="C164" s="2">
        <v>12781.68</v>
      </c>
      <c r="D164" s="2">
        <v>12795.73</v>
      </c>
      <c r="E164" s="2">
        <v>10916.33</v>
      </c>
    </row>
    <row r="165" spans="1:5" ht="15" customHeight="1">
      <c r="A165" s="7" t="s">
        <v>230</v>
      </c>
      <c r="B165" s="6"/>
      <c r="C165" s="6"/>
      <c r="D165" s="6"/>
      <c r="E165" s="6"/>
    </row>
    <row r="166" spans="1:5" ht="15" customHeight="1">
      <c r="A166" s="5" t="s">
        <v>99</v>
      </c>
      <c r="B166" s="2">
        <v>17547.45</v>
      </c>
      <c r="C166" s="2">
        <v>22308.98</v>
      </c>
      <c r="D166" s="2">
        <v>21092.87</v>
      </c>
      <c r="E166" s="2">
        <v>19404.740000000002</v>
      </c>
    </row>
    <row r="167" spans="1:5" ht="15" customHeight="1">
      <c r="A167" s="5" t="s">
        <v>392</v>
      </c>
      <c r="B167" s="9">
        <v>-15457.58</v>
      </c>
      <c r="C167" s="11">
        <v>-8434.32</v>
      </c>
      <c r="D167" s="2">
        <v>10230.31</v>
      </c>
      <c r="E167" s="2">
        <v>17404.77</v>
      </c>
    </row>
    <row r="168" spans="1:5" ht="15" customHeight="1">
      <c r="A168" s="5" t="s">
        <v>391</v>
      </c>
      <c r="B168" s="2">
        <v>99663.88</v>
      </c>
      <c r="C168" s="2">
        <v>164257.91</v>
      </c>
      <c r="D168" s="2">
        <v>194985.88</v>
      </c>
      <c r="E168" s="2">
        <v>188110.4</v>
      </c>
    </row>
    <row r="169" spans="1:5" ht="15" customHeight="1">
      <c r="A169" s="5" t="s">
        <v>390</v>
      </c>
      <c r="B169" s="2">
        <v>46675.94</v>
      </c>
      <c r="C169" s="2">
        <v>49034.16</v>
      </c>
      <c r="D169" s="2">
        <v>29955.67</v>
      </c>
      <c r="E169" s="2">
        <v>28115.5</v>
      </c>
    </row>
    <row r="170" spans="1:5" ht="15" customHeight="1">
      <c r="A170" s="5" t="s">
        <v>98</v>
      </c>
      <c r="B170" s="2">
        <v>51295.76</v>
      </c>
      <c r="C170" s="2">
        <v>73788.12</v>
      </c>
      <c r="D170" s="2">
        <v>71787.89</v>
      </c>
      <c r="E170" s="2">
        <v>76368.75</v>
      </c>
    </row>
    <row r="171" spans="1:5" ht="15" customHeight="1">
      <c r="A171" s="5" t="s">
        <v>389</v>
      </c>
      <c r="B171" s="2">
        <v>49565.16</v>
      </c>
      <c r="C171" s="2">
        <v>66761.81</v>
      </c>
      <c r="D171" s="2">
        <v>69921.440000000002</v>
      </c>
      <c r="E171" s="2">
        <v>65978.94</v>
      </c>
    </row>
    <row r="172" spans="1:5" ht="15" customHeight="1">
      <c r="A172" s="5" t="s">
        <v>388</v>
      </c>
      <c r="B172" s="2">
        <v>90648.8</v>
      </c>
      <c r="C172" s="2">
        <v>114371.93</v>
      </c>
      <c r="D172" s="2">
        <v>121220.32</v>
      </c>
      <c r="E172" s="2">
        <v>110636.18</v>
      </c>
    </row>
    <row r="173" spans="1:5" ht="15" customHeight="1">
      <c r="A173" s="5" t="s">
        <v>387</v>
      </c>
      <c r="B173" s="2">
        <v>90648.8</v>
      </c>
      <c r="C173" s="2">
        <v>114371.93</v>
      </c>
      <c r="D173" s="2">
        <v>121220.32</v>
      </c>
      <c r="E173" s="2">
        <v>110636.18</v>
      </c>
    </row>
    <row r="174" spans="1:5" ht="15" customHeight="1">
      <c r="A174" s="5" t="s">
        <v>386</v>
      </c>
      <c r="B174" s="8">
        <v>6199.58</v>
      </c>
      <c r="C174" s="8">
        <v>9096.43</v>
      </c>
      <c r="D174" s="8">
        <v>9733.8799999999992</v>
      </c>
      <c r="E174" s="8">
        <v>8990.77</v>
      </c>
    </row>
    <row r="175" spans="1:5" ht="15" customHeight="1">
      <c r="A175" s="5" t="s">
        <v>385</v>
      </c>
      <c r="B175" s="2">
        <v>106683</v>
      </c>
      <c r="C175" s="2">
        <v>143085.87</v>
      </c>
      <c r="D175" s="2">
        <v>149618.89000000001</v>
      </c>
      <c r="E175" s="2">
        <v>144105.22</v>
      </c>
    </row>
    <row r="176" spans="1:5" ht="15" customHeight="1">
      <c r="A176" s="5" t="s">
        <v>384</v>
      </c>
      <c r="B176" s="2">
        <v>76534.009999999995</v>
      </c>
      <c r="C176" s="2">
        <v>109898.04</v>
      </c>
      <c r="D176" s="2">
        <v>118842.93</v>
      </c>
      <c r="E176" s="2">
        <v>117641.83</v>
      </c>
    </row>
    <row r="177" spans="1:5" ht="15" customHeight="1">
      <c r="A177" s="5" t="s">
        <v>383</v>
      </c>
      <c r="B177" s="2">
        <v>58986.559999999998</v>
      </c>
      <c r="C177" s="2">
        <v>87589.06</v>
      </c>
      <c r="D177" s="2">
        <v>97750.07</v>
      </c>
      <c r="E177" s="2">
        <v>98237.08</v>
      </c>
    </row>
    <row r="178" spans="1:5" ht="15" customHeight="1">
      <c r="A178" s="5" t="s">
        <v>382</v>
      </c>
      <c r="B178" s="2">
        <v>124397.1</v>
      </c>
      <c r="C178" s="2">
        <v>165851.06</v>
      </c>
      <c r="D178" s="2">
        <v>171915.35</v>
      </c>
      <c r="E178" s="2">
        <v>167600.18</v>
      </c>
    </row>
    <row r="179" spans="1:5" ht="15" customHeight="1">
      <c r="A179" s="5" t="s">
        <v>381</v>
      </c>
      <c r="B179" s="2">
        <v>141944.54999999999</v>
      </c>
      <c r="C179" s="2">
        <v>188160.05</v>
      </c>
      <c r="D179" s="2">
        <v>193008.22</v>
      </c>
      <c r="E179" s="2">
        <v>187004.92</v>
      </c>
    </row>
    <row r="180" spans="1:5" ht="15" customHeight="1">
      <c r="A180" s="5" t="s">
        <v>380</v>
      </c>
      <c r="B180" s="2">
        <v>151270.04999999999</v>
      </c>
      <c r="C180" s="2">
        <v>200381.57</v>
      </c>
      <c r="D180" s="2">
        <v>206926.47</v>
      </c>
      <c r="E180" s="2">
        <v>199151.52</v>
      </c>
    </row>
    <row r="181" spans="1:5" ht="15" customHeight="1">
      <c r="A181" s="5" t="s">
        <v>379</v>
      </c>
      <c r="B181" s="2">
        <v>80962.600000000006</v>
      </c>
      <c r="C181" s="2">
        <v>115096.16</v>
      </c>
      <c r="D181" s="2">
        <v>124215.13</v>
      </c>
      <c r="E181" s="2">
        <v>114594.18</v>
      </c>
    </row>
    <row r="182" spans="1:5" ht="15" customHeight="1">
      <c r="A182" s="5" t="s">
        <v>378</v>
      </c>
      <c r="B182" s="8">
        <v>5700.34</v>
      </c>
      <c r="C182" s="2">
        <v>10019.69</v>
      </c>
      <c r="D182" s="2">
        <v>11116.84</v>
      </c>
      <c r="E182" s="2">
        <v>10899.73</v>
      </c>
    </row>
    <row r="183" spans="1:5" ht="15" customHeight="1">
      <c r="A183" s="5" t="s">
        <v>377</v>
      </c>
      <c r="B183" s="2">
        <v>31218.37</v>
      </c>
      <c r="C183" s="2">
        <v>40599.839999999997</v>
      </c>
      <c r="D183" s="2">
        <v>40185.980000000003</v>
      </c>
      <c r="E183" s="2">
        <v>45520.27</v>
      </c>
    </row>
    <row r="184" spans="1:5" ht="15" customHeight="1">
      <c r="A184" s="5" t="s">
        <v>376</v>
      </c>
      <c r="B184" s="9">
        <v>-20077.39</v>
      </c>
      <c r="C184" s="9">
        <v>-33188.28</v>
      </c>
      <c r="D184" s="9">
        <v>-31601.91</v>
      </c>
      <c r="E184" s="9">
        <v>-30848.48</v>
      </c>
    </row>
    <row r="185" spans="1:5" ht="15" customHeight="1">
      <c r="A185" s="5" t="s">
        <v>375</v>
      </c>
      <c r="B185" s="2">
        <v>39570.39</v>
      </c>
      <c r="C185" s="2">
        <v>54934.67</v>
      </c>
      <c r="D185" s="2">
        <v>55101.67</v>
      </c>
      <c r="E185" s="2">
        <v>60089.26</v>
      </c>
    </row>
    <row r="186" spans="1:5" ht="15" customHeight="1">
      <c r="A186" s="5" t="s">
        <v>374</v>
      </c>
      <c r="B186" s="2">
        <v>106690.2</v>
      </c>
      <c r="C186" s="2">
        <v>143093.04</v>
      </c>
      <c r="D186" s="2">
        <v>149626.14000000001</v>
      </c>
      <c r="E186" s="2">
        <v>144112.35</v>
      </c>
    </row>
    <row r="187" spans="1:5" ht="15" customHeight="1">
      <c r="A187" s="7" t="s">
        <v>373</v>
      </c>
      <c r="B187" s="6"/>
      <c r="C187" s="6"/>
      <c r="D187" s="6"/>
      <c r="E187" s="6"/>
    </row>
    <row r="188" spans="1:5" ht="15" customHeight="1">
      <c r="A188" s="5" t="s">
        <v>372</v>
      </c>
      <c r="B188" s="8">
        <v>3086.8</v>
      </c>
      <c r="C188" s="8">
        <v>4927.8100000000004</v>
      </c>
      <c r="D188" s="8">
        <v>5561.02</v>
      </c>
      <c r="E188" s="8">
        <v>4982.09</v>
      </c>
    </row>
    <row r="189" spans="1:5" ht="15" customHeight="1">
      <c r="A189" s="21" t="s">
        <v>371</v>
      </c>
      <c r="B189" s="8">
        <v>547.54</v>
      </c>
      <c r="C189" s="8">
        <v>882.05</v>
      </c>
      <c r="D189" s="8">
        <v>1059.58</v>
      </c>
      <c r="E189" s="8">
        <v>1009.23</v>
      </c>
    </row>
    <row r="190" spans="1:5" ht="15" customHeight="1">
      <c r="A190" s="21" t="s">
        <v>370</v>
      </c>
      <c r="B190" s="8">
        <v>443.45</v>
      </c>
      <c r="C190" s="8">
        <v>776.28</v>
      </c>
      <c r="D190" s="8">
        <v>928.81</v>
      </c>
      <c r="E190" s="8">
        <v>831</v>
      </c>
    </row>
    <row r="191" spans="1:5" ht="15" customHeight="1">
      <c r="A191" s="21" t="s">
        <v>369</v>
      </c>
      <c r="B191" s="8">
        <v>390.92</v>
      </c>
      <c r="C191" s="8">
        <v>681.49</v>
      </c>
      <c r="D191" s="8">
        <v>785.26</v>
      </c>
      <c r="E191" s="8">
        <v>689.62</v>
      </c>
    </row>
    <row r="192" spans="1:5" ht="15" customHeight="1">
      <c r="A192" s="21" t="s">
        <v>368</v>
      </c>
      <c r="B192" s="8">
        <v>359</v>
      </c>
      <c r="C192" s="8">
        <v>583.35</v>
      </c>
      <c r="D192" s="8">
        <v>669.47</v>
      </c>
      <c r="E192" s="8">
        <v>598.46</v>
      </c>
    </row>
    <row r="193" spans="1:5" ht="15" customHeight="1">
      <c r="A193" s="21" t="s">
        <v>367</v>
      </c>
      <c r="B193" s="8">
        <v>336.4</v>
      </c>
      <c r="C193" s="8">
        <v>513.75</v>
      </c>
      <c r="D193" s="8">
        <v>570.09</v>
      </c>
      <c r="E193" s="8">
        <v>513.13</v>
      </c>
    </row>
    <row r="194" spans="1:5" ht="15" customHeight="1">
      <c r="A194" s="21" t="s">
        <v>366</v>
      </c>
      <c r="B194" s="8">
        <v>2147.36</v>
      </c>
      <c r="C194" s="8">
        <v>2780.15</v>
      </c>
      <c r="D194" s="8">
        <v>3207.77</v>
      </c>
      <c r="E194" s="8">
        <v>2579.79</v>
      </c>
    </row>
    <row r="195" spans="1:5" ht="15" customHeight="1">
      <c r="A195" s="21" t="s">
        <v>365</v>
      </c>
      <c r="B195" s="8">
        <v>1137.8699999999999</v>
      </c>
      <c r="C195" s="8">
        <v>1289.26</v>
      </c>
      <c r="D195" s="8">
        <v>1659.96</v>
      </c>
      <c r="E195" s="8">
        <v>1239.1500000000001</v>
      </c>
    </row>
    <row r="196" spans="1:5" ht="15" customHeight="1">
      <c r="A196" s="5" t="s">
        <v>364</v>
      </c>
      <c r="B196" s="8">
        <v>834.37</v>
      </c>
      <c r="C196" s="8">
        <v>1457.77</v>
      </c>
      <c r="D196" s="8">
        <v>1714.07</v>
      </c>
      <c r="E196" s="8">
        <v>1520.62</v>
      </c>
    </row>
    <row r="197" spans="1:5" ht="15" customHeight="1">
      <c r="A197" s="5" t="s">
        <v>363</v>
      </c>
      <c r="B197" s="8">
        <v>695.4</v>
      </c>
      <c r="C197" s="8">
        <v>1097.0999999999999</v>
      </c>
      <c r="D197" s="8">
        <v>1239.57</v>
      </c>
      <c r="E197" s="8">
        <v>1111.5999999999999</v>
      </c>
    </row>
    <row r="198" spans="1:5" ht="15" customHeight="1">
      <c r="A198" s="5" t="s">
        <v>362</v>
      </c>
      <c r="B198" s="8">
        <v>2147.36</v>
      </c>
      <c r="C198" s="8">
        <v>2780.15</v>
      </c>
      <c r="D198" s="8">
        <v>3207.77</v>
      </c>
      <c r="E198" s="8">
        <v>2579.79</v>
      </c>
    </row>
    <row r="199" spans="1:5" ht="15" customHeight="1">
      <c r="A199" s="7" t="s">
        <v>361</v>
      </c>
      <c r="B199" s="6"/>
      <c r="C199" s="6"/>
      <c r="D199" s="6"/>
      <c r="E199" s="6"/>
    </row>
    <row r="200" spans="1:5" ht="15" customHeight="1">
      <c r="A200" s="5" t="s">
        <v>360</v>
      </c>
      <c r="B200" s="2">
        <v>117600</v>
      </c>
      <c r="C200" s="2">
        <v>251462</v>
      </c>
      <c r="D200" s="2">
        <v>254941</v>
      </c>
      <c r="E200" s="2">
        <v>235216</v>
      </c>
    </row>
    <row r="201" spans="1:5" ht="15" customHeight="1">
      <c r="A201" s="5" t="s">
        <v>359</v>
      </c>
      <c r="B201" s="2">
        <v>117600</v>
      </c>
      <c r="C201" s="2">
        <v>251462</v>
      </c>
      <c r="D201" s="2">
        <v>254941</v>
      </c>
      <c r="E201" s="2">
        <v>235216</v>
      </c>
    </row>
  </sheetData>
  <pageMargins left="0.5" right="0.5" top="1" bottom="1" header="0.5" footer="0.75"/>
  <pageSetup fitToHeight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6CC9E-56B3-4F4B-9FC0-2277D0575A9B}">
  <sheetPr>
    <pageSetUpPr fitToPage="1"/>
  </sheetPr>
  <dimension ref="A1:E85"/>
  <sheetViews>
    <sheetView topLeftCell="A51" workbookViewId="0">
      <selection activeCell="D31" sqref="D31"/>
    </sheetView>
  </sheetViews>
  <sheetFormatPr baseColWidth="10" defaultColWidth="8.83984375" defaultRowHeight="14.4" outlineLevelRow="1"/>
  <cols>
    <col min="1" max="1" width="85.68359375" style="1" customWidth="1"/>
    <col min="2" max="5" width="15.68359375" style="1" customWidth="1"/>
    <col min="6" max="16384" width="8.83984375" style="1"/>
  </cols>
  <sheetData>
    <row r="1" spans="1:5" ht="15" customHeight="1" thickBot="1">
      <c r="A1" s="20" t="s">
        <v>573</v>
      </c>
      <c r="B1" s="19"/>
      <c r="C1" s="19"/>
      <c r="D1" s="19"/>
      <c r="E1" s="19"/>
    </row>
    <row r="2" spans="1:5" ht="15" customHeight="1" thickTop="1">
      <c r="A2" s="17" t="s">
        <v>172</v>
      </c>
      <c r="B2" s="18" t="s">
        <v>911</v>
      </c>
    </row>
    <row r="3" spans="1:5">
      <c r="A3" s="17" t="s">
        <v>171</v>
      </c>
      <c r="B3" s="17" t="s">
        <v>169</v>
      </c>
    </row>
    <row r="4" spans="1:5">
      <c r="A4" s="17" t="s">
        <v>170</v>
      </c>
      <c r="B4" s="17" t="s">
        <v>806</v>
      </c>
    </row>
    <row r="5" spans="1:5">
      <c r="A5" s="17" t="s">
        <v>168</v>
      </c>
      <c r="B5" s="17" t="s">
        <v>167</v>
      </c>
    </row>
    <row r="6" spans="1:5">
      <c r="A6" s="17" t="s">
        <v>166</v>
      </c>
      <c r="B6" s="17" t="s">
        <v>165</v>
      </c>
    </row>
    <row r="7" spans="1:5">
      <c r="A7" s="17" t="s">
        <v>164</v>
      </c>
      <c r="B7" s="17" t="s">
        <v>163</v>
      </c>
    </row>
    <row r="8" spans="1:5">
      <c r="A8" s="17" t="s">
        <v>162</v>
      </c>
      <c r="B8" s="17" t="s">
        <v>161</v>
      </c>
    </row>
    <row r="9" spans="1:5">
      <c r="A9" s="17" t="s">
        <v>160</v>
      </c>
      <c r="B9" s="17" t="s">
        <v>159</v>
      </c>
    </row>
    <row r="10" spans="1:5">
      <c r="A10" s="17" t="s">
        <v>158</v>
      </c>
      <c r="B10" s="16">
        <v>45254.694554571797</v>
      </c>
    </row>
    <row r="11" spans="1:5">
      <c r="A11" s="14" t="s">
        <v>157</v>
      </c>
      <c r="B11" s="161" t="s">
        <v>153</v>
      </c>
      <c r="C11" s="161" t="s">
        <v>154</v>
      </c>
      <c r="D11" s="161" t="s">
        <v>155</v>
      </c>
      <c r="E11" s="161" t="s">
        <v>156</v>
      </c>
    </row>
    <row r="12" spans="1:5" ht="15" customHeight="1" outlineLevel="1">
      <c r="A12" s="15" t="s">
        <v>152</v>
      </c>
      <c r="B12" s="163">
        <v>43921</v>
      </c>
      <c r="C12" s="163">
        <v>44286</v>
      </c>
      <c r="D12" s="163">
        <v>44651</v>
      </c>
      <c r="E12" s="163">
        <v>45016</v>
      </c>
    </row>
    <row r="13" spans="1:5" ht="15" customHeight="1" outlineLevel="1">
      <c r="A13" s="15" t="s">
        <v>151</v>
      </c>
      <c r="B13" s="163" t="s">
        <v>150</v>
      </c>
      <c r="C13" s="163" t="s">
        <v>150</v>
      </c>
      <c r="D13" s="163" t="s">
        <v>150</v>
      </c>
      <c r="E13" s="163" t="s">
        <v>150</v>
      </c>
    </row>
    <row r="14" spans="1:5" ht="15" customHeight="1" outlineLevel="1">
      <c r="A14" s="15" t="s">
        <v>910</v>
      </c>
      <c r="B14" s="162">
        <v>1</v>
      </c>
      <c r="C14" s="162">
        <v>1</v>
      </c>
      <c r="D14" s="162">
        <v>1</v>
      </c>
      <c r="E14" s="162">
        <v>1</v>
      </c>
    </row>
    <row r="15" spans="1:5" ht="15" customHeight="1" outlineLevel="1">
      <c r="A15" s="15" t="s">
        <v>909</v>
      </c>
      <c r="B15" s="162"/>
      <c r="C15" s="162"/>
      <c r="D15" s="162"/>
      <c r="E15" s="162"/>
    </row>
    <row r="16" spans="1:5">
      <c r="A16" s="13" t="s">
        <v>572</v>
      </c>
      <c r="B16" s="14"/>
      <c r="C16" s="14"/>
      <c r="D16" s="14"/>
      <c r="E16" s="14"/>
    </row>
    <row r="17" spans="1:5">
      <c r="A17" s="13" t="s">
        <v>148</v>
      </c>
      <c r="B17" s="12" t="s">
        <v>144</v>
      </c>
      <c r="C17" s="12" t="s">
        <v>145</v>
      </c>
      <c r="D17" s="12" t="s">
        <v>146</v>
      </c>
      <c r="E17" s="12" t="s">
        <v>147</v>
      </c>
    </row>
    <row r="18" spans="1:5" ht="15" customHeight="1">
      <c r="A18" s="7" t="s">
        <v>571</v>
      </c>
      <c r="B18" s="6"/>
      <c r="C18" s="6"/>
      <c r="D18" s="6"/>
      <c r="E18" s="6"/>
    </row>
    <row r="19" spans="1:5" ht="15" customHeight="1">
      <c r="A19" s="5" t="s">
        <v>570</v>
      </c>
      <c r="B19" s="2">
        <v>20153.310000000001</v>
      </c>
      <c r="C19" s="2">
        <v>21137.3</v>
      </c>
      <c r="D19" s="8">
        <v>7335.27</v>
      </c>
      <c r="E19" s="8">
        <v>9575.76</v>
      </c>
    </row>
    <row r="20" spans="1:5" ht="15" customHeight="1">
      <c r="A20" s="5" t="s">
        <v>569</v>
      </c>
      <c r="B20" s="8">
        <v>2705.15</v>
      </c>
      <c r="C20" s="8">
        <v>5604.89</v>
      </c>
      <c r="D20" s="2">
        <v>17735.59</v>
      </c>
      <c r="E20" s="2">
        <v>17625.64</v>
      </c>
    </row>
    <row r="21" spans="1:5" ht="15" customHeight="1">
      <c r="A21" s="21" t="s">
        <v>568</v>
      </c>
      <c r="B21" s="8">
        <v>823.08</v>
      </c>
      <c r="C21" s="11">
        <v>-1125.28</v>
      </c>
      <c r="D21" s="11">
        <v>-2229.92</v>
      </c>
      <c r="E21" s="8">
        <v>1262.5899999999999</v>
      </c>
    </row>
    <row r="22" spans="1:5" ht="15" customHeight="1">
      <c r="A22" s="21" t="s">
        <v>567</v>
      </c>
      <c r="B22" s="11">
        <v>-8055.01</v>
      </c>
      <c r="C22" s="8">
        <v>133.80000000000001</v>
      </c>
      <c r="D22" s="8">
        <v>1891.66</v>
      </c>
      <c r="E22" s="8">
        <v>2133.09</v>
      </c>
    </row>
    <row r="23" spans="1:5" ht="15" customHeight="1">
      <c r="A23" s="21" t="s">
        <v>134</v>
      </c>
      <c r="B23" s="8">
        <v>6681.54</v>
      </c>
      <c r="C23" s="8">
        <v>7316.56</v>
      </c>
      <c r="D23" s="2">
        <v>11522.13</v>
      </c>
      <c r="E23" s="8">
        <v>7826.74</v>
      </c>
    </row>
    <row r="24" spans="1:5" ht="15" customHeight="1">
      <c r="A24" s="22" t="s">
        <v>566</v>
      </c>
      <c r="B24" s="8">
        <v>2946.96</v>
      </c>
      <c r="C24" s="8">
        <v>3892.91</v>
      </c>
      <c r="D24" s="8">
        <v>4332.7</v>
      </c>
      <c r="E24" s="8">
        <v>4059.55</v>
      </c>
    </row>
    <row r="25" spans="1:5" ht="15" customHeight="1">
      <c r="A25" s="22" t="s">
        <v>912</v>
      </c>
      <c r="B25" s="8">
        <v>589.30999999999995</v>
      </c>
      <c r="C25" s="8">
        <v>249.01</v>
      </c>
      <c r="D25" s="8">
        <v>4033.24</v>
      </c>
      <c r="E25" s="8">
        <v>972.28</v>
      </c>
    </row>
    <row r="26" spans="1:5" ht="15" customHeight="1">
      <c r="A26" s="22" t="s">
        <v>913</v>
      </c>
      <c r="B26" s="8">
        <v>3145.27</v>
      </c>
      <c r="C26" s="8">
        <v>3174.64</v>
      </c>
      <c r="D26" s="8">
        <v>3156.2</v>
      </c>
      <c r="E26" s="8">
        <v>2794.91</v>
      </c>
    </row>
    <row r="27" spans="1:5" ht="15" customHeight="1">
      <c r="A27" s="21" t="s">
        <v>565</v>
      </c>
      <c r="B27" s="11">
        <v>-494.39</v>
      </c>
      <c r="C27" s="8">
        <v>477.38</v>
      </c>
      <c r="D27" s="11">
        <v>-213.3</v>
      </c>
      <c r="E27" s="11">
        <v>-250.74</v>
      </c>
    </row>
    <row r="28" spans="1:5" ht="15" customHeight="1">
      <c r="A28" s="21" t="s">
        <v>564</v>
      </c>
      <c r="B28" s="11">
        <v>-808</v>
      </c>
      <c r="C28" s="11">
        <v>-8591.2900000000009</v>
      </c>
      <c r="D28" s="8">
        <v>3030.15</v>
      </c>
      <c r="E28" s="8">
        <v>2151.64</v>
      </c>
    </row>
    <row r="29" spans="1:5" ht="15" customHeight="1">
      <c r="A29" s="21" t="s">
        <v>563</v>
      </c>
      <c r="B29" s="8">
        <v>4557.9399999999996</v>
      </c>
      <c r="C29" s="8">
        <v>7393.72</v>
      </c>
      <c r="D29" s="8">
        <v>3734.87</v>
      </c>
      <c r="E29" s="8">
        <v>4502.32</v>
      </c>
    </row>
    <row r="30" spans="1:5" ht="15" customHeight="1">
      <c r="A30" s="5" t="s">
        <v>562</v>
      </c>
      <c r="B30" s="2">
        <v>22858.46</v>
      </c>
      <c r="C30" s="2">
        <v>26742.18</v>
      </c>
      <c r="D30" s="2">
        <v>25070.86</v>
      </c>
      <c r="E30" s="2">
        <v>27201.4</v>
      </c>
    </row>
    <row r="31" spans="1:5" ht="15" customHeight="1">
      <c r="A31" s="5" t="s">
        <v>561</v>
      </c>
      <c r="B31" s="8">
        <v>3075.48</v>
      </c>
      <c r="C31" s="8">
        <v>7450.95</v>
      </c>
      <c r="D31" s="11">
        <v>-2827.91</v>
      </c>
      <c r="E31" s="8">
        <v>1968.8</v>
      </c>
    </row>
    <row r="32" spans="1:5" ht="15" customHeight="1">
      <c r="A32" s="21" t="s">
        <v>560</v>
      </c>
      <c r="B32" s="11">
        <v>-6229.94</v>
      </c>
      <c r="C32" s="11">
        <v>-6433.51</v>
      </c>
      <c r="D32" s="11">
        <v>-5063.13</v>
      </c>
      <c r="E32" s="8">
        <v>1256.6099999999999</v>
      </c>
    </row>
    <row r="33" spans="1:5" ht="15" customHeight="1">
      <c r="A33" s="21" t="s">
        <v>559</v>
      </c>
      <c r="B33" s="11">
        <v>-748.98</v>
      </c>
      <c r="C33" s="11">
        <v>-413.5</v>
      </c>
      <c r="D33" s="2"/>
      <c r="E33" s="2"/>
    </row>
    <row r="34" spans="1:5" ht="15" customHeight="1">
      <c r="A34" s="21" t="s">
        <v>558</v>
      </c>
      <c r="B34" s="8">
        <v>8140.3</v>
      </c>
      <c r="C34" s="2">
        <v>11411.73</v>
      </c>
      <c r="D34" s="8">
        <v>2076.4499999999998</v>
      </c>
      <c r="E34" s="8">
        <v>1629.57</v>
      </c>
    </row>
    <row r="35" spans="1:5" ht="15" customHeight="1">
      <c r="A35" s="21" t="s">
        <v>914</v>
      </c>
      <c r="B35" s="8">
        <v>364.44</v>
      </c>
      <c r="C35" s="8">
        <v>593.91999999999996</v>
      </c>
      <c r="D35" s="11">
        <v>-549.38</v>
      </c>
      <c r="E35" s="11">
        <v>-1345.54</v>
      </c>
    </row>
    <row r="36" spans="1:5" ht="15" customHeight="1">
      <c r="A36" s="21" t="s">
        <v>557</v>
      </c>
      <c r="B36" s="8">
        <v>1549.66</v>
      </c>
      <c r="C36" s="8">
        <v>2292.3200000000002</v>
      </c>
      <c r="D36" s="8">
        <v>708.15</v>
      </c>
      <c r="E36" s="8">
        <v>428.17</v>
      </c>
    </row>
    <row r="37" spans="1:5" ht="15" customHeight="1">
      <c r="A37" s="26" t="s">
        <v>135</v>
      </c>
      <c r="B37" s="23">
        <v>25933.94</v>
      </c>
      <c r="C37" s="23">
        <v>34193.14</v>
      </c>
      <c r="D37" s="23">
        <v>22242.95</v>
      </c>
      <c r="E37" s="23">
        <v>29170.2</v>
      </c>
    </row>
    <row r="38" spans="1:5" ht="15" customHeight="1">
      <c r="A38" s="7" t="s">
        <v>556</v>
      </c>
      <c r="B38" s="6"/>
      <c r="C38" s="6"/>
      <c r="D38" s="6"/>
      <c r="E38" s="6"/>
    </row>
    <row r="39" spans="1:5" ht="15" customHeight="1">
      <c r="A39" s="5" t="s">
        <v>133</v>
      </c>
      <c r="B39" s="8">
        <v>4700.95</v>
      </c>
      <c r="C39" s="8">
        <v>6316.23</v>
      </c>
      <c r="D39" s="8">
        <v>8308.2900000000009</v>
      </c>
      <c r="E39" s="8">
        <v>4922.45</v>
      </c>
    </row>
    <row r="40" spans="1:5" ht="15" customHeight="1">
      <c r="A40" s="21" t="s">
        <v>555</v>
      </c>
      <c r="B40" s="8">
        <v>3541.3</v>
      </c>
      <c r="C40" s="8">
        <v>6114.72</v>
      </c>
      <c r="D40" s="8">
        <v>8305.9500000000007</v>
      </c>
      <c r="E40" s="8">
        <v>5013.28</v>
      </c>
    </row>
    <row r="41" spans="1:5" ht="15" customHeight="1">
      <c r="A41" s="22" t="s">
        <v>554</v>
      </c>
      <c r="B41" s="8">
        <v>3541.3</v>
      </c>
      <c r="C41" s="8">
        <v>6114.72</v>
      </c>
      <c r="D41" s="8">
        <v>8305.9500000000007</v>
      </c>
      <c r="E41" s="8">
        <v>5013.28</v>
      </c>
    </row>
    <row r="42" spans="1:5" ht="15" customHeight="1">
      <c r="A42" s="21" t="s">
        <v>915</v>
      </c>
      <c r="B42" s="8">
        <v>1159.6600000000001</v>
      </c>
      <c r="C42" s="8">
        <v>201.51</v>
      </c>
      <c r="D42" s="3">
        <v>2.34</v>
      </c>
      <c r="E42" s="4">
        <v>-90.83</v>
      </c>
    </row>
    <row r="43" spans="1:5" ht="15" customHeight="1">
      <c r="A43" s="22" t="s">
        <v>916</v>
      </c>
      <c r="B43" s="8">
        <v>2975.83</v>
      </c>
      <c r="C43" s="8">
        <v>255.95</v>
      </c>
      <c r="D43" s="3">
        <v>2.34</v>
      </c>
      <c r="E43" s="3">
        <v>3.21</v>
      </c>
    </row>
    <row r="44" spans="1:5" ht="15" customHeight="1">
      <c r="A44" s="22" t="s">
        <v>917</v>
      </c>
      <c r="B44" s="8">
        <v>1816.17</v>
      </c>
      <c r="C44" s="3">
        <v>54.43</v>
      </c>
      <c r="D44" s="2">
        <v>0</v>
      </c>
      <c r="E44" s="3">
        <v>94.04</v>
      </c>
    </row>
    <row r="45" spans="1:5" ht="15" customHeight="1">
      <c r="A45" s="21" t="s">
        <v>553</v>
      </c>
      <c r="B45" s="8">
        <v>6517.12</v>
      </c>
      <c r="C45" s="8">
        <v>6370.66</v>
      </c>
      <c r="D45" s="8">
        <v>8308.2900000000009</v>
      </c>
      <c r="E45" s="8">
        <v>5016.49</v>
      </c>
    </row>
    <row r="46" spans="1:5" ht="15" customHeight="1">
      <c r="A46" s="5" t="s">
        <v>552</v>
      </c>
      <c r="B46" s="11">
        <v>-2102.64</v>
      </c>
      <c r="C46" s="11">
        <v>-2841.68</v>
      </c>
      <c r="D46" s="11">
        <v>-638.5</v>
      </c>
      <c r="E46" s="11">
        <v>-176.55</v>
      </c>
    </row>
    <row r="47" spans="1:5" ht="15" customHeight="1">
      <c r="A47" s="21" t="s">
        <v>551</v>
      </c>
      <c r="B47" s="8">
        <v>2102.64</v>
      </c>
      <c r="C47" s="8">
        <v>2841.68</v>
      </c>
      <c r="D47" s="8">
        <v>638.5</v>
      </c>
      <c r="E47" s="8">
        <v>176.55</v>
      </c>
    </row>
    <row r="48" spans="1:5" ht="15" customHeight="1">
      <c r="A48" s="5" t="s">
        <v>550</v>
      </c>
      <c r="B48" s="11">
        <v>-8682.08</v>
      </c>
      <c r="C48" s="9">
        <v>-26728.17</v>
      </c>
      <c r="D48" s="9">
        <v>-21854.52</v>
      </c>
      <c r="E48" s="9">
        <v>-14823.86</v>
      </c>
    </row>
    <row r="49" spans="1:5" ht="15" customHeight="1">
      <c r="A49" s="21" t="s">
        <v>549</v>
      </c>
      <c r="B49" s="11">
        <v>-8682.08</v>
      </c>
      <c r="C49" s="9">
        <v>-26728.17</v>
      </c>
      <c r="D49" s="9">
        <v>-21854.52</v>
      </c>
      <c r="E49" s="9">
        <v>-14823.86</v>
      </c>
    </row>
    <row r="50" spans="1:5" ht="15" customHeight="1">
      <c r="A50" s="22" t="s">
        <v>548</v>
      </c>
      <c r="B50" s="8">
        <v>2710.47</v>
      </c>
      <c r="C50" s="8">
        <v>1448.35</v>
      </c>
      <c r="D50" s="8">
        <v>2411.75</v>
      </c>
      <c r="E50" s="8">
        <v>3320.62</v>
      </c>
    </row>
    <row r="51" spans="1:5" ht="15" customHeight="1">
      <c r="A51" s="22" t="s">
        <v>547</v>
      </c>
      <c r="B51" s="2">
        <v>11392.54</v>
      </c>
      <c r="C51" s="2">
        <v>28176.52</v>
      </c>
      <c r="D51" s="2">
        <v>24266.27</v>
      </c>
      <c r="E51" s="2">
        <v>18144.490000000002</v>
      </c>
    </row>
    <row r="52" spans="1:5" ht="15" customHeight="1">
      <c r="A52" s="5" t="s">
        <v>918</v>
      </c>
      <c r="B52" s="4">
        <v>-27.71</v>
      </c>
      <c r="C52" s="11">
        <v>-118.46</v>
      </c>
      <c r="D52" s="4">
        <v>-69.8</v>
      </c>
      <c r="E52" s="8">
        <v>187.21</v>
      </c>
    </row>
    <row r="53" spans="1:5" ht="15" customHeight="1">
      <c r="A53" s="5" t="s">
        <v>546</v>
      </c>
      <c r="B53" s="4">
        <v>-5.03</v>
      </c>
      <c r="C53" s="4">
        <v>-19.03</v>
      </c>
      <c r="D53" s="4">
        <v>-71.05</v>
      </c>
      <c r="E53" s="4">
        <v>-52.57</v>
      </c>
    </row>
    <row r="54" spans="1:5" ht="15" customHeight="1">
      <c r="A54" s="26" t="s">
        <v>545</v>
      </c>
      <c r="B54" s="164">
        <v>-15518.41</v>
      </c>
      <c r="C54" s="164">
        <v>-36023.57</v>
      </c>
      <c r="D54" s="164">
        <v>-30942.16</v>
      </c>
      <c r="E54" s="164">
        <v>-19788.23</v>
      </c>
    </row>
    <row r="55" spans="1:5" ht="15" customHeight="1">
      <c r="A55" s="7" t="s">
        <v>544</v>
      </c>
      <c r="B55" s="6"/>
      <c r="C55" s="6"/>
      <c r="D55" s="6"/>
      <c r="E55" s="6"/>
    </row>
    <row r="56" spans="1:5" ht="15" customHeight="1">
      <c r="A56" s="5" t="s">
        <v>543</v>
      </c>
      <c r="B56" s="2">
        <v>13139.64</v>
      </c>
      <c r="C56" s="4">
        <v>-88.22</v>
      </c>
      <c r="D56" s="11">
        <v>-9522.34</v>
      </c>
      <c r="E56" s="9">
        <v>-10913.71</v>
      </c>
    </row>
    <row r="57" spans="1:5" ht="15" customHeight="1">
      <c r="A57" s="21" t="s">
        <v>542</v>
      </c>
      <c r="B57" s="2">
        <v>13139.64</v>
      </c>
      <c r="C57" s="4">
        <v>-88.22</v>
      </c>
      <c r="D57" s="11">
        <v>-9522.34</v>
      </c>
      <c r="E57" s="9">
        <v>-10913.71</v>
      </c>
    </row>
    <row r="58" spans="1:5" ht="15" customHeight="1">
      <c r="A58" s="22" t="s">
        <v>541</v>
      </c>
      <c r="B58" s="2">
        <v>13139.64</v>
      </c>
      <c r="C58" s="4">
        <v>-88.22</v>
      </c>
      <c r="D58" s="11">
        <v>-9522.34</v>
      </c>
      <c r="E58" s="9">
        <v>-10913.71</v>
      </c>
    </row>
    <row r="59" spans="1:5" ht="15" customHeight="1">
      <c r="A59" s="27" t="s">
        <v>540</v>
      </c>
      <c r="B59" s="2">
        <v>13139.64</v>
      </c>
      <c r="C59" s="3">
        <v>25.82</v>
      </c>
      <c r="D59" s="3">
        <v>16.98</v>
      </c>
      <c r="E59" s="3">
        <v>1.61</v>
      </c>
    </row>
    <row r="60" spans="1:5" ht="15" customHeight="1">
      <c r="A60" s="27" t="s">
        <v>539</v>
      </c>
      <c r="B60" s="2">
        <v>0</v>
      </c>
      <c r="C60" s="8">
        <v>114.03</v>
      </c>
      <c r="D60" s="8">
        <v>9539.33</v>
      </c>
      <c r="E60" s="2">
        <v>10915.32</v>
      </c>
    </row>
    <row r="61" spans="1:5" ht="15" customHeight="1">
      <c r="A61" s="5" t="s">
        <v>919</v>
      </c>
      <c r="B61" s="8">
        <v>1586.56</v>
      </c>
      <c r="C61" s="8">
        <v>1625.67</v>
      </c>
      <c r="D61" s="8">
        <v>1907.09</v>
      </c>
      <c r="E61" s="8">
        <v>134.06</v>
      </c>
    </row>
    <row r="62" spans="1:5" ht="15" customHeight="1">
      <c r="A62" s="5" t="s">
        <v>538</v>
      </c>
      <c r="B62" s="11">
        <v>-2300.65</v>
      </c>
      <c r="C62" s="8">
        <v>4624.6099999999997</v>
      </c>
      <c r="D62" s="11">
        <v>-1135.21</v>
      </c>
      <c r="E62" s="8">
        <v>1656.3</v>
      </c>
    </row>
    <row r="63" spans="1:5" ht="15" customHeight="1">
      <c r="A63" s="21" t="s">
        <v>537</v>
      </c>
      <c r="B63" s="11">
        <v>-2300.65</v>
      </c>
      <c r="C63" s="8">
        <v>4624.6099999999997</v>
      </c>
      <c r="D63" s="11">
        <v>-1135.21</v>
      </c>
      <c r="E63" s="8">
        <v>1656.3</v>
      </c>
    </row>
    <row r="64" spans="1:5" ht="15" customHeight="1">
      <c r="A64" s="22" t="s">
        <v>536</v>
      </c>
      <c r="B64" s="8">
        <v>2267.0500000000002</v>
      </c>
      <c r="C64" s="8">
        <v>5666.25</v>
      </c>
      <c r="D64" s="8">
        <v>1468.8</v>
      </c>
      <c r="E64" s="8">
        <v>3328.07</v>
      </c>
    </row>
    <row r="65" spans="1:5" ht="15" customHeight="1">
      <c r="A65" s="22" t="s">
        <v>535</v>
      </c>
      <c r="B65" s="8">
        <v>4567.7</v>
      </c>
      <c r="C65" s="8">
        <v>1041.6400000000001</v>
      </c>
      <c r="D65" s="8">
        <v>2604.0100000000002</v>
      </c>
      <c r="E65" s="8">
        <v>1671.78</v>
      </c>
    </row>
    <row r="66" spans="1:5" ht="15" customHeight="1">
      <c r="A66" s="5" t="s">
        <v>534</v>
      </c>
      <c r="B66" s="11">
        <v>-2251.54</v>
      </c>
      <c r="C66" s="11">
        <v>-1724.36</v>
      </c>
      <c r="D66" s="11">
        <v>-1291.18</v>
      </c>
      <c r="E66" s="11">
        <v>-459.12</v>
      </c>
    </row>
    <row r="67" spans="1:5" ht="15" customHeight="1">
      <c r="A67" s="26" t="s">
        <v>533</v>
      </c>
      <c r="B67" s="23">
        <v>10174.01</v>
      </c>
      <c r="C67" s="25">
        <v>4437.71</v>
      </c>
      <c r="D67" s="164">
        <v>-10041.65</v>
      </c>
      <c r="E67" s="24">
        <v>-9582.48</v>
      </c>
    </row>
    <row r="68" spans="1:5" ht="15" customHeight="1">
      <c r="A68" s="7" t="s">
        <v>532</v>
      </c>
      <c r="B68" s="6"/>
      <c r="C68" s="6"/>
      <c r="D68" s="6"/>
      <c r="E68" s="6"/>
    </row>
    <row r="69" spans="1:5" ht="15" customHeight="1">
      <c r="A69" s="5" t="s">
        <v>531</v>
      </c>
      <c r="B69" s="8">
        <v>588.73</v>
      </c>
      <c r="C69" s="11">
        <v>-1060.23</v>
      </c>
      <c r="D69" s="11">
        <v>-1376.41</v>
      </c>
      <c r="E69" s="8">
        <v>515.49</v>
      </c>
    </row>
    <row r="70" spans="1:5" ht="15" customHeight="1">
      <c r="A70" s="7" t="s">
        <v>530</v>
      </c>
      <c r="B70" s="6"/>
      <c r="C70" s="6"/>
      <c r="D70" s="6"/>
      <c r="E70" s="6"/>
    </row>
    <row r="71" spans="1:5" ht="15" customHeight="1">
      <c r="A71" s="26" t="s">
        <v>132</v>
      </c>
      <c r="B71" s="23">
        <v>21178.28</v>
      </c>
      <c r="C71" s="25">
        <v>1547.05</v>
      </c>
      <c r="D71" s="164">
        <v>-20117.27</v>
      </c>
      <c r="E71" s="25">
        <v>314.99</v>
      </c>
    </row>
    <row r="72" spans="1:5" ht="15" customHeight="1">
      <c r="A72" s="21" t="s">
        <v>529</v>
      </c>
      <c r="B72" s="2">
        <v>21178.28</v>
      </c>
      <c r="C72" s="8">
        <v>1547.05</v>
      </c>
      <c r="D72" s="9">
        <v>-20117.27</v>
      </c>
      <c r="E72" s="8">
        <v>314.99</v>
      </c>
    </row>
    <row r="73" spans="1:5" ht="15" customHeight="1">
      <c r="A73" s="5" t="s">
        <v>528</v>
      </c>
      <c r="B73" s="2">
        <v>28032.71</v>
      </c>
      <c r="C73" s="2">
        <v>52807.17</v>
      </c>
      <c r="D73" s="2">
        <v>56231.6</v>
      </c>
      <c r="E73" s="2">
        <v>33105.160000000003</v>
      </c>
    </row>
    <row r="74" spans="1:5" ht="15" customHeight="1">
      <c r="A74" s="5" t="s">
        <v>527</v>
      </c>
      <c r="B74" s="2">
        <v>48861.99</v>
      </c>
      <c r="C74" s="2">
        <v>54407.8</v>
      </c>
      <c r="D74" s="2">
        <v>35864.050000000003</v>
      </c>
      <c r="E74" s="2">
        <v>33419.24</v>
      </c>
    </row>
    <row r="75" spans="1:5" ht="15" customHeight="1">
      <c r="A75" s="7" t="s">
        <v>526</v>
      </c>
      <c r="B75" s="6"/>
      <c r="C75" s="6"/>
      <c r="D75" s="6"/>
      <c r="E75" s="6"/>
    </row>
    <row r="76" spans="1:5" ht="15" customHeight="1">
      <c r="A76" s="5" t="s">
        <v>525</v>
      </c>
      <c r="B76" s="8">
        <v>3083.52</v>
      </c>
      <c r="C76" s="8">
        <v>3082.88</v>
      </c>
      <c r="D76" s="8">
        <v>4944.25</v>
      </c>
      <c r="E76" s="8">
        <v>3866.35</v>
      </c>
    </row>
    <row r="77" spans="1:5" ht="15" customHeight="1">
      <c r="A77" s="5" t="s">
        <v>524</v>
      </c>
      <c r="B77" s="8">
        <v>727.44</v>
      </c>
      <c r="C77" s="8">
        <v>604.98</v>
      </c>
      <c r="D77" s="8">
        <v>761.28</v>
      </c>
      <c r="E77" s="8">
        <v>823.18</v>
      </c>
    </row>
    <row r="78" spans="1:5" ht="15" customHeight="1">
      <c r="A78" s="5" t="s">
        <v>523</v>
      </c>
      <c r="B78" s="2">
        <v>22858.46</v>
      </c>
      <c r="C78" s="2">
        <v>26742.18</v>
      </c>
      <c r="D78" s="2">
        <v>25070.86</v>
      </c>
      <c r="E78" s="2">
        <v>27201.4</v>
      </c>
    </row>
    <row r="79" spans="1:5" ht="15" customHeight="1">
      <c r="A79" s="5" t="s">
        <v>904</v>
      </c>
      <c r="B79" s="2">
        <v>18798.36</v>
      </c>
      <c r="C79" s="2">
        <v>25471.15</v>
      </c>
      <c r="D79" s="2">
        <v>15405.33</v>
      </c>
      <c r="E79" s="2">
        <v>25068.31</v>
      </c>
    </row>
    <row r="80" spans="1:5" ht="15" customHeight="1">
      <c r="A80" s="5" t="s">
        <v>522</v>
      </c>
      <c r="B80" s="9">
        <v>-13139.64</v>
      </c>
      <c r="C80" s="3">
        <v>88.22</v>
      </c>
      <c r="D80" s="8">
        <v>9522.34</v>
      </c>
      <c r="E80" s="2">
        <v>10913.71</v>
      </c>
    </row>
    <row r="81" spans="1:5" ht="15" customHeight="1">
      <c r="A81" s="5" t="s">
        <v>521</v>
      </c>
      <c r="B81" s="8">
        <v>6092.23</v>
      </c>
      <c r="C81" s="8">
        <v>7067.55</v>
      </c>
      <c r="D81" s="8">
        <v>7488.9</v>
      </c>
      <c r="E81" s="8">
        <v>6854.45</v>
      </c>
    </row>
    <row r="82" spans="1:5" ht="15" customHeight="1">
      <c r="A82" s="5" t="s">
        <v>520</v>
      </c>
      <c r="B82" s="2">
        <v>18932.34</v>
      </c>
      <c r="C82" s="2">
        <v>32501.52</v>
      </c>
      <c r="D82" s="2">
        <v>12799.45</v>
      </c>
      <c r="E82" s="2">
        <v>25904.05</v>
      </c>
    </row>
    <row r="83" spans="1:5" ht="15" customHeight="1">
      <c r="A83" s="5" t="s">
        <v>131</v>
      </c>
      <c r="B83" s="2">
        <v>19416.82</v>
      </c>
      <c r="C83" s="2">
        <v>27822.47</v>
      </c>
      <c r="D83" s="2">
        <v>13934.66</v>
      </c>
      <c r="E83" s="2">
        <v>24153.71</v>
      </c>
    </row>
    <row r="84" spans="1:5" ht="15" customHeight="1">
      <c r="A84" s="5" t="s">
        <v>120</v>
      </c>
      <c r="B84" s="2">
        <v>19416.82</v>
      </c>
      <c r="C84" s="2">
        <v>27822.47</v>
      </c>
      <c r="D84" s="2">
        <v>13934.66</v>
      </c>
      <c r="E84" s="2">
        <v>24153.71</v>
      </c>
    </row>
    <row r="85" spans="1:5" ht="15" customHeight="1">
      <c r="A85" s="5" t="s">
        <v>519</v>
      </c>
      <c r="B85" s="2">
        <v>0</v>
      </c>
      <c r="C85" s="2">
        <v>0</v>
      </c>
      <c r="D85" s="2">
        <v>0</v>
      </c>
      <c r="E85" s="2">
        <v>0</v>
      </c>
    </row>
  </sheetData>
  <pageMargins left="0.5" right="0.5" top="1" bottom="1" header="0.5" footer="0.75"/>
  <pageSetup fitToHeight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38EC6-C9C3-44ED-81EC-8659DB936653}">
  <sheetPr>
    <outlinePr summaryBelow="0"/>
  </sheetPr>
  <dimension ref="A1:P116"/>
  <sheetViews>
    <sheetView topLeftCell="A9" workbookViewId="0">
      <selection activeCell="F20" sqref="F20"/>
    </sheetView>
  </sheetViews>
  <sheetFormatPr baseColWidth="10" defaultColWidth="8.83984375" defaultRowHeight="14.4"/>
  <cols>
    <col min="1" max="1" width="42.83984375" bestFit="1" customWidth="1"/>
    <col min="2" max="11" width="19.26171875" bestFit="1" customWidth="1"/>
  </cols>
  <sheetData>
    <row r="1" spans="1:16">
      <c r="A1" s="185" t="s">
        <v>988</v>
      </c>
      <c r="B1" s="201" t="s">
        <v>987</v>
      </c>
      <c r="C1" s="201"/>
      <c r="D1" s="201"/>
      <c r="E1" s="201"/>
      <c r="F1" s="201"/>
    </row>
    <row r="2" spans="1:16">
      <c r="A2" s="185" t="s">
        <v>986</v>
      </c>
    </row>
    <row r="3" spans="1:16" ht="26.1">
      <c r="A3" s="185" t="s">
        <v>995</v>
      </c>
    </row>
    <row r="5" spans="1:16">
      <c r="A5" s="185" t="s">
        <v>0</v>
      </c>
      <c r="B5" s="202" t="s">
        <v>985</v>
      </c>
      <c r="C5" s="202"/>
      <c r="D5" s="202"/>
      <c r="E5" s="202"/>
      <c r="F5" s="202"/>
      <c r="G5" s="202"/>
      <c r="H5" s="202"/>
      <c r="I5" s="202"/>
      <c r="J5" s="202"/>
      <c r="K5" s="202"/>
      <c r="L5" s="202"/>
      <c r="M5" s="202"/>
      <c r="N5" s="202"/>
      <c r="O5" s="202"/>
      <c r="P5" s="202"/>
    </row>
    <row r="7" spans="1:16">
      <c r="A7" s="184" t="s">
        <v>1</v>
      </c>
      <c r="B7" s="183" t="s">
        <v>1</v>
      </c>
      <c r="C7" s="182" t="s">
        <v>1</v>
      </c>
      <c r="D7" s="182" t="s">
        <v>1</v>
      </c>
      <c r="E7" s="182" t="s">
        <v>1</v>
      </c>
      <c r="F7" s="181" t="s">
        <v>2</v>
      </c>
      <c r="G7" s="203" t="s">
        <v>984</v>
      </c>
      <c r="H7" s="203"/>
      <c r="I7" s="203"/>
      <c r="J7" s="203"/>
      <c r="K7" s="203"/>
    </row>
    <row r="8" spans="1:16">
      <c r="A8" s="180" t="s">
        <v>1</v>
      </c>
      <c r="B8" s="179" t="s">
        <v>983</v>
      </c>
      <c r="C8" s="179" t="s">
        <v>982</v>
      </c>
      <c r="D8" s="179" t="s">
        <v>3</v>
      </c>
      <c r="E8" s="179" t="s">
        <v>4</v>
      </c>
      <c r="F8" s="179" t="s">
        <v>5</v>
      </c>
      <c r="G8" s="178" t="s">
        <v>6</v>
      </c>
      <c r="H8" s="177" t="s">
        <v>7</v>
      </c>
      <c r="I8" s="177" t="s">
        <v>8</v>
      </c>
      <c r="J8" s="177" t="s">
        <v>9</v>
      </c>
      <c r="K8" s="177" t="s">
        <v>10</v>
      </c>
    </row>
    <row r="9" spans="1:16">
      <c r="A9" s="200" t="s">
        <v>11</v>
      </c>
      <c r="B9" s="200"/>
      <c r="C9" s="200"/>
      <c r="D9" s="200"/>
      <c r="E9" s="200"/>
      <c r="F9" s="200"/>
      <c r="G9" s="200"/>
      <c r="H9" s="200"/>
      <c r="I9" s="200"/>
      <c r="J9" s="200"/>
      <c r="K9" s="200"/>
    </row>
    <row r="10" spans="1:16">
      <c r="A10" s="172" t="s">
        <v>13</v>
      </c>
      <c r="B10" s="173">
        <v>52714.301700984797</v>
      </c>
      <c r="C10" s="173">
        <v>71300.2182184423</v>
      </c>
      <c r="D10" s="173">
        <v>100336.979632945</v>
      </c>
      <c r="E10" s="173">
        <v>119329.397940913</v>
      </c>
      <c r="F10" s="173">
        <v>121515.079453894</v>
      </c>
      <c r="G10" s="174">
        <v>133520.82855024599</v>
      </c>
      <c r="H10" s="173">
        <v>146117.51340364799</v>
      </c>
      <c r="I10" s="173">
        <v>159045.98778536299</v>
      </c>
      <c r="J10" s="173">
        <v>175284.89723170301</v>
      </c>
      <c r="K10" s="173">
        <v>180766.422336616</v>
      </c>
    </row>
    <row r="11" spans="1:16">
      <c r="A11" s="198" t="s">
        <v>981</v>
      </c>
      <c r="B11" s="198"/>
      <c r="C11" s="198"/>
      <c r="D11" s="198"/>
      <c r="E11" s="198"/>
      <c r="F11" s="198"/>
      <c r="G11" s="198"/>
      <c r="H11" s="198"/>
      <c r="I11" s="198"/>
      <c r="J11" s="198"/>
      <c r="K11" s="198"/>
    </row>
    <row r="12" spans="1:16">
      <c r="A12" s="176" t="s">
        <v>980</v>
      </c>
      <c r="B12" s="175">
        <v>3455.4051029543398</v>
      </c>
      <c r="C12" s="175">
        <v>5597.5828111011597</v>
      </c>
      <c r="D12" s="175">
        <v>8409.8030438674996</v>
      </c>
      <c r="E12" s="175">
        <v>10430.841539838901</v>
      </c>
      <c r="F12" s="175">
        <v>10799.434870188001</v>
      </c>
      <c r="G12" s="174">
        <v>11608.925040566201</v>
      </c>
      <c r="H12" s="175">
        <v>12973.317200089499</v>
      </c>
      <c r="I12" s="175">
        <v>14451.2965210944</v>
      </c>
      <c r="J12" s="175" t="s">
        <v>12</v>
      </c>
      <c r="K12" s="175" t="s">
        <v>12</v>
      </c>
    </row>
    <row r="13" spans="1:16">
      <c r="A13" s="176" t="s">
        <v>979</v>
      </c>
      <c r="B13" s="175">
        <v>45238.361683079696</v>
      </c>
      <c r="C13" s="175">
        <v>61003.804834377799</v>
      </c>
      <c r="D13" s="175">
        <v>86888.149059982097</v>
      </c>
      <c r="E13" s="175">
        <v>103986.822963295</v>
      </c>
      <c r="F13" s="175">
        <v>105993.733213966</v>
      </c>
      <c r="G13" s="174">
        <v>115709.41086056401</v>
      </c>
      <c r="H13" s="175">
        <v>125612.130707252</v>
      </c>
      <c r="I13" s="175">
        <v>137223.84642597401</v>
      </c>
      <c r="J13" s="175" t="s">
        <v>12</v>
      </c>
      <c r="K13" s="175" t="s">
        <v>12</v>
      </c>
    </row>
    <row r="14" spans="1:16">
      <c r="A14" s="176" t="s">
        <v>978</v>
      </c>
      <c r="B14" s="175">
        <v>3367.9778424350902</v>
      </c>
      <c r="C14" s="175">
        <v>3769.5837063563099</v>
      </c>
      <c r="D14" s="175">
        <v>4819.6900179050999</v>
      </c>
      <c r="E14" s="175">
        <v>4514.3240823634696</v>
      </c>
      <c r="F14" s="175">
        <v>4403.8160250671399</v>
      </c>
      <c r="G14" s="174">
        <v>4545.2605094561304</v>
      </c>
      <c r="H14" s="175">
        <v>4675.16086615936</v>
      </c>
      <c r="I14" s="175">
        <v>4847.7067074194301</v>
      </c>
      <c r="J14" s="175" t="s">
        <v>12</v>
      </c>
      <c r="K14" s="175" t="s">
        <v>12</v>
      </c>
    </row>
    <row r="15" spans="1:16">
      <c r="A15" s="176" t="s">
        <v>977</v>
      </c>
      <c r="B15" s="175">
        <v>652.55707251566696</v>
      </c>
      <c r="C15" s="175">
        <v>929.24686660698296</v>
      </c>
      <c r="D15" s="175">
        <v>676.61705461056397</v>
      </c>
      <c r="E15" s="175">
        <v>397.40935541629398</v>
      </c>
      <c r="F15" s="175">
        <v>318.09534467323198</v>
      </c>
      <c r="G15" s="174">
        <v>334.94432632050098</v>
      </c>
      <c r="H15" s="175">
        <v>356.43324753804802</v>
      </c>
      <c r="I15" s="175">
        <v>404.30361878916699</v>
      </c>
      <c r="J15" s="175" t="s">
        <v>12</v>
      </c>
      <c r="K15" s="175" t="s">
        <v>12</v>
      </c>
    </row>
    <row r="16" spans="1:16">
      <c r="A16" s="198" t="s">
        <v>975</v>
      </c>
      <c r="B16" s="198"/>
      <c r="C16" s="198"/>
      <c r="D16" s="198"/>
      <c r="E16" s="198"/>
      <c r="F16" s="198"/>
      <c r="G16" s="198"/>
      <c r="H16" s="198"/>
      <c r="I16" s="198"/>
      <c r="J16" s="198"/>
      <c r="K16" s="198"/>
    </row>
    <row r="17" spans="1:11">
      <c r="A17" s="176" t="s">
        <v>974</v>
      </c>
      <c r="B17" s="175">
        <v>3878.2732766338399</v>
      </c>
      <c r="C17" s="175">
        <v>4744.4326320501305</v>
      </c>
      <c r="D17" s="175">
        <v>6833.4545658012503</v>
      </c>
      <c r="E17" s="175">
        <v>8543.8115487914092</v>
      </c>
      <c r="F17" s="175">
        <v>9680.5058191584594</v>
      </c>
      <c r="G17" s="174">
        <v>13452.066546833001</v>
      </c>
      <c r="H17" s="175">
        <v>16160.3238417637</v>
      </c>
      <c r="I17" s="175">
        <v>19298.8255987019</v>
      </c>
      <c r="J17" s="175">
        <v>23636.414503133401</v>
      </c>
      <c r="K17" s="175">
        <v>20854.688898836201</v>
      </c>
    </row>
    <row r="18" spans="1:11">
      <c r="A18" s="176" t="s">
        <v>973</v>
      </c>
      <c r="B18" s="175" t="s">
        <v>12</v>
      </c>
      <c r="C18" s="175" t="s">
        <v>12</v>
      </c>
      <c r="D18" s="175" t="s">
        <v>12</v>
      </c>
      <c r="E18" s="175" t="s">
        <v>12</v>
      </c>
      <c r="F18" s="175" t="s">
        <v>12</v>
      </c>
      <c r="G18" s="174">
        <v>29264.7717099373</v>
      </c>
      <c r="H18" s="175">
        <v>30764.848645926599</v>
      </c>
      <c r="I18" s="175">
        <v>33111.493459042103</v>
      </c>
      <c r="J18" s="175">
        <v>29543.419874664301</v>
      </c>
      <c r="K18" s="175">
        <v>29337.231423455702</v>
      </c>
    </row>
    <row r="19" spans="1:11">
      <c r="A19" s="176" t="s">
        <v>972</v>
      </c>
      <c r="B19" s="175">
        <v>2082.1676365264102</v>
      </c>
      <c r="C19" s="175">
        <v>3110.0324529990999</v>
      </c>
      <c r="D19" s="175">
        <v>5211.78379588183</v>
      </c>
      <c r="E19" s="175">
        <v>6449.6139212175503</v>
      </c>
      <c r="F19" s="175">
        <v>7788.8596687556001</v>
      </c>
      <c r="G19" s="174">
        <v>13421.693151298099</v>
      </c>
      <c r="H19" s="175">
        <v>15769.9301868845</v>
      </c>
      <c r="I19" s="175">
        <v>18925.522854185299</v>
      </c>
      <c r="J19" s="175">
        <v>23405.956244404701</v>
      </c>
      <c r="K19" s="175">
        <v>25710.329006266798</v>
      </c>
    </row>
    <row r="20" spans="1:11">
      <c r="A20" s="176" t="s">
        <v>971</v>
      </c>
      <c r="B20" s="175">
        <v>3455.4051029543398</v>
      </c>
      <c r="C20" s="175">
        <v>5597.5828111011597</v>
      </c>
      <c r="D20" s="175">
        <v>8394.6956132497799</v>
      </c>
      <c r="E20" s="175">
        <v>10430.841539838901</v>
      </c>
      <c r="F20" s="175">
        <v>10799.434870188001</v>
      </c>
      <c r="G20" s="174">
        <v>14638.671875</v>
      </c>
      <c r="H20" s="175">
        <v>15857.5665048679</v>
      </c>
      <c r="I20" s="175">
        <v>17558.471351835298</v>
      </c>
      <c r="J20" s="175">
        <v>20365.4459489705</v>
      </c>
      <c r="K20" s="175">
        <v>19060.261862130701</v>
      </c>
    </row>
    <row r="21" spans="1:11">
      <c r="A21" s="176" t="s">
        <v>970</v>
      </c>
      <c r="B21" s="175">
        <v>2526.0183527305298</v>
      </c>
      <c r="C21" s="175">
        <v>3558.6392121754702</v>
      </c>
      <c r="D21" s="175">
        <v>4411.5096239928398</v>
      </c>
      <c r="E21" s="175">
        <v>6083.6783795881802</v>
      </c>
      <c r="F21" s="175">
        <v>7009.8478066248899</v>
      </c>
      <c r="G21" s="174">
        <v>8447.4224107542504</v>
      </c>
      <c r="H21" s="175">
        <v>9665.9902039503104</v>
      </c>
      <c r="I21" s="175">
        <v>11189.865587231399</v>
      </c>
      <c r="J21" s="175">
        <v>11961.0284243509</v>
      </c>
      <c r="K21" s="175">
        <v>13423.9312891674</v>
      </c>
    </row>
    <row r="22" spans="1:11">
      <c r="A22" s="176" t="s">
        <v>969</v>
      </c>
      <c r="B22" s="175">
        <v>3367.9778424350902</v>
      </c>
      <c r="C22" s="175">
        <v>3769.5837063563099</v>
      </c>
      <c r="D22" s="175">
        <v>4362.4104744852302</v>
      </c>
      <c r="E22" s="175">
        <v>4514.3240823634696</v>
      </c>
      <c r="F22" s="175">
        <v>4403.8160250671399</v>
      </c>
      <c r="G22" s="174">
        <v>3167.65576040734</v>
      </c>
      <c r="H22" s="175">
        <v>3476.6873964861202</v>
      </c>
      <c r="I22" s="175">
        <v>3709.08404207699</v>
      </c>
      <c r="J22" s="175">
        <v>3695.9349820949001</v>
      </c>
      <c r="K22" s="175">
        <v>3466.4559086839799</v>
      </c>
    </row>
    <row r="23" spans="1:11">
      <c r="A23" s="176" t="s">
        <v>968</v>
      </c>
      <c r="B23" s="175" t="s">
        <v>12</v>
      </c>
      <c r="C23" s="175" t="s">
        <v>12</v>
      </c>
      <c r="D23" s="175" t="s">
        <v>12</v>
      </c>
      <c r="E23" s="175" t="s">
        <v>12</v>
      </c>
      <c r="F23" s="175" t="s">
        <v>12</v>
      </c>
      <c r="G23" s="174">
        <v>-9663.9062961615891</v>
      </c>
      <c r="H23" s="175">
        <v>-10564.3604521039</v>
      </c>
      <c r="I23" s="175">
        <v>-11512.141897940901</v>
      </c>
      <c r="J23" s="175">
        <v>-13126.5387197851</v>
      </c>
      <c r="K23" s="175">
        <v>-13127.517905103001</v>
      </c>
    </row>
    <row r="24" spans="1:11">
      <c r="A24" s="176" t="s">
        <v>967</v>
      </c>
      <c r="B24" s="175">
        <v>652.55707251566696</v>
      </c>
      <c r="C24" s="175">
        <v>929.24686660698296</v>
      </c>
      <c r="D24" s="175">
        <v>676.61705461056397</v>
      </c>
      <c r="E24" s="175">
        <v>397.40935541629398</v>
      </c>
      <c r="F24" s="175">
        <v>318.09534467323198</v>
      </c>
      <c r="G24" s="174" t="s">
        <v>12</v>
      </c>
      <c r="H24" s="175" t="s">
        <v>12</v>
      </c>
      <c r="I24" s="175" t="s">
        <v>12</v>
      </c>
      <c r="J24" s="175" t="s">
        <v>12</v>
      </c>
      <c r="K24" s="175" t="s">
        <v>12</v>
      </c>
    </row>
    <row r="25" spans="1:11">
      <c r="A25" s="176" t="s">
        <v>966</v>
      </c>
      <c r="B25" s="175">
        <v>36034.439346463703</v>
      </c>
      <c r="C25" s="175">
        <v>48284.607206803899</v>
      </c>
      <c r="D25" s="175">
        <v>68263.904431513001</v>
      </c>
      <c r="E25" s="175">
        <v>82909.7191136974</v>
      </c>
      <c r="F25" s="175">
        <v>81514.519919426995</v>
      </c>
      <c r="G25" s="174">
        <v>65553.472844393502</v>
      </c>
      <c r="H25" s="175">
        <v>67920.942083986098</v>
      </c>
      <c r="I25" s="175">
        <v>71400.810081412303</v>
      </c>
      <c r="J25" s="175">
        <v>74250.853290062703</v>
      </c>
      <c r="K25" s="175">
        <v>81792.328782452998</v>
      </c>
    </row>
    <row r="26" spans="1:11">
      <c r="A26" s="176" t="s">
        <v>965</v>
      </c>
      <c r="B26" s="175" t="s">
        <v>12</v>
      </c>
      <c r="C26" s="175" t="s">
        <v>12</v>
      </c>
      <c r="D26" s="175" t="s">
        <v>12</v>
      </c>
      <c r="E26" s="175" t="s">
        <v>12</v>
      </c>
      <c r="F26" s="175" t="s">
        <v>12</v>
      </c>
      <c r="G26" s="174">
        <v>148.43983185989299</v>
      </c>
      <c r="H26" s="175">
        <v>204.314010743062</v>
      </c>
      <c r="I26" s="175">
        <v>355.97582811101199</v>
      </c>
      <c r="J26" s="175">
        <v>189.54230080573001</v>
      </c>
      <c r="K26" s="175">
        <v>248.85295434198699</v>
      </c>
    </row>
    <row r="27" spans="1:11">
      <c r="A27" s="199" t="s">
        <v>1</v>
      </c>
      <c r="B27" s="199"/>
      <c r="C27" s="199"/>
      <c r="D27" s="199"/>
      <c r="E27" s="199"/>
      <c r="F27" s="199"/>
      <c r="G27" s="199"/>
      <c r="H27" s="199"/>
      <c r="I27" s="199"/>
      <c r="J27" s="199"/>
      <c r="K27" s="199"/>
    </row>
    <row r="28" spans="1:11">
      <c r="A28" s="172" t="s">
        <v>14</v>
      </c>
      <c r="B28" s="173">
        <v>27698.914503133401</v>
      </c>
      <c r="C28" s="173">
        <v>38474.289391226499</v>
      </c>
      <c r="D28" s="173">
        <v>57349.625111906898</v>
      </c>
      <c r="E28" s="173">
        <v>74659.383393016993</v>
      </c>
      <c r="F28" s="173">
        <v>76094.589301700995</v>
      </c>
      <c r="G28" s="174">
        <v>83091.605760407299</v>
      </c>
      <c r="H28" s="173">
        <v>90509.032304722496</v>
      </c>
      <c r="I28" s="173">
        <v>98816.441769248006</v>
      </c>
      <c r="J28" s="173">
        <v>107865.775328727</v>
      </c>
      <c r="K28" s="173">
        <v>112058.387421665</v>
      </c>
    </row>
    <row r="29" spans="1:11">
      <c r="A29" s="172" t="s">
        <v>15</v>
      </c>
      <c r="B29" s="173">
        <v>25015.3871978514</v>
      </c>
      <c r="C29" s="173">
        <v>32825.928827215801</v>
      </c>
      <c r="D29" s="173">
        <v>42987.354521038498</v>
      </c>
      <c r="E29" s="173">
        <v>44670.014547896099</v>
      </c>
      <c r="F29" s="173">
        <v>45420.490152193401</v>
      </c>
      <c r="G29" s="174">
        <v>50528.658973534002</v>
      </c>
      <c r="H29" s="173">
        <v>55420.130451264602</v>
      </c>
      <c r="I29" s="173">
        <v>61016.211435485697</v>
      </c>
      <c r="J29" s="173">
        <v>75250.041965085096</v>
      </c>
      <c r="K29" s="173">
        <v>68708.034914950797</v>
      </c>
    </row>
    <row r="30" spans="1:11">
      <c r="A30" s="172" t="s">
        <v>16</v>
      </c>
      <c r="B30" s="170">
        <v>0.47450000000000003</v>
      </c>
      <c r="C30" s="170">
        <v>0.46039999999999998</v>
      </c>
      <c r="D30" s="170">
        <v>0.42840000000000006</v>
      </c>
      <c r="E30" s="170">
        <v>0.37430000000000002</v>
      </c>
      <c r="F30" s="170">
        <v>0.37390000000000001</v>
      </c>
      <c r="G30" s="171">
        <v>0.37866520000000004</v>
      </c>
      <c r="H30" s="170">
        <v>0.3809091</v>
      </c>
      <c r="I30" s="170">
        <v>0.38871329999999998</v>
      </c>
      <c r="J30" s="170">
        <v>0.3735</v>
      </c>
      <c r="K30" s="170">
        <v>0.38</v>
      </c>
    </row>
    <row r="31" spans="1:11">
      <c r="A31" s="199" t="s">
        <v>1</v>
      </c>
      <c r="B31" s="199"/>
      <c r="C31" s="199"/>
      <c r="D31" s="199"/>
      <c r="E31" s="199"/>
      <c r="F31" s="199"/>
      <c r="G31" s="199"/>
      <c r="H31" s="199"/>
      <c r="I31" s="199"/>
      <c r="J31" s="199"/>
      <c r="K31" s="199"/>
    </row>
    <row r="32" spans="1:11">
      <c r="A32" s="172" t="s">
        <v>17</v>
      </c>
      <c r="B32" s="173">
        <v>3085.41293643688</v>
      </c>
      <c r="C32" s="173">
        <v>4116.2153088630303</v>
      </c>
      <c r="D32" s="173">
        <v>5002.51790510295</v>
      </c>
      <c r="E32" s="173">
        <v>6215.0290957922998</v>
      </c>
      <c r="F32" s="173">
        <v>6047.1687555953404</v>
      </c>
      <c r="G32" s="174">
        <v>7492.6017107766302</v>
      </c>
      <c r="H32" s="173">
        <v>8630.5476191808393</v>
      </c>
      <c r="I32" s="173">
        <v>9829.3419874664305</v>
      </c>
      <c r="J32" s="173">
        <v>12429.5685989257</v>
      </c>
      <c r="K32" s="173">
        <v>10148.696284691099</v>
      </c>
    </row>
    <row r="33" spans="1:11">
      <c r="A33" s="172" t="s">
        <v>18</v>
      </c>
      <c r="B33" s="173">
        <v>4947.5436436884502</v>
      </c>
      <c r="C33" s="173">
        <v>6552.5682632050102</v>
      </c>
      <c r="D33" s="173">
        <v>10658.572068039401</v>
      </c>
      <c r="E33" s="173">
        <v>16757.917412712599</v>
      </c>
      <c r="F33" s="173">
        <v>13958.426589077901</v>
      </c>
      <c r="G33" s="174">
        <v>16072.6084993286</v>
      </c>
      <c r="H33" s="173">
        <v>17437.432057128499</v>
      </c>
      <c r="I33" s="173">
        <v>19175.439880819202</v>
      </c>
      <c r="J33" s="173">
        <v>18845.260743061801</v>
      </c>
      <c r="K33" s="173">
        <v>21370.020143240799</v>
      </c>
    </row>
    <row r="34" spans="1:11">
      <c r="A34" s="172" t="s">
        <v>19</v>
      </c>
      <c r="B34" s="173">
        <v>2252.40599820949</v>
      </c>
      <c r="C34" s="173">
        <v>2974.06557743957</v>
      </c>
      <c r="D34" s="173">
        <v>6032.4809758281099</v>
      </c>
      <c r="E34" s="173">
        <v>4465.3648164726901</v>
      </c>
      <c r="F34" s="173">
        <v>4796.0496866607</v>
      </c>
      <c r="G34" s="174">
        <v>5348.6154067815596</v>
      </c>
      <c r="H34" s="173">
        <v>6036.50429582587</v>
      </c>
      <c r="I34" s="173">
        <v>6993.03845820278</v>
      </c>
      <c r="J34" s="173">
        <v>13016.8699641898</v>
      </c>
      <c r="K34" s="173">
        <v>6662.5167860340198</v>
      </c>
    </row>
    <row r="35" spans="1:11">
      <c r="A35" s="172" t="s">
        <v>20</v>
      </c>
      <c r="B35" s="173">
        <v>7199.9496418979397</v>
      </c>
      <c r="C35" s="173">
        <v>9526.6338406445793</v>
      </c>
      <c r="D35" s="173">
        <v>16691.053043867501</v>
      </c>
      <c r="E35" s="173">
        <v>7470.76432408236</v>
      </c>
      <c r="F35" s="173">
        <v>8008.8965980304401</v>
      </c>
      <c r="G35" s="174">
        <v>21482.952849429301</v>
      </c>
      <c r="H35" s="173">
        <v>25547.621045490199</v>
      </c>
      <c r="I35" s="173">
        <v>29038.405047000899</v>
      </c>
      <c r="J35" s="173" t="s">
        <v>12</v>
      </c>
      <c r="K35" s="173" t="s">
        <v>12</v>
      </c>
    </row>
    <row r="36" spans="1:11">
      <c r="A36" s="172" t="s">
        <v>21</v>
      </c>
      <c r="B36" s="173">
        <v>5244.3766786034003</v>
      </c>
      <c r="C36" s="173">
        <v>4440.1857654431496</v>
      </c>
      <c r="D36" s="173">
        <v>7010.9668755595303</v>
      </c>
      <c r="E36" s="173">
        <v>3353.1501790510301</v>
      </c>
      <c r="F36" s="173">
        <v>4312.7517905103005</v>
      </c>
      <c r="G36" s="174">
        <v>2906.9773948075199</v>
      </c>
      <c r="H36" s="173">
        <v>3608.5465784467301</v>
      </c>
      <c r="I36" s="173">
        <v>4224.11220484557</v>
      </c>
      <c r="J36" s="173">
        <v>4279.1797224708998</v>
      </c>
      <c r="K36" s="173">
        <v>4493.2016562220197</v>
      </c>
    </row>
    <row r="37" spans="1:11">
      <c r="A37" s="172" t="s">
        <v>22</v>
      </c>
      <c r="B37" s="173">
        <v>10285.3625783348</v>
      </c>
      <c r="C37" s="173">
        <v>13642.8491495076</v>
      </c>
      <c r="D37" s="173">
        <v>19143.772381378702</v>
      </c>
      <c r="E37" s="173">
        <v>26429.610564010702</v>
      </c>
      <c r="F37" s="173">
        <v>24730.164503133401</v>
      </c>
      <c r="G37" s="174">
        <v>33569.943556960599</v>
      </c>
      <c r="H37" s="173">
        <v>37101.213789726899</v>
      </c>
      <c r="I37" s="173">
        <v>36483.920378245297</v>
      </c>
      <c r="J37" s="173">
        <v>36955.712846911403</v>
      </c>
      <c r="K37" s="173">
        <v>39078.027081468201</v>
      </c>
    </row>
    <row r="38" spans="1:11">
      <c r="A38" s="199" t="s">
        <v>1</v>
      </c>
      <c r="B38" s="199"/>
      <c r="C38" s="199"/>
      <c r="D38" s="199"/>
      <c r="E38" s="199"/>
      <c r="F38" s="199"/>
      <c r="G38" s="199"/>
      <c r="H38" s="199"/>
      <c r="I38" s="199"/>
      <c r="J38" s="199"/>
      <c r="K38" s="199"/>
    </row>
    <row r="39" spans="1:11">
      <c r="A39" s="172" t="s">
        <v>23</v>
      </c>
      <c r="B39" s="173">
        <v>17057.827887197898</v>
      </c>
      <c r="C39" s="173">
        <v>22053.911145926599</v>
      </c>
      <c r="D39" s="173">
        <v>27534.970904207701</v>
      </c>
      <c r="E39" s="173">
        <v>22130.287600716201</v>
      </c>
      <c r="F39" s="173">
        <v>24578.950313339301</v>
      </c>
      <c r="G39" s="174">
        <v>28662.389424798599</v>
      </c>
      <c r="H39" s="173">
        <v>31520.603765667001</v>
      </c>
      <c r="I39" s="173">
        <v>34713.165825033597</v>
      </c>
      <c r="J39" s="173">
        <v>40842.169315129802</v>
      </c>
      <c r="K39" s="173">
        <v>41297.140778872003</v>
      </c>
    </row>
    <row r="40" spans="1:11">
      <c r="A40" s="172" t="s">
        <v>24</v>
      </c>
      <c r="B40" s="173">
        <v>6.5031893464637403</v>
      </c>
      <c r="C40" s="173">
        <v>8.2657229185317806</v>
      </c>
      <c r="D40" s="173">
        <v>10.021262309758299</v>
      </c>
      <c r="E40" s="173" t="s">
        <v>12</v>
      </c>
      <c r="F40" s="173">
        <v>9.3120523724261393</v>
      </c>
      <c r="G40" s="174">
        <v>11.124944046553299</v>
      </c>
      <c r="H40" s="173">
        <v>11.906893464637401</v>
      </c>
      <c r="I40" s="173">
        <v>13.0469449418084</v>
      </c>
      <c r="J40" s="173" t="s">
        <v>12</v>
      </c>
      <c r="K40" s="173" t="s">
        <v>12</v>
      </c>
    </row>
    <row r="41" spans="1:11">
      <c r="A41" s="172" t="s">
        <v>25</v>
      </c>
      <c r="B41" s="173">
        <v>3593.4702327663399</v>
      </c>
      <c r="C41" s="173">
        <v>5934.84221128022</v>
      </c>
      <c r="D41" s="173">
        <v>5429.7224709042102</v>
      </c>
      <c r="E41" s="173">
        <v>5519.10810205909</v>
      </c>
      <c r="F41" s="173">
        <v>6959.0700537153098</v>
      </c>
      <c r="G41" s="174">
        <v>5031.75358102059</v>
      </c>
      <c r="H41" s="173">
        <v>5259.5746223142396</v>
      </c>
      <c r="I41" s="173">
        <v>5432.1504504252498</v>
      </c>
      <c r="J41" s="173">
        <v>7716.0073480863903</v>
      </c>
      <c r="K41" s="173">
        <v>4866.0614368845099</v>
      </c>
    </row>
    <row r="42" spans="1:11">
      <c r="A42" s="172" t="s">
        <v>26</v>
      </c>
      <c r="B42" s="173">
        <v>2092.9386750223798</v>
      </c>
      <c r="C42" s="173">
        <v>2870.83146821844</v>
      </c>
      <c r="D42" s="173">
        <v>3691.3887645478999</v>
      </c>
      <c r="E42" s="173">
        <v>3889.8836168307998</v>
      </c>
      <c r="F42" s="173">
        <v>3888.6246642793199</v>
      </c>
      <c r="G42" s="174">
        <v>4058.5238389659798</v>
      </c>
      <c r="H42" s="173">
        <v>4314.2076054722502</v>
      </c>
      <c r="I42" s="173">
        <v>4787.3133714749301</v>
      </c>
      <c r="J42" s="173">
        <v>5463.6154319606103</v>
      </c>
      <c r="K42" s="173">
        <v>5829.7896150402903</v>
      </c>
    </row>
    <row r="43" spans="1:11">
      <c r="A43" s="172" t="s">
        <v>27</v>
      </c>
      <c r="B43" s="173">
        <v>14964.8892121755</v>
      </c>
      <c r="C43" s="173">
        <v>19183.079677708101</v>
      </c>
      <c r="D43" s="173">
        <v>23843.5821396598</v>
      </c>
      <c r="E43" s="173">
        <v>18240.403983885401</v>
      </c>
      <c r="F43" s="173">
        <v>20690.32564906</v>
      </c>
      <c r="G43" s="174">
        <v>25028.816025067099</v>
      </c>
      <c r="H43" s="173">
        <v>27770.147545042499</v>
      </c>
      <c r="I43" s="173">
        <v>31033.273650123101</v>
      </c>
      <c r="J43" s="173">
        <v>38006.378692927501</v>
      </c>
      <c r="K43" s="173" t="s">
        <v>12</v>
      </c>
    </row>
    <row r="44" spans="1:11">
      <c r="A44" s="172" t="s">
        <v>28</v>
      </c>
      <c r="B44" s="173">
        <v>1500.5315577439601</v>
      </c>
      <c r="C44" s="173">
        <v>3064.01074306177</v>
      </c>
      <c r="D44" s="173">
        <v>3010.2954341987502</v>
      </c>
      <c r="E44" s="173">
        <v>2833.62242614145</v>
      </c>
      <c r="F44" s="173">
        <v>3070.4453894359899</v>
      </c>
      <c r="G44" s="174">
        <v>1730.8099667076999</v>
      </c>
      <c r="H44" s="173">
        <v>1891.88287684646</v>
      </c>
      <c r="I44" s="173">
        <v>2067.4767485452098</v>
      </c>
      <c r="J44" s="173">
        <v>1760.94659243509</v>
      </c>
      <c r="K44" s="173">
        <v>1865.20814682184</v>
      </c>
    </row>
    <row r="45" spans="1:11">
      <c r="A45" s="199" t="s">
        <v>1</v>
      </c>
      <c r="B45" s="199"/>
      <c r="C45" s="199"/>
      <c r="D45" s="199"/>
      <c r="E45" s="199"/>
      <c r="F45" s="199"/>
      <c r="G45" s="199"/>
      <c r="H45" s="199"/>
      <c r="I45" s="199"/>
      <c r="J45" s="199"/>
      <c r="K45" s="199"/>
    </row>
    <row r="46" spans="1:11">
      <c r="A46" s="172" t="s">
        <v>29</v>
      </c>
      <c r="B46" s="173">
        <v>14964.8892121755</v>
      </c>
      <c r="C46" s="173">
        <v>19183.079677708101</v>
      </c>
      <c r="D46" s="173">
        <v>23843.5821396598</v>
      </c>
      <c r="E46" s="173">
        <v>18240.403983885401</v>
      </c>
      <c r="F46" s="173">
        <v>20690.32564906</v>
      </c>
      <c r="G46" s="174">
        <v>23506.479314010699</v>
      </c>
      <c r="H46" s="173">
        <v>25478.589633225201</v>
      </c>
      <c r="I46" s="173">
        <v>26311.580051197401</v>
      </c>
      <c r="J46" s="173">
        <v>32125.741383169199</v>
      </c>
      <c r="K46" s="173">
        <v>35020.003357206799</v>
      </c>
    </row>
    <row r="47" spans="1:11">
      <c r="A47" s="198" t="s">
        <v>981</v>
      </c>
      <c r="B47" s="198"/>
      <c r="C47" s="198"/>
      <c r="D47" s="198"/>
      <c r="E47" s="198"/>
      <c r="F47" s="198"/>
      <c r="G47" s="198"/>
      <c r="H47" s="198"/>
      <c r="I47" s="198"/>
      <c r="J47" s="198"/>
      <c r="K47" s="198"/>
    </row>
    <row r="48" spans="1:11">
      <c r="A48" s="176" t="s">
        <v>980</v>
      </c>
      <c r="B48" s="175" t="s">
        <v>12</v>
      </c>
      <c r="C48" s="175" t="s">
        <v>12</v>
      </c>
      <c r="D48" s="175">
        <v>-23.2206803939123</v>
      </c>
      <c r="E48" s="175">
        <v>160.30662488809301</v>
      </c>
      <c r="F48" s="175">
        <v>198.914503133393</v>
      </c>
      <c r="G48" s="174" t="s">
        <v>12</v>
      </c>
      <c r="H48" s="175" t="s">
        <v>12</v>
      </c>
      <c r="I48" s="175" t="s">
        <v>12</v>
      </c>
      <c r="J48" s="175" t="s">
        <v>12</v>
      </c>
      <c r="K48" s="175" t="s">
        <v>12</v>
      </c>
    </row>
    <row r="49" spans="1:11">
      <c r="A49" s="176" t="s">
        <v>979</v>
      </c>
      <c r="B49" s="175" t="s">
        <v>12</v>
      </c>
      <c r="C49" s="175" t="s">
        <v>12</v>
      </c>
      <c r="D49" s="175">
        <v>27209.0420769919</v>
      </c>
      <c r="E49" s="175">
        <v>21240.627797672299</v>
      </c>
      <c r="F49" s="175">
        <v>23057.0165622202</v>
      </c>
      <c r="G49" s="174" t="s">
        <v>12</v>
      </c>
      <c r="H49" s="175" t="s">
        <v>12</v>
      </c>
      <c r="I49" s="175" t="s">
        <v>12</v>
      </c>
      <c r="J49" s="175" t="s">
        <v>12</v>
      </c>
      <c r="K49" s="175" t="s">
        <v>12</v>
      </c>
    </row>
    <row r="50" spans="1:11">
      <c r="A50" s="176" t="s">
        <v>978</v>
      </c>
      <c r="B50" s="175" t="s">
        <v>12</v>
      </c>
      <c r="C50" s="175" t="s">
        <v>12</v>
      </c>
      <c r="D50" s="175">
        <v>-855.80796777081503</v>
      </c>
      <c r="E50" s="175">
        <v>-656.05416293643702</v>
      </c>
      <c r="F50" s="175">
        <v>-262.141897940913</v>
      </c>
      <c r="G50" s="174" t="s">
        <v>12</v>
      </c>
      <c r="H50" s="175" t="s">
        <v>12</v>
      </c>
      <c r="I50" s="175" t="s">
        <v>12</v>
      </c>
      <c r="J50" s="175" t="s">
        <v>12</v>
      </c>
      <c r="K50" s="175" t="s">
        <v>12</v>
      </c>
    </row>
    <row r="51" spans="1:11">
      <c r="A51" s="176" t="s">
        <v>977</v>
      </c>
      <c r="B51" s="175" t="s">
        <v>12</v>
      </c>
      <c r="C51" s="175" t="s">
        <v>12</v>
      </c>
      <c r="D51" s="175">
        <v>-1434.78625783348</v>
      </c>
      <c r="E51" s="175">
        <v>-997.23030438675005</v>
      </c>
      <c r="F51" s="175">
        <v>-966.17614145031303</v>
      </c>
      <c r="G51" s="174" t="s">
        <v>12</v>
      </c>
      <c r="H51" s="175" t="s">
        <v>12</v>
      </c>
      <c r="I51" s="175" t="s">
        <v>12</v>
      </c>
      <c r="J51" s="175" t="s">
        <v>12</v>
      </c>
      <c r="K51" s="175" t="s">
        <v>12</v>
      </c>
    </row>
    <row r="52" spans="1:11">
      <c r="A52" s="176" t="s">
        <v>976</v>
      </c>
      <c r="B52" s="175" t="s">
        <v>12</v>
      </c>
      <c r="C52" s="175" t="s">
        <v>12</v>
      </c>
      <c r="D52" s="175">
        <v>-1051.6450313339301</v>
      </c>
      <c r="E52" s="175">
        <v>-1232.79431512981</v>
      </c>
      <c r="F52" s="175">
        <v>-1337.28737690242</v>
      </c>
      <c r="G52" s="174" t="s">
        <v>12</v>
      </c>
      <c r="H52" s="175" t="s">
        <v>12</v>
      </c>
      <c r="I52" s="175" t="s">
        <v>12</v>
      </c>
      <c r="J52" s="175" t="s">
        <v>12</v>
      </c>
      <c r="K52" s="175" t="s">
        <v>12</v>
      </c>
    </row>
    <row r="53" spans="1:11">
      <c r="A53" s="198" t="s">
        <v>975</v>
      </c>
      <c r="B53" s="198"/>
      <c r="C53" s="198"/>
      <c r="D53" s="198"/>
      <c r="E53" s="198"/>
      <c r="F53" s="198"/>
      <c r="G53" s="198"/>
      <c r="H53" s="198"/>
      <c r="I53" s="198"/>
      <c r="J53" s="198"/>
      <c r="K53" s="198"/>
    </row>
    <row r="54" spans="1:11">
      <c r="A54" s="176" t="s">
        <v>974</v>
      </c>
      <c r="B54" s="175" t="s">
        <v>12</v>
      </c>
      <c r="C54" s="175" t="s">
        <v>12</v>
      </c>
      <c r="D54" s="175" t="s">
        <v>12</v>
      </c>
      <c r="E54" s="175">
        <v>-1257.6935989256899</v>
      </c>
      <c r="F54" s="175">
        <v>-786.14592658907804</v>
      </c>
      <c r="G54" s="174">
        <v>-284.24350940017899</v>
      </c>
      <c r="H54" s="175">
        <v>-280.641506266786</v>
      </c>
      <c r="I54" s="175">
        <v>16.9259176365264</v>
      </c>
      <c r="J54" s="175">
        <v>993.17367949865695</v>
      </c>
      <c r="K54" s="175" t="s">
        <v>12</v>
      </c>
    </row>
    <row r="55" spans="1:11">
      <c r="A55" s="176" t="s">
        <v>973</v>
      </c>
      <c r="B55" s="175" t="s">
        <v>12</v>
      </c>
      <c r="C55" s="175" t="s">
        <v>12</v>
      </c>
      <c r="D55" s="175" t="s">
        <v>12</v>
      </c>
      <c r="E55" s="175" t="s">
        <v>12</v>
      </c>
      <c r="F55" s="175" t="s">
        <v>12</v>
      </c>
      <c r="G55" s="174">
        <v>-597.19813115487898</v>
      </c>
      <c r="H55" s="175">
        <v>-604.34385211504002</v>
      </c>
      <c r="I55" s="175">
        <v>-431.05136526410001</v>
      </c>
      <c r="J55" s="175">
        <v>-545.54610564010704</v>
      </c>
      <c r="K55" s="175" t="s">
        <v>12</v>
      </c>
    </row>
    <row r="56" spans="1:11">
      <c r="A56" s="176" t="s">
        <v>972</v>
      </c>
      <c r="B56" s="175" t="s">
        <v>12</v>
      </c>
      <c r="C56" s="175" t="s">
        <v>12</v>
      </c>
      <c r="D56" s="175" t="s">
        <v>12</v>
      </c>
      <c r="E56" s="175">
        <v>-204.92949865711699</v>
      </c>
      <c r="F56" s="175">
        <v>-54.694494180841502</v>
      </c>
      <c r="G56" s="174">
        <v>285.72627573858603</v>
      </c>
      <c r="H56" s="175">
        <v>319.49418084154001</v>
      </c>
      <c r="I56" s="175">
        <v>456.76663635854999</v>
      </c>
      <c r="J56" s="175">
        <v>1021.15040286482</v>
      </c>
      <c r="K56" s="175" t="s">
        <v>12</v>
      </c>
    </row>
    <row r="57" spans="1:11">
      <c r="A57" s="176" t="s">
        <v>971</v>
      </c>
      <c r="B57" s="175" t="s">
        <v>12</v>
      </c>
      <c r="C57" s="175" t="s">
        <v>12</v>
      </c>
      <c r="D57" s="175">
        <v>-23.2206803939123</v>
      </c>
      <c r="E57" s="175">
        <v>160.30662488809301</v>
      </c>
      <c r="F57" s="175">
        <v>198.914503133393</v>
      </c>
      <c r="G57" s="174">
        <v>245.243957027753</v>
      </c>
      <c r="H57" s="175">
        <v>382.26695389435997</v>
      </c>
      <c r="I57" s="175">
        <v>704.45389435989296</v>
      </c>
      <c r="J57" s="175">
        <v>1986.34735899731</v>
      </c>
      <c r="K57" s="175" t="s">
        <v>12</v>
      </c>
    </row>
    <row r="58" spans="1:11">
      <c r="A58" s="176" t="s">
        <v>970</v>
      </c>
      <c r="B58" s="175" t="s">
        <v>12</v>
      </c>
      <c r="C58" s="175" t="s">
        <v>12</v>
      </c>
      <c r="D58" s="175" t="s">
        <v>12</v>
      </c>
      <c r="E58" s="175">
        <v>-3045.9657564906001</v>
      </c>
      <c r="F58" s="175">
        <v>-1961.3081915846001</v>
      </c>
      <c r="G58" s="174">
        <v>-1306.98858549687</v>
      </c>
      <c r="H58" s="175">
        <v>-1159.4603290062701</v>
      </c>
      <c r="I58" s="175">
        <v>-1085.1704719673201</v>
      </c>
      <c r="J58" s="175">
        <v>-671.44136078782503</v>
      </c>
      <c r="K58" s="175" t="s">
        <v>12</v>
      </c>
    </row>
    <row r="59" spans="1:11">
      <c r="A59" s="176" t="s">
        <v>969</v>
      </c>
      <c r="B59" s="175" t="s">
        <v>12</v>
      </c>
      <c r="C59" s="175" t="s">
        <v>12</v>
      </c>
      <c r="D59" s="175">
        <v>-855.80796777081503</v>
      </c>
      <c r="E59" s="175">
        <v>-656.05416293643702</v>
      </c>
      <c r="F59" s="175">
        <v>-262.141897940913</v>
      </c>
      <c r="G59" s="174">
        <v>-305.72963294538903</v>
      </c>
      <c r="H59" s="175">
        <v>-392.72325425246203</v>
      </c>
      <c r="I59" s="175">
        <v>-439.28118425470001</v>
      </c>
      <c r="J59" s="175">
        <v>-755.37153088630305</v>
      </c>
      <c r="K59" s="175" t="s">
        <v>12</v>
      </c>
    </row>
    <row r="60" spans="1:11">
      <c r="A60" s="176" t="s">
        <v>968</v>
      </c>
      <c r="B60" s="175" t="s">
        <v>12</v>
      </c>
      <c r="C60" s="175" t="s">
        <v>12</v>
      </c>
      <c r="D60" s="175" t="s">
        <v>12</v>
      </c>
      <c r="E60" s="175" t="s">
        <v>12</v>
      </c>
      <c r="F60" s="175" t="s">
        <v>12</v>
      </c>
      <c r="G60" s="174">
        <v>-272.563227394808</v>
      </c>
      <c r="H60" s="175">
        <v>-349.70904207699198</v>
      </c>
      <c r="I60" s="175">
        <v>-349.70904207699198</v>
      </c>
      <c r="J60" s="175" t="s">
        <v>12</v>
      </c>
      <c r="K60" s="175" t="s">
        <v>12</v>
      </c>
    </row>
    <row r="61" spans="1:11">
      <c r="A61" s="176" t="s">
        <v>967</v>
      </c>
      <c r="B61" s="175" t="s">
        <v>12</v>
      </c>
      <c r="C61" s="175" t="s">
        <v>12</v>
      </c>
      <c r="D61" s="175" t="s">
        <v>12</v>
      </c>
      <c r="E61" s="175" t="s">
        <v>12</v>
      </c>
      <c r="F61" s="175">
        <v>-966.17614145031303</v>
      </c>
      <c r="G61" s="174" t="s">
        <v>12</v>
      </c>
      <c r="H61" s="175" t="s">
        <v>12</v>
      </c>
      <c r="I61" s="175" t="s">
        <v>12</v>
      </c>
      <c r="J61" s="175" t="s">
        <v>12</v>
      </c>
      <c r="K61" s="175" t="s">
        <v>12</v>
      </c>
    </row>
    <row r="62" spans="1:11">
      <c r="A62" s="176" t="s">
        <v>966</v>
      </c>
      <c r="B62" s="175" t="s">
        <v>12</v>
      </c>
      <c r="C62" s="175" t="s">
        <v>12</v>
      </c>
      <c r="D62" s="175" t="s">
        <v>12</v>
      </c>
      <c r="E62" s="175">
        <v>25474.764995523699</v>
      </c>
      <c r="F62" s="175">
        <v>25859.165174574799</v>
      </c>
      <c r="G62" s="174" t="s">
        <v>12</v>
      </c>
      <c r="H62" s="175" t="s">
        <v>12</v>
      </c>
      <c r="I62" s="175" t="s">
        <v>12</v>
      </c>
      <c r="J62" s="175" t="s">
        <v>12</v>
      </c>
      <c r="K62" s="175" t="s">
        <v>12</v>
      </c>
    </row>
    <row r="63" spans="1:11">
      <c r="A63" s="176" t="s">
        <v>965</v>
      </c>
      <c r="B63" s="175" t="s">
        <v>12</v>
      </c>
      <c r="C63" s="175" t="s">
        <v>12</v>
      </c>
      <c r="D63" s="175">
        <v>-1051.6450313339301</v>
      </c>
      <c r="E63" s="175">
        <v>-1232.79431512981</v>
      </c>
      <c r="F63" s="175">
        <v>-1337.28737690242</v>
      </c>
      <c r="G63" s="174">
        <v>-1503.1194046553301</v>
      </c>
      <c r="H63" s="175">
        <v>-1398.83616830797</v>
      </c>
      <c r="I63" s="175">
        <v>-1398.83616830797</v>
      </c>
      <c r="J63" s="175" t="s">
        <v>12</v>
      </c>
      <c r="K63" s="175" t="s">
        <v>12</v>
      </c>
    </row>
    <row r="64" spans="1:11">
      <c r="A64" s="199" t="s">
        <v>1</v>
      </c>
      <c r="B64" s="199"/>
      <c r="C64" s="199"/>
      <c r="D64" s="199"/>
      <c r="E64" s="199"/>
      <c r="F64" s="199"/>
      <c r="G64" s="199"/>
      <c r="H64" s="199"/>
      <c r="I64" s="199"/>
      <c r="J64" s="199"/>
      <c r="K64" s="199"/>
    </row>
    <row r="65" spans="1:11">
      <c r="A65" s="172" t="s">
        <v>30</v>
      </c>
      <c r="B65" s="173">
        <v>725.99597135183501</v>
      </c>
      <c r="C65" s="173">
        <v>724.59713518352703</v>
      </c>
      <c r="D65" s="173">
        <v>626.11906893464595</v>
      </c>
      <c r="E65" s="173">
        <v>686.68867502238095</v>
      </c>
      <c r="F65" s="173">
        <v>827.83124440465497</v>
      </c>
      <c r="G65" s="174">
        <v>915.49444242390302</v>
      </c>
      <c r="H65" s="173">
        <v>958.98379168531801</v>
      </c>
      <c r="I65" s="173">
        <v>997.38767345568499</v>
      </c>
      <c r="J65" s="173">
        <v>1194.1864368845099</v>
      </c>
      <c r="K65" s="173">
        <v>989.53670546105604</v>
      </c>
    </row>
    <row r="66" spans="1:11">
      <c r="A66" s="172" t="s">
        <v>964</v>
      </c>
      <c r="B66" s="173" t="s">
        <v>12</v>
      </c>
      <c r="C66" s="173" t="s">
        <v>12</v>
      </c>
      <c r="D66" s="173" t="s">
        <v>12</v>
      </c>
      <c r="E66" s="173" t="s">
        <v>12</v>
      </c>
      <c r="F66" s="173" t="s">
        <v>12</v>
      </c>
      <c r="G66" s="174">
        <v>17739.6206356312</v>
      </c>
      <c r="H66" s="173">
        <v>17997.006490599801</v>
      </c>
      <c r="I66" s="173">
        <v>19718.833930170102</v>
      </c>
      <c r="J66" s="173" t="s">
        <v>12</v>
      </c>
      <c r="K66" s="173" t="s">
        <v>12</v>
      </c>
    </row>
    <row r="67" spans="1:11">
      <c r="A67" s="199" t="s">
        <v>1</v>
      </c>
      <c r="B67" s="199"/>
      <c r="C67" s="199"/>
      <c r="D67" s="199"/>
      <c r="E67" s="199"/>
      <c r="F67" s="199"/>
      <c r="G67" s="199"/>
      <c r="H67" s="199"/>
      <c r="I67" s="199"/>
      <c r="J67" s="199"/>
      <c r="K67" s="199"/>
    </row>
    <row r="68" spans="1:11">
      <c r="A68" s="172" t="s">
        <v>31</v>
      </c>
      <c r="B68" s="173">
        <v>15417.552596239901</v>
      </c>
      <c r="C68" s="173">
        <v>22549.6586839749</v>
      </c>
      <c r="D68" s="173">
        <v>27247.230304386801</v>
      </c>
      <c r="E68" s="173" t="s">
        <v>12</v>
      </c>
      <c r="F68" s="173">
        <v>24093.414279319601</v>
      </c>
      <c r="G68" s="174">
        <v>20207.705147717101</v>
      </c>
      <c r="H68" s="173">
        <v>22570.446852618599</v>
      </c>
      <c r="I68" s="173">
        <v>24712.939328278899</v>
      </c>
      <c r="J68" s="173">
        <v>31317.373545210401</v>
      </c>
      <c r="K68" s="173" t="s">
        <v>12</v>
      </c>
    </row>
    <row r="69" spans="1:11">
      <c r="A69" s="172" t="s">
        <v>32</v>
      </c>
      <c r="B69" s="173">
        <v>2315.4935094001798</v>
      </c>
      <c r="C69" s="173">
        <v>3216.0642345568499</v>
      </c>
      <c r="D69" s="173">
        <v>4166.2936436884502</v>
      </c>
      <c r="E69" s="173">
        <v>3750.9791853178199</v>
      </c>
      <c r="F69" s="173">
        <v>2175.0503581020598</v>
      </c>
      <c r="G69" s="174">
        <v>3472.2470904207698</v>
      </c>
      <c r="H69" s="173">
        <v>4275.4761372538096</v>
      </c>
      <c r="I69" s="173">
        <v>4759.5900207027798</v>
      </c>
      <c r="J69" s="173">
        <v>3848.9676589077899</v>
      </c>
      <c r="K69" s="173">
        <v>4949.0823634735898</v>
      </c>
    </row>
    <row r="70" spans="1:11">
      <c r="A70" s="172" t="s">
        <v>33</v>
      </c>
      <c r="B70" s="170">
        <v>0.17203109999999999</v>
      </c>
      <c r="C70" s="170">
        <v>0.1426</v>
      </c>
      <c r="D70" s="170">
        <v>0.15289999999999998</v>
      </c>
      <c r="E70" s="170">
        <v>0.45029389999999997</v>
      </c>
      <c r="F70" s="170">
        <v>0.15989020000000001</v>
      </c>
      <c r="G70" s="171">
        <v>0.16175</v>
      </c>
      <c r="H70" s="170">
        <v>0.1525714</v>
      </c>
      <c r="I70" s="170">
        <v>0.1368</v>
      </c>
      <c r="J70" s="170">
        <v>0.16</v>
      </c>
      <c r="K70" s="170">
        <v>0.16</v>
      </c>
    </row>
    <row r="71" spans="1:11">
      <c r="A71" s="199" t="s">
        <v>1</v>
      </c>
      <c r="B71" s="199"/>
      <c r="C71" s="199"/>
      <c r="D71" s="199"/>
      <c r="E71" s="199"/>
      <c r="F71" s="199"/>
      <c r="G71" s="199"/>
      <c r="H71" s="199"/>
      <c r="I71" s="199"/>
      <c r="J71" s="199"/>
      <c r="K71" s="199"/>
    </row>
    <row r="72" spans="1:11">
      <c r="A72" s="172" t="s">
        <v>34</v>
      </c>
      <c r="B72" s="173">
        <v>14090.616606983</v>
      </c>
      <c r="C72" s="173">
        <v>19771.7099373321</v>
      </c>
      <c r="D72" s="173">
        <v>25032.732766338399</v>
      </c>
      <c r="E72" s="173">
        <v>20075.3972694718</v>
      </c>
      <c r="F72" s="173">
        <v>20141.981871083299</v>
      </c>
      <c r="G72" s="174">
        <v>23771.014546497299</v>
      </c>
      <c r="H72" s="173">
        <v>25585.173345176801</v>
      </c>
      <c r="I72" s="173">
        <v>27799.771779879102</v>
      </c>
      <c r="J72" s="173">
        <v>31064.078097023299</v>
      </c>
      <c r="K72" s="173">
        <v>32516.7860340197</v>
      </c>
    </row>
    <row r="73" spans="1:11">
      <c r="A73" s="199" t="s">
        <v>1</v>
      </c>
      <c r="B73" s="199"/>
      <c r="C73" s="199"/>
      <c r="D73" s="199"/>
      <c r="E73" s="199"/>
      <c r="F73" s="199"/>
      <c r="G73" s="199"/>
      <c r="H73" s="199"/>
      <c r="I73" s="199"/>
      <c r="J73" s="199"/>
      <c r="K73" s="199"/>
    </row>
    <row r="74" spans="1:11">
      <c r="A74" s="172" t="s">
        <v>35</v>
      </c>
      <c r="B74" s="173">
        <v>5.3715308863026001</v>
      </c>
      <c r="C74" s="173">
        <v>7.4110340196956104</v>
      </c>
      <c r="D74" s="173">
        <v>9.1134176365264103</v>
      </c>
      <c r="E74" s="173">
        <v>7.3704677708146802</v>
      </c>
      <c r="F74" s="173">
        <v>7.6320501342882698</v>
      </c>
      <c r="G74" s="174">
        <v>9.2539992726051903</v>
      </c>
      <c r="H74" s="173">
        <v>10.0416741271262</v>
      </c>
      <c r="I74" s="173">
        <v>10.9182757945389</v>
      </c>
      <c r="J74" s="173">
        <v>11.392681289167401</v>
      </c>
      <c r="K74" s="173">
        <v>10.6801141450313</v>
      </c>
    </row>
    <row r="75" spans="1:11">
      <c r="A75" s="172" t="s">
        <v>36</v>
      </c>
      <c r="B75" s="173">
        <v>11578.586615935499</v>
      </c>
      <c r="C75" s="173">
        <v>23423.791405550601</v>
      </c>
      <c r="D75" s="173">
        <v>19482.2907341092</v>
      </c>
      <c r="E75" s="173">
        <v>20085.748657117299</v>
      </c>
      <c r="F75" s="173">
        <v>21534.6631602507</v>
      </c>
      <c r="G75" s="174">
        <v>21125.3437136303</v>
      </c>
      <c r="H75" s="173">
        <v>21536.038682016599</v>
      </c>
      <c r="I75" s="173">
        <v>20969.785138764499</v>
      </c>
      <c r="J75" s="173" t="s">
        <v>12</v>
      </c>
      <c r="K75" s="173" t="s">
        <v>12</v>
      </c>
    </row>
    <row r="76" spans="1:11">
      <c r="A76" s="172" t="s">
        <v>37</v>
      </c>
      <c r="B76" s="173">
        <v>13459.741495076099</v>
      </c>
      <c r="C76" s="173">
        <v>23310.905326768101</v>
      </c>
      <c r="D76" s="173">
        <v>23161.649507609702</v>
      </c>
      <c r="E76" s="173">
        <v>8330.0693822739504</v>
      </c>
      <c r="F76" s="173">
        <v>13603.401969561301</v>
      </c>
      <c r="G76" s="174">
        <v>20833.5124160698</v>
      </c>
      <c r="H76" s="173">
        <v>23349.580705852699</v>
      </c>
      <c r="I76" s="173">
        <v>26667.916993061801</v>
      </c>
      <c r="J76" s="173">
        <v>29214.9731423456</v>
      </c>
      <c r="K76" s="173">
        <v>31871.363025962401</v>
      </c>
    </row>
    <row r="77" spans="1:11">
      <c r="A77" s="172" t="s">
        <v>38</v>
      </c>
      <c r="B77" s="173">
        <v>12253.804834377799</v>
      </c>
      <c r="C77" s="173">
        <v>20879.448299015199</v>
      </c>
      <c r="D77" s="173">
        <v>21025.626678603399</v>
      </c>
      <c r="E77" s="173">
        <v>8667.0490152193397</v>
      </c>
      <c r="F77" s="173">
        <v>10142.821172784201</v>
      </c>
      <c r="G77" s="174">
        <v>17998.094418643701</v>
      </c>
      <c r="H77" s="173">
        <v>20714.528871978499</v>
      </c>
      <c r="I77" s="173">
        <v>22736.297210720699</v>
      </c>
      <c r="J77" s="173">
        <v>27210.968368117701</v>
      </c>
      <c r="K77" s="173">
        <v>27126.790510295399</v>
      </c>
    </row>
    <row r="78" spans="1:11">
      <c r="A78" s="172" t="s">
        <v>39</v>
      </c>
      <c r="B78" s="173">
        <v>4.6693151298120004</v>
      </c>
      <c r="C78" s="173">
        <v>7.8236906893464599</v>
      </c>
      <c r="D78" s="173">
        <v>7.6516338406445898</v>
      </c>
      <c r="E78" s="173">
        <v>3.1809534467323202</v>
      </c>
      <c r="F78" s="173">
        <v>3.84120411817368</v>
      </c>
      <c r="G78" s="174">
        <v>6.8281781557743901</v>
      </c>
      <c r="H78" s="173">
        <v>7.6990459937332103</v>
      </c>
      <c r="I78" s="173">
        <v>8.75366215308863</v>
      </c>
      <c r="J78" s="173">
        <v>9.2444885854968692</v>
      </c>
      <c r="K78" s="173">
        <v>8.9091875559534497</v>
      </c>
    </row>
    <row r="79" spans="1:11">
      <c r="A79" s="172" t="s">
        <v>40</v>
      </c>
      <c r="B79" s="173">
        <v>0</v>
      </c>
      <c r="C79" s="173">
        <v>0</v>
      </c>
      <c r="D79" s="173">
        <v>0</v>
      </c>
      <c r="E79" s="173">
        <v>0</v>
      </c>
      <c r="F79" s="173">
        <v>0</v>
      </c>
      <c r="G79" s="174">
        <v>0</v>
      </c>
      <c r="H79" s="173">
        <v>0</v>
      </c>
      <c r="I79" s="173">
        <v>0</v>
      </c>
      <c r="J79" s="173">
        <v>0</v>
      </c>
      <c r="K79" s="173">
        <v>0</v>
      </c>
    </row>
    <row r="80" spans="1:11">
      <c r="A80" s="172" t="s">
        <v>41</v>
      </c>
      <c r="B80" s="173">
        <v>2623</v>
      </c>
      <c r="C80" s="173">
        <v>2668.25</v>
      </c>
      <c r="D80" s="173">
        <v>2747.75</v>
      </c>
      <c r="E80" s="173">
        <v>2723.37</v>
      </c>
      <c r="F80" s="173">
        <v>2639.25</v>
      </c>
      <c r="G80" s="174">
        <v>2604.42857</v>
      </c>
      <c r="H80" s="173">
        <v>2591</v>
      </c>
      <c r="I80" s="173">
        <v>2731.5</v>
      </c>
      <c r="J80" s="173">
        <v>2995</v>
      </c>
      <c r="K80" s="173">
        <v>3045</v>
      </c>
    </row>
    <row r="81" spans="1:11">
      <c r="A81" s="172" t="s">
        <v>963</v>
      </c>
      <c r="B81" s="173" t="s">
        <v>12</v>
      </c>
      <c r="C81" s="173">
        <v>-10205.3491495076</v>
      </c>
      <c r="D81" s="173">
        <v>-10182.688003581001</v>
      </c>
      <c r="E81" s="173" t="s">
        <v>12</v>
      </c>
      <c r="F81" s="173" t="s">
        <v>12</v>
      </c>
      <c r="G81" s="174">
        <v>696.52319270367002</v>
      </c>
      <c r="H81" s="173">
        <v>1264.7227506714401</v>
      </c>
      <c r="I81" s="173">
        <v>1349.31736794987</v>
      </c>
      <c r="J81" s="173" t="s">
        <v>12</v>
      </c>
      <c r="K81" s="173" t="s">
        <v>12</v>
      </c>
    </row>
    <row r="82" spans="1:11">
      <c r="A82" s="172" t="s">
        <v>962</v>
      </c>
      <c r="B82" s="173" t="s">
        <v>12</v>
      </c>
      <c r="C82" s="173" t="s">
        <v>12</v>
      </c>
      <c r="D82" s="173">
        <v>10182.688003581001</v>
      </c>
      <c r="E82" s="173">
        <v>2196.4525514771699</v>
      </c>
      <c r="F82" s="173">
        <v>1548.65152193375</v>
      </c>
      <c r="G82" s="174">
        <v>876.75553939122699</v>
      </c>
      <c r="H82" s="173">
        <v>1391.4922784243499</v>
      </c>
      <c r="I82" s="173">
        <v>1606.17865935542</v>
      </c>
      <c r="J82" s="173" t="s">
        <v>12</v>
      </c>
      <c r="K82" s="173" t="s">
        <v>12</v>
      </c>
    </row>
    <row r="83" spans="1:11">
      <c r="A83" s="200" t="s">
        <v>42</v>
      </c>
      <c r="B83" s="200"/>
      <c r="C83" s="200"/>
      <c r="D83" s="200"/>
      <c r="E83" s="200"/>
      <c r="F83" s="200"/>
      <c r="G83" s="200"/>
      <c r="H83" s="200"/>
      <c r="I83" s="200"/>
      <c r="J83" s="200"/>
      <c r="K83" s="200"/>
    </row>
    <row r="84" spans="1:11">
      <c r="A84" s="172" t="s">
        <v>44</v>
      </c>
      <c r="B84" s="173" t="s">
        <v>12</v>
      </c>
      <c r="C84" s="173" t="s">
        <v>12</v>
      </c>
      <c r="D84" s="173" t="s">
        <v>12</v>
      </c>
      <c r="E84" s="173" t="s">
        <v>12</v>
      </c>
      <c r="F84" s="173" t="s">
        <v>12</v>
      </c>
      <c r="G84" s="174">
        <v>83295.862901465996</v>
      </c>
      <c r="H84" s="173">
        <v>89196.640983102101</v>
      </c>
      <c r="I84" s="173">
        <v>97884.298445893</v>
      </c>
      <c r="J84" s="173">
        <v>80712.846911369707</v>
      </c>
      <c r="K84" s="173">
        <v>83930.170098478106</v>
      </c>
    </row>
    <row r="85" spans="1:11">
      <c r="A85" s="172" t="s">
        <v>43</v>
      </c>
      <c r="B85" s="173">
        <v>26574.529991047399</v>
      </c>
      <c r="C85" s="173">
        <v>46231.9550134288</v>
      </c>
      <c r="D85" s="173">
        <v>44939.290510295403</v>
      </c>
      <c r="E85" s="173">
        <v>26563.6190689346</v>
      </c>
      <c r="F85" s="173">
        <v>27009.568039391201</v>
      </c>
      <c r="G85" s="174">
        <v>48221.837431457003</v>
      </c>
      <c r="H85" s="173">
        <v>66241.204651130305</v>
      </c>
      <c r="I85" s="173">
        <v>87202.913426029496</v>
      </c>
      <c r="J85" s="173">
        <v>123888.205013429</v>
      </c>
      <c r="K85" s="173">
        <v>148383.01533124401</v>
      </c>
    </row>
    <row r="86" spans="1:11">
      <c r="A86" s="172" t="s">
        <v>961</v>
      </c>
      <c r="B86" s="173">
        <v>0</v>
      </c>
      <c r="C86" s="173">
        <v>2078.5306624888099</v>
      </c>
      <c r="D86" s="173">
        <v>3896.87779767234</v>
      </c>
      <c r="E86" s="173">
        <v>4208.6783795881802</v>
      </c>
      <c r="F86" s="173">
        <v>0</v>
      </c>
      <c r="G86" s="174">
        <v>0</v>
      </c>
      <c r="H86" s="173">
        <v>0</v>
      </c>
      <c r="I86" s="173">
        <v>0</v>
      </c>
      <c r="J86" s="173">
        <v>5.5953446732318701</v>
      </c>
      <c r="K86" s="173">
        <v>6.0149955237242603</v>
      </c>
    </row>
    <row r="87" spans="1:11">
      <c r="A87" s="172" t="s">
        <v>45</v>
      </c>
      <c r="B87" s="173">
        <v>37806.764771709903</v>
      </c>
      <c r="C87" s="173">
        <v>64755.343554162901</v>
      </c>
      <c r="D87" s="173">
        <v>89995.523724261395</v>
      </c>
      <c r="E87" s="173">
        <v>89320.585273052799</v>
      </c>
      <c r="F87" s="173">
        <v>97634.008504923899</v>
      </c>
      <c r="G87" s="174">
        <v>116103.88923036</v>
      </c>
      <c r="H87" s="173">
        <v>137252.069499776</v>
      </c>
      <c r="I87" s="173">
        <v>164720.95370551699</v>
      </c>
      <c r="J87" s="173">
        <v>217936.01723366199</v>
      </c>
      <c r="K87" s="173">
        <v>253493.45344673199</v>
      </c>
    </row>
    <row r="88" spans="1:11">
      <c r="A88" s="172" t="s">
        <v>46</v>
      </c>
      <c r="B88" s="173">
        <v>134998.32139659801</v>
      </c>
      <c r="C88" s="173">
        <v>183665.09064458401</v>
      </c>
      <c r="D88" s="173">
        <v>236433.80707251601</v>
      </c>
      <c r="E88" s="173">
        <v>237180.08616830799</v>
      </c>
      <c r="F88" s="173">
        <v>245222.13518352699</v>
      </c>
      <c r="G88" s="174">
        <v>267936.77807883802</v>
      </c>
      <c r="H88" s="173">
        <v>294150.81704202102</v>
      </c>
      <c r="I88" s="173">
        <v>328904.726822684</v>
      </c>
      <c r="J88" s="173">
        <v>330729.28323634702</v>
      </c>
      <c r="K88" s="173">
        <v>359225.74418084201</v>
      </c>
    </row>
    <row r="89" spans="1:11">
      <c r="A89" s="172" t="s">
        <v>47</v>
      </c>
      <c r="B89" s="173">
        <v>4307.7159803043896</v>
      </c>
      <c r="C89" s="173">
        <v>5362.85810205909</v>
      </c>
      <c r="D89" s="173">
        <v>8741.1873321396597</v>
      </c>
      <c r="E89" s="173">
        <v>9369.8243061772591</v>
      </c>
      <c r="F89" s="173">
        <v>9973.0024619516607</v>
      </c>
      <c r="G89" s="174">
        <v>6577.9991047448502</v>
      </c>
      <c r="H89" s="173">
        <v>6935.8773500447596</v>
      </c>
      <c r="I89" s="173">
        <v>9020.91959489705</v>
      </c>
      <c r="J89" s="173" t="s">
        <v>12</v>
      </c>
      <c r="K89" s="173" t="s">
        <v>12</v>
      </c>
    </row>
    <row r="90" spans="1:11">
      <c r="A90" s="172" t="s">
        <v>48</v>
      </c>
      <c r="B90" s="173">
        <v>29049.4908236347</v>
      </c>
      <c r="C90" s="173">
        <v>33833.930170098502</v>
      </c>
      <c r="D90" s="173">
        <v>52786.201880035798</v>
      </c>
      <c r="E90" s="173">
        <v>53685.094001790501</v>
      </c>
      <c r="F90" s="173">
        <v>53904.291629364401</v>
      </c>
      <c r="G90" s="174">
        <v>57798.863679218899</v>
      </c>
      <c r="H90" s="173">
        <v>62964.533286705497</v>
      </c>
      <c r="I90" s="173">
        <v>73699.975467211305</v>
      </c>
      <c r="J90" s="173">
        <v>66101.163831692</v>
      </c>
      <c r="K90" s="173">
        <v>70326.768128916694</v>
      </c>
    </row>
    <row r="91" spans="1:11">
      <c r="A91" s="172" t="s">
        <v>49</v>
      </c>
      <c r="B91" s="173">
        <v>-9633.0852730528204</v>
      </c>
      <c r="C91" s="173">
        <v>-33262.225828110997</v>
      </c>
      <c r="D91" s="173">
        <v>-46761.974037600703</v>
      </c>
      <c r="E91" s="173">
        <v>-43887.225828110997</v>
      </c>
      <c r="F91" s="173">
        <v>-50793.9794091316</v>
      </c>
      <c r="G91" s="174">
        <v>-45665.9149577551</v>
      </c>
      <c r="H91" s="173">
        <v>-62602.167327383599</v>
      </c>
      <c r="I91" s="173">
        <v>-82797.298631938203</v>
      </c>
      <c r="J91" s="173">
        <v>-130366.81652864801</v>
      </c>
      <c r="K91" s="173" t="s">
        <v>12</v>
      </c>
    </row>
    <row r="92" spans="1:11">
      <c r="A92" s="172" t="s">
        <v>50</v>
      </c>
      <c r="B92" s="173">
        <v>69812.555953446703</v>
      </c>
      <c r="C92" s="173">
        <v>105668.224037601</v>
      </c>
      <c r="D92" s="173">
        <v>131136.69427036701</v>
      </c>
      <c r="E92" s="173">
        <v>134027.249328559</v>
      </c>
      <c r="F92" s="173">
        <v>139815.77327663399</v>
      </c>
      <c r="G92" s="174">
        <v>161822.936856535</v>
      </c>
      <c r="H92" s="173">
        <v>184455.568310765</v>
      </c>
      <c r="I92" s="173">
        <v>209425.79786537599</v>
      </c>
      <c r="J92" s="173">
        <v>228965.350828111</v>
      </c>
      <c r="K92" s="173">
        <v>253168.363921218</v>
      </c>
    </row>
    <row r="93" spans="1:11">
      <c r="A93" s="172" t="s">
        <v>51</v>
      </c>
      <c r="B93" s="173">
        <v>37060.066025067099</v>
      </c>
      <c r="C93" s="173">
        <v>38717.267233661601</v>
      </c>
      <c r="D93" s="173">
        <v>40953.866383169203</v>
      </c>
      <c r="E93" s="173">
        <v>37709.965308863</v>
      </c>
      <c r="F93" s="173">
        <v>37501.538719785101</v>
      </c>
      <c r="G93" s="174">
        <v>37346.594299742603</v>
      </c>
      <c r="H93" s="173">
        <v>37195.799760798996</v>
      </c>
      <c r="I93" s="173">
        <v>37062.416069829902</v>
      </c>
      <c r="J93" s="173">
        <v>35831.028983885401</v>
      </c>
      <c r="K93" s="173">
        <v>37398.794203222897</v>
      </c>
    </row>
    <row r="94" spans="1:11">
      <c r="A94" s="172" t="s">
        <v>52</v>
      </c>
      <c r="B94" s="173">
        <v>86084.657564905996</v>
      </c>
      <c r="C94" s="173">
        <v>121775.402864816</v>
      </c>
      <c r="D94" s="173">
        <v>150369.43263205001</v>
      </c>
      <c r="E94" s="173">
        <v>151381.07094897001</v>
      </c>
      <c r="F94" s="173">
        <v>157078.25089525501</v>
      </c>
      <c r="G94" s="174">
        <v>164058.65396989699</v>
      </c>
      <c r="H94" s="173">
        <v>177615.98973114401</v>
      </c>
      <c r="I94" s="173">
        <v>196749.973375951</v>
      </c>
      <c r="J94" s="173">
        <v>233320.0355766</v>
      </c>
      <c r="K94" s="173">
        <v>263239.98433303501</v>
      </c>
    </row>
    <row r="95" spans="1:11">
      <c r="A95" s="172" t="s">
        <v>960</v>
      </c>
      <c r="B95" s="173">
        <v>33.275514771709901</v>
      </c>
      <c r="C95" s="173">
        <v>45.3922336615936</v>
      </c>
      <c r="D95" s="173" t="s">
        <v>12</v>
      </c>
      <c r="E95" s="173">
        <v>7.0738823299015197</v>
      </c>
      <c r="F95" s="173">
        <v>7.6623531222023296</v>
      </c>
      <c r="G95" s="174">
        <v>51.866746866607002</v>
      </c>
      <c r="H95" s="173">
        <v>61.63356087735</v>
      </c>
      <c r="I95" s="173">
        <v>73.116047448522806</v>
      </c>
      <c r="J95" s="173">
        <v>85.749216651745797</v>
      </c>
      <c r="K95" s="173" t="s">
        <v>12</v>
      </c>
    </row>
    <row r="96" spans="1:11">
      <c r="A96" s="172" t="s">
        <v>53</v>
      </c>
      <c r="B96" s="173">
        <v>26.931942423903301</v>
      </c>
      <c r="C96" s="173">
        <v>39.391226499552403</v>
      </c>
      <c r="D96" s="173">
        <v>48.792591763652602</v>
      </c>
      <c r="E96" s="173">
        <v>50.1036439682184</v>
      </c>
      <c r="F96" s="173">
        <v>54.562252405998201</v>
      </c>
      <c r="G96" s="174">
        <v>68.505280606535393</v>
      </c>
      <c r="H96" s="173">
        <v>74.551915006714395</v>
      </c>
      <c r="I96" s="173">
        <v>82.6466539838854</v>
      </c>
      <c r="J96" s="173">
        <v>94.830880707251595</v>
      </c>
      <c r="K96" s="173" t="s">
        <v>12</v>
      </c>
    </row>
    <row r="97" spans="1:11">
      <c r="A97" s="172" t="s">
        <v>959</v>
      </c>
      <c r="B97" s="173">
        <v>23201.7961056401</v>
      </c>
      <c r="C97" s="173">
        <v>58425.470008952601</v>
      </c>
      <c r="D97" s="173">
        <v>80274.451656221994</v>
      </c>
      <c r="E97" s="173">
        <v>86681.2611906893</v>
      </c>
      <c r="F97" s="173">
        <v>94372.901745747498</v>
      </c>
      <c r="G97" s="174">
        <v>133077.261078782</v>
      </c>
      <c r="H97" s="173">
        <v>154973.79881938201</v>
      </c>
      <c r="I97" s="173">
        <v>183845.701796106</v>
      </c>
      <c r="J97" s="173">
        <v>215611.00002797699</v>
      </c>
      <c r="K97" s="173" t="s">
        <v>12</v>
      </c>
    </row>
    <row r="98" spans="1:11">
      <c r="A98" s="172" t="s">
        <v>54</v>
      </c>
      <c r="B98" s="173">
        <v>8.9679386750223795</v>
      </c>
      <c r="C98" s="173">
        <v>21.779879140555099</v>
      </c>
      <c r="D98" s="173">
        <v>3.6992837958818301</v>
      </c>
      <c r="E98" s="173">
        <v>4.0505259623992798</v>
      </c>
      <c r="F98" s="173">
        <v>4.6035558415398397</v>
      </c>
      <c r="G98" s="174" t="s">
        <v>12</v>
      </c>
      <c r="H98" s="173" t="s">
        <v>12</v>
      </c>
      <c r="I98" s="173" t="s">
        <v>12</v>
      </c>
      <c r="J98" s="173" t="s">
        <v>12</v>
      </c>
      <c r="K98" s="173" t="s">
        <v>12</v>
      </c>
    </row>
    <row r="99" spans="1:11">
      <c r="A99" s="172" t="s">
        <v>55</v>
      </c>
      <c r="B99" s="173">
        <v>393800.63786929299</v>
      </c>
      <c r="C99" s="173">
        <v>501830.90406781598</v>
      </c>
      <c r="D99" s="173">
        <v>39263.3281110116</v>
      </c>
      <c r="E99" s="173" t="s">
        <v>12</v>
      </c>
      <c r="F99" s="173" t="s">
        <v>12</v>
      </c>
      <c r="G99" s="174">
        <v>146510.91969981001</v>
      </c>
      <c r="H99" s="173">
        <v>103935.1875</v>
      </c>
      <c r="I99" s="173">
        <v>84405.5729632945</v>
      </c>
      <c r="J99" s="173">
        <v>31610.204929498701</v>
      </c>
      <c r="K99" s="173" t="s">
        <v>12</v>
      </c>
    </row>
    <row r="100" spans="1:11">
      <c r="A100" s="200" t="s">
        <v>56</v>
      </c>
      <c r="B100" s="200"/>
      <c r="C100" s="200"/>
      <c r="D100" s="200"/>
      <c r="E100" s="200"/>
      <c r="F100" s="200"/>
      <c r="G100" s="200"/>
      <c r="H100" s="200"/>
      <c r="I100" s="200"/>
      <c r="J100" s="200"/>
      <c r="K100" s="200"/>
    </row>
    <row r="101" spans="1:11">
      <c r="A101" s="172" t="s">
        <v>57</v>
      </c>
      <c r="B101" s="173">
        <v>8757.2739480752007</v>
      </c>
      <c r="C101" s="173">
        <v>30921.413384064501</v>
      </c>
      <c r="D101" s="173">
        <v>37209.321844225597</v>
      </c>
      <c r="E101" s="173">
        <v>35635.491271262297</v>
      </c>
      <c r="F101" s="173">
        <v>43729.716875559498</v>
      </c>
      <c r="G101" s="174">
        <v>-2184.5624440465499</v>
      </c>
      <c r="H101" s="173">
        <v>-132.81949418084201</v>
      </c>
      <c r="I101" s="173">
        <v>-43.923455684870198</v>
      </c>
      <c r="J101" s="173" t="s">
        <v>12</v>
      </c>
      <c r="K101" s="173" t="s">
        <v>12</v>
      </c>
    </row>
    <row r="102" spans="1:11">
      <c r="A102" s="172" t="s">
        <v>958</v>
      </c>
      <c r="B102" s="173">
        <v>2197.99127126231</v>
      </c>
      <c r="C102" s="173">
        <v>3003.8607878245298</v>
      </c>
      <c r="D102" s="173">
        <v>2923.2878245299898</v>
      </c>
      <c r="E102" s="173">
        <v>4438.9268128916701</v>
      </c>
      <c r="F102" s="173">
        <v>3703.55863921218</v>
      </c>
      <c r="G102" s="174">
        <v>3853.9135435317799</v>
      </c>
      <c r="H102" s="173">
        <v>4603.0102954342001</v>
      </c>
      <c r="I102" s="173">
        <v>5240.6198047224698</v>
      </c>
      <c r="J102" s="173" t="s">
        <v>12</v>
      </c>
      <c r="K102" s="173" t="s">
        <v>12</v>
      </c>
    </row>
    <row r="103" spans="1:11">
      <c r="A103" s="172" t="s">
        <v>58</v>
      </c>
      <c r="B103" s="173">
        <v>21118.9290510295</v>
      </c>
      <c r="C103" s="173">
        <v>25263.960384959701</v>
      </c>
      <c r="D103" s="173">
        <v>32423.064010743099</v>
      </c>
      <c r="E103" s="173">
        <v>19969.645255147701</v>
      </c>
      <c r="F103" s="173">
        <v>27942.032229185301</v>
      </c>
      <c r="G103" s="174">
        <v>28153.5063730976</v>
      </c>
      <c r="H103" s="173">
        <v>31493.2594337511</v>
      </c>
      <c r="I103" s="173">
        <v>34675.128071844199</v>
      </c>
      <c r="J103" s="173">
        <v>40083.650402864798</v>
      </c>
      <c r="K103" s="173">
        <v>42864.396821844202</v>
      </c>
    </row>
    <row r="104" spans="1:11">
      <c r="A104" s="172" t="s">
        <v>59</v>
      </c>
      <c r="B104" s="173">
        <v>6504.16853178156</v>
      </c>
      <c r="C104" s="173">
        <v>4553.2117278424303</v>
      </c>
      <c r="D104" s="173">
        <v>5798.1759176365304</v>
      </c>
      <c r="E104" s="173">
        <v>7457.0557296329498</v>
      </c>
      <c r="F104" s="173">
        <v>4802.2045658012503</v>
      </c>
      <c r="G104" s="174">
        <v>6735.0342225268596</v>
      </c>
      <c r="H104" s="173">
        <v>7272.0676267345598</v>
      </c>
      <c r="I104" s="173">
        <v>7400.6206020590898</v>
      </c>
      <c r="J104" s="173">
        <v>4986.1585161145904</v>
      </c>
      <c r="K104" s="173">
        <v>6010.7290734109201</v>
      </c>
    </row>
    <row r="105" spans="1:11">
      <c r="A105" s="172" t="s">
        <v>60</v>
      </c>
      <c r="B105" s="173">
        <v>-21130.819158460199</v>
      </c>
      <c r="C105" s="173">
        <v>-15117.5022381379</v>
      </c>
      <c r="D105" s="173">
        <v>-34158.739928379597</v>
      </c>
      <c r="E105" s="173">
        <v>-27779.767233661601</v>
      </c>
      <c r="F105" s="173">
        <v>-18955.069382273901</v>
      </c>
      <c r="G105" s="174">
        <v>-10846.321760295399</v>
      </c>
      <c r="H105" s="173">
        <v>-12304.134959713499</v>
      </c>
      <c r="I105" s="173">
        <v>-13835.757983158001</v>
      </c>
      <c r="J105" s="173">
        <v>-7355.5002238137904</v>
      </c>
      <c r="K105" s="173">
        <v>-7723.2542524619503</v>
      </c>
    </row>
    <row r="106" spans="1:11">
      <c r="A106" s="172" t="s">
        <v>61</v>
      </c>
      <c r="B106" s="173">
        <v>0</v>
      </c>
      <c r="C106" s="173" t="s">
        <v>12</v>
      </c>
      <c r="D106" s="173">
        <v>0</v>
      </c>
      <c r="E106" s="173" t="s">
        <v>12</v>
      </c>
      <c r="F106" s="173" t="s">
        <v>12</v>
      </c>
      <c r="G106" s="174">
        <v>20.959228122202301</v>
      </c>
      <c r="H106" s="173">
        <v>21.169053547448499</v>
      </c>
      <c r="I106" s="173">
        <v>21.3788789726947</v>
      </c>
      <c r="J106" s="173" t="s">
        <v>12</v>
      </c>
      <c r="K106" s="173" t="s">
        <v>12</v>
      </c>
    </row>
    <row r="107" spans="1:11">
      <c r="A107" s="172" t="s">
        <v>62</v>
      </c>
      <c r="B107" s="173">
        <v>-1034.01969561325</v>
      </c>
      <c r="C107" s="173">
        <v>9911.1739033124395</v>
      </c>
      <c r="D107" s="173">
        <v>4207.9789615040299</v>
      </c>
      <c r="E107" s="173">
        <v>-9015.3592211280193</v>
      </c>
      <c r="F107" s="173">
        <v>-9179.02305282005</v>
      </c>
      <c r="G107" s="174">
        <v>-93.447557632050106</v>
      </c>
      <c r="H107" s="173">
        <v>-782.05145059310701</v>
      </c>
      <c r="I107" s="173">
        <v>-74.288192423903297</v>
      </c>
      <c r="J107" s="173">
        <v>0</v>
      </c>
      <c r="K107" s="173">
        <v>0</v>
      </c>
    </row>
    <row r="108" spans="1:11">
      <c r="A108" s="172" t="s">
        <v>63</v>
      </c>
      <c r="B108" s="173">
        <v>14614.760519248</v>
      </c>
      <c r="C108" s="173">
        <v>18312.723813786899</v>
      </c>
      <c r="D108" s="173">
        <v>13292.300805729599</v>
      </c>
      <c r="E108" s="173">
        <v>12512.589525514801</v>
      </c>
      <c r="F108" s="173">
        <v>23139.827663384101</v>
      </c>
      <c r="G108" s="174">
        <v>23206.086220064899</v>
      </c>
      <c r="H108" s="173">
        <v>21866.9830139324</v>
      </c>
      <c r="I108" s="173">
        <v>31058.680757609702</v>
      </c>
      <c r="J108" s="173">
        <v>31122.9160138765</v>
      </c>
      <c r="K108" s="173" t="s">
        <v>12</v>
      </c>
    </row>
    <row r="109" spans="1:11">
      <c r="A109" s="172" t="s">
        <v>64</v>
      </c>
      <c r="B109" s="173">
        <v>8.0517009847806609</v>
      </c>
      <c r="C109" s="173">
        <v>9.4701208594449398</v>
      </c>
      <c r="D109" s="173">
        <v>11.7991830796777</v>
      </c>
      <c r="E109" s="173">
        <v>7.3313003581020597</v>
      </c>
      <c r="F109" s="173">
        <v>10.587790957923</v>
      </c>
      <c r="G109" s="174">
        <v>9.2482052931960599</v>
      </c>
      <c r="H109" s="173">
        <v>10.611331971799499</v>
      </c>
      <c r="I109" s="173">
        <v>11.006136694270401</v>
      </c>
      <c r="J109" s="173">
        <v>15.7436213070725</v>
      </c>
      <c r="K109" s="173" t="s">
        <v>12</v>
      </c>
    </row>
    <row r="110" spans="1:11">
      <c r="A110" s="200" t="s">
        <v>65</v>
      </c>
      <c r="B110" s="200"/>
      <c r="C110" s="200"/>
      <c r="D110" s="200"/>
      <c r="E110" s="200"/>
      <c r="F110" s="200"/>
      <c r="G110" s="200"/>
      <c r="H110" s="200"/>
      <c r="I110" s="200"/>
      <c r="J110" s="200"/>
      <c r="K110" s="200"/>
    </row>
    <row r="111" spans="1:11">
      <c r="A111" s="172" t="s">
        <v>66</v>
      </c>
      <c r="B111" s="170">
        <v>0.1198</v>
      </c>
      <c r="C111" s="170">
        <v>0.1241</v>
      </c>
      <c r="D111" s="170">
        <v>0.1192</v>
      </c>
      <c r="E111" s="170">
        <v>8.48E-2</v>
      </c>
      <c r="F111" s="170">
        <v>8.3490000000000009E-2</v>
      </c>
      <c r="G111" s="171">
        <v>7.4704400000000004E-2</v>
      </c>
      <c r="H111" s="170">
        <v>7.5335600000000003E-2</v>
      </c>
      <c r="I111" s="170">
        <v>7.2328000000000003E-2</v>
      </c>
      <c r="J111" s="170">
        <v>6.0174999999999999E-2</v>
      </c>
      <c r="K111" s="170">
        <v>5.4000000000000006E-2</v>
      </c>
    </row>
    <row r="112" spans="1:11">
      <c r="A112" s="172" t="s">
        <v>67</v>
      </c>
      <c r="B112" s="170">
        <v>0.2329</v>
      </c>
      <c r="C112" s="170">
        <v>0.2266</v>
      </c>
      <c r="D112" s="170">
        <v>0.2114</v>
      </c>
      <c r="E112" s="170">
        <v>0.15140000000000001</v>
      </c>
      <c r="F112" s="170">
        <v>0.14710000000000001</v>
      </c>
      <c r="G112" s="171">
        <v>0.13233629999999999</v>
      </c>
      <c r="H112" s="170">
        <v>0.12831619999999999</v>
      </c>
      <c r="I112" s="170">
        <v>0.1235004</v>
      </c>
      <c r="J112" s="170">
        <v>9.9920000000000009E-2</v>
      </c>
      <c r="K112" s="170">
        <v>0.08</v>
      </c>
    </row>
    <row r="113" spans="1:11">
      <c r="A113" s="172" t="s">
        <v>68</v>
      </c>
      <c r="B113" s="170">
        <v>0.14119999999999999</v>
      </c>
      <c r="C113" s="170">
        <v>0.128</v>
      </c>
      <c r="D113" s="170">
        <v>0.1298</v>
      </c>
      <c r="E113" s="170">
        <v>9.9390000000000006E-2</v>
      </c>
      <c r="F113" s="170">
        <v>0.1081</v>
      </c>
      <c r="G113" s="171">
        <v>0.10861499999999999</v>
      </c>
      <c r="H113" s="170">
        <v>0.10783749999999999</v>
      </c>
      <c r="I113" s="170">
        <v>0.10453670000000001</v>
      </c>
      <c r="J113" s="170">
        <v>9.5649999999999999E-2</v>
      </c>
      <c r="K113" s="170" t="s">
        <v>12</v>
      </c>
    </row>
    <row r="114" spans="1:11">
      <c r="A114" s="172" t="s">
        <v>69</v>
      </c>
      <c r="B114" s="170">
        <v>0.19570000000000001</v>
      </c>
      <c r="C114" s="170">
        <v>0.17149999999999999</v>
      </c>
      <c r="D114" s="170">
        <v>0.18989999999999999</v>
      </c>
      <c r="E114" s="170">
        <v>0.13470000000000001</v>
      </c>
      <c r="F114" s="170">
        <v>0.17420000000000002</v>
      </c>
      <c r="G114" s="171">
        <v>0.12366669999999999</v>
      </c>
      <c r="H114" s="170">
        <v>0.128</v>
      </c>
      <c r="I114" s="170">
        <v>0.127</v>
      </c>
      <c r="J114" s="170">
        <v>0.15</v>
      </c>
      <c r="K114" s="170">
        <v>0.14699999999999999</v>
      </c>
    </row>
    <row r="115" spans="1:11">
      <c r="A115" s="172" t="s">
        <v>70</v>
      </c>
      <c r="B115" s="170" t="s">
        <v>12</v>
      </c>
      <c r="C115" s="170" t="s">
        <v>12</v>
      </c>
      <c r="D115" s="170" t="s">
        <v>12</v>
      </c>
      <c r="E115" s="170" t="s">
        <v>12</v>
      </c>
      <c r="F115" s="170" t="s">
        <v>12</v>
      </c>
      <c r="G115" s="171">
        <v>1.6E-2</v>
      </c>
      <c r="H115" s="170">
        <v>1.4999999999999999E-2</v>
      </c>
      <c r="I115" s="170">
        <v>1.3999999999999999E-2</v>
      </c>
      <c r="J115" s="170">
        <v>1.3999999999999999E-2</v>
      </c>
      <c r="K115" s="170">
        <v>1.3000000000000001E-2</v>
      </c>
    </row>
    <row r="116" spans="1:11">
      <c r="A116" s="199" t="s">
        <v>1</v>
      </c>
      <c r="B116" s="199"/>
      <c r="C116" s="199"/>
      <c r="D116" s="199"/>
      <c r="E116" s="199"/>
      <c r="F116" s="199"/>
      <c r="G116" s="199"/>
      <c r="H116" s="199"/>
      <c r="I116" s="199"/>
      <c r="J116" s="199"/>
      <c r="K116" s="199"/>
    </row>
  </sheetData>
  <mergeCells count="20">
    <mergeCell ref="A16:K16"/>
    <mergeCell ref="A27:K27"/>
    <mergeCell ref="A31:K31"/>
    <mergeCell ref="A38:K38"/>
    <mergeCell ref="A45:K45"/>
    <mergeCell ref="B1:F1"/>
    <mergeCell ref="B5:P5"/>
    <mergeCell ref="G7:K7"/>
    <mergeCell ref="A9:K9"/>
    <mergeCell ref="A11:K11"/>
    <mergeCell ref="A73:K73"/>
    <mergeCell ref="A83:K83"/>
    <mergeCell ref="A100:K100"/>
    <mergeCell ref="A110:K110"/>
    <mergeCell ref="A116:K116"/>
    <mergeCell ref="A47:K47"/>
    <mergeCell ref="A53:K53"/>
    <mergeCell ref="A64:K64"/>
    <mergeCell ref="A67:K67"/>
    <mergeCell ref="A71:K7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72C1-8319-4412-A692-249E8772500C}">
  <dimension ref="A1:R178"/>
  <sheetViews>
    <sheetView showGridLines="0" topLeftCell="A16" zoomScale="92" workbookViewId="0">
      <selection activeCell="D38" sqref="D38"/>
    </sheetView>
  </sheetViews>
  <sheetFormatPr baseColWidth="10" defaultColWidth="8.89453125" defaultRowHeight="14.4"/>
  <cols>
    <col min="1" max="1" width="23.47265625" style="93" customWidth="1"/>
    <col min="2" max="2" width="19.578125" style="93" bestFit="1" customWidth="1"/>
    <col min="3" max="9" width="8.89453125" style="93"/>
    <col min="10" max="10" width="11.89453125" style="93" bestFit="1" customWidth="1"/>
    <col min="11" max="16384" width="8.89453125" style="93"/>
  </cols>
  <sheetData>
    <row r="1" spans="1:18" ht="15.6">
      <c r="A1" s="204" t="s">
        <v>890</v>
      </c>
      <c r="B1" s="205"/>
      <c r="C1" s="112"/>
      <c r="H1" s="139" t="s">
        <v>889</v>
      </c>
      <c r="I1" s="138" t="s">
        <v>888</v>
      </c>
      <c r="J1" s="136" t="s">
        <v>887</v>
      </c>
      <c r="K1" s="136" t="s">
        <v>886</v>
      </c>
      <c r="L1" s="137" t="s">
        <v>875</v>
      </c>
      <c r="M1" s="136" t="s">
        <v>885</v>
      </c>
      <c r="O1" s="53" t="s">
        <v>852</v>
      </c>
    </row>
    <row r="2" spans="1:18">
      <c r="A2" s="206" t="s">
        <v>866</v>
      </c>
      <c r="B2" s="206"/>
      <c r="C2" s="112"/>
      <c r="H2" s="100" t="s">
        <v>884</v>
      </c>
      <c r="I2" s="99" t="s">
        <v>658</v>
      </c>
      <c r="J2" s="98">
        <v>5.3E-3</v>
      </c>
      <c r="K2" s="98">
        <v>7.4999999999999997E-3</v>
      </c>
      <c r="L2" s="95">
        <v>5.7500000000000002E-2</v>
      </c>
      <c r="M2" s="98">
        <v>0.15</v>
      </c>
      <c r="O2" s="135" t="s">
        <v>883</v>
      </c>
      <c r="P2" s="134" t="s">
        <v>882</v>
      </c>
      <c r="Q2" s="134" t="s">
        <v>881</v>
      </c>
      <c r="R2" s="134" t="s">
        <v>880</v>
      </c>
    </row>
    <row r="3" spans="1:18">
      <c r="A3" s="133" t="s">
        <v>879</v>
      </c>
      <c r="B3" s="111" t="s">
        <v>878</v>
      </c>
      <c r="H3" s="100" t="s">
        <v>877</v>
      </c>
      <c r="I3" s="99" t="s">
        <v>723</v>
      </c>
      <c r="J3" s="98">
        <v>4.82E-2</v>
      </c>
      <c r="K3" s="98">
        <v>6.83E-2</v>
      </c>
      <c r="L3" s="95">
        <v>0.1183</v>
      </c>
      <c r="M3" s="98">
        <v>0.15</v>
      </c>
      <c r="O3" s="122">
        <v>-100000</v>
      </c>
      <c r="P3" s="121">
        <v>0.19999900000000001</v>
      </c>
      <c r="Q3" s="120" t="s">
        <v>876</v>
      </c>
      <c r="R3" s="119">
        <v>0.2</v>
      </c>
    </row>
    <row r="4" spans="1:18">
      <c r="A4" s="126" t="s">
        <v>875</v>
      </c>
      <c r="B4" s="106">
        <f>L35</f>
        <v>6.0699999999999997E-2</v>
      </c>
      <c r="C4" s="131" t="s">
        <v>839</v>
      </c>
      <c r="H4" s="100" t="s">
        <v>874</v>
      </c>
      <c r="I4" s="99" t="s">
        <v>641</v>
      </c>
      <c r="J4" s="98">
        <v>3.85E-2</v>
      </c>
      <c r="K4" s="98">
        <v>5.4600000000000003E-2</v>
      </c>
      <c r="L4" s="95">
        <v>0.1046</v>
      </c>
      <c r="M4" s="98">
        <v>0.26</v>
      </c>
      <c r="O4" s="122">
        <v>0.2</v>
      </c>
      <c r="P4" s="121">
        <v>0.64999899999999999</v>
      </c>
      <c r="Q4" s="120" t="s">
        <v>873</v>
      </c>
      <c r="R4" s="119">
        <v>0.17499999999999999</v>
      </c>
    </row>
    <row r="5" spans="1:18">
      <c r="A5" s="126" t="s">
        <v>872</v>
      </c>
      <c r="B5" s="132">
        <v>0.62</v>
      </c>
      <c r="C5" s="123" t="s">
        <v>891</v>
      </c>
      <c r="H5" s="100" t="s">
        <v>871</v>
      </c>
      <c r="I5" s="99" t="s">
        <v>652</v>
      </c>
      <c r="J5" s="98">
        <v>2.0400000000000001E-2</v>
      </c>
      <c r="K5" s="98">
        <v>2.8899999999999999E-2</v>
      </c>
      <c r="L5" s="95">
        <v>7.8899999999999998E-2</v>
      </c>
      <c r="M5" s="98">
        <v>0.1898</v>
      </c>
      <c r="O5" s="122">
        <v>0.65</v>
      </c>
      <c r="P5" s="121">
        <v>0.79999900000000002</v>
      </c>
      <c r="Q5" s="120" t="s">
        <v>870</v>
      </c>
      <c r="R5" s="119">
        <v>0.1578</v>
      </c>
    </row>
    <row r="6" spans="1:18">
      <c r="A6" s="126" t="s">
        <v>1015</v>
      </c>
      <c r="B6" s="106">
        <v>3.9199999999999999E-2</v>
      </c>
      <c r="C6" s="131" t="s">
        <v>869</v>
      </c>
      <c r="H6" s="100" t="s">
        <v>868</v>
      </c>
      <c r="I6" s="99" t="s">
        <v>665</v>
      </c>
      <c r="J6" s="98">
        <v>6.9500000000000006E-2</v>
      </c>
      <c r="K6" s="98">
        <v>9.8599999999999993E-2</v>
      </c>
      <c r="L6" s="95">
        <v>0.14860000000000001</v>
      </c>
      <c r="M6" s="98">
        <v>0.25</v>
      </c>
      <c r="O6" s="122">
        <v>0.8</v>
      </c>
      <c r="P6" s="121">
        <v>1.2499990000000001</v>
      </c>
      <c r="Q6" s="120" t="s">
        <v>867</v>
      </c>
      <c r="R6" s="119">
        <v>0.1157</v>
      </c>
    </row>
    <row r="7" spans="1:18">
      <c r="A7" s="130" t="s">
        <v>866</v>
      </c>
      <c r="B7" s="104">
        <f>(B4*B5)+B6</f>
        <v>7.6834E-2</v>
      </c>
      <c r="H7" s="100" t="s">
        <v>865</v>
      </c>
      <c r="I7" s="99" t="s">
        <v>643</v>
      </c>
      <c r="J7" s="98">
        <v>0.12839999999999999</v>
      </c>
      <c r="K7" s="98">
        <v>0.18210000000000001</v>
      </c>
      <c r="L7" s="95">
        <v>0.2321</v>
      </c>
      <c r="M7" s="98">
        <v>0.35</v>
      </c>
      <c r="O7" s="122">
        <v>1.25</v>
      </c>
      <c r="P7" s="121">
        <v>1.4999990000000001</v>
      </c>
      <c r="Q7" s="120" t="s">
        <v>864</v>
      </c>
      <c r="R7" s="119">
        <v>7.3700000000000002E-2</v>
      </c>
    </row>
    <row r="8" spans="1:18">
      <c r="A8" s="112"/>
      <c r="B8" s="129"/>
      <c r="H8" s="100" t="s">
        <v>863</v>
      </c>
      <c r="I8" s="99" t="s">
        <v>650</v>
      </c>
      <c r="J8" s="98">
        <v>3.85E-2</v>
      </c>
      <c r="K8" s="98">
        <v>5.4600000000000003E-2</v>
      </c>
      <c r="L8" s="95">
        <v>0.1046</v>
      </c>
      <c r="M8" s="98">
        <v>0.18</v>
      </c>
      <c r="O8" s="122">
        <v>1.5</v>
      </c>
      <c r="P8" s="121">
        <v>1.7499990000000001</v>
      </c>
      <c r="Q8" s="120" t="s">
        <v>862</v>
      </c>
      <c r="R8" s="119">
        <v>5.2600000000000001E-2</v>
      </c>
    </row>
    <row r="9" spans="1:18">
      <c r="A9" s="206" t="s">
        <v>861</v>
      </c>
      <c r="B9" s="206"/>
      <c r="H9" s="97" t="s">
        <v>860</v>
      </c>
      <c r="I9" s="96" t="s">
        <v>652</v>
      </c>
      <c r="J9" s="94">
        <v>2.0400000000000001E-2</v>
      </c>
      <c r="K9" s="94">
        <v>2.8899999999999999E-2</v>
      </c>
      <c r="L9" s="95">
        <v>7.8899999999999998E-2</v>
      </c>
      <c r="M9" s="94">
        <v>0.25</v>
      </c>
      <c r="O9" s="122">
        <v>1.75</v>
      </c>
      <c r="P9" s="121">
        <v>1.9999990000000001</v>
      </c>
      <c r="Q9" s="120" t="s">
        <v>859</v>
      </c>
      <c r="R9" s="119">
        <v>4.5499999999999999E-2</v>
      </c>
    </row>
    <row r="10" spans="1:18">
      <c r="A10" s="111" t="s">
        <v>858</v>
      </c>
      <c r="H10" s="100" t="s">
        <v>857</v>
      </c>
      <c r="I10" s="99" t="s">
        <v>654</v>
      </c>
      <c r="J10" s="98">
        <v>0</v>
      </c>
      <c r="K10" s="98">
        <v>0</v>
      </c>
      <c r="L10" s="95">
        <v>0.05</v>
      </c>
      <c r="M10" s="98">
        <v>0.3</v>
      </c>
      <c r="O10" s="122">
        <v>2</v>
      </c>
      <c r="P10" s="121">
        <v>2.2499999000000002</v>
      </c>
      <c r="Q10" s="120" t="s">
        <v>856</v>
      </c>
      <c r="R10" s="119">
        <v>3.1300000000000001E-2</v>
      </c>
    </row>
    <row r="11" spans="1:18" ht="14.7" thickBot="1">
      <c r="A11" s="126" t="s">
        <v>104</v>
      </c>
      <c r="B11" s="128">
        <f>'BABA Summary'!E72</f>
        <v>17.61</v>
      </c>
      <c r="H11" s="100" t="s">
        <v>855</v>
      </c>
      <c r="I11" s="99" t="s">
        <v>785</v>
      </c>
      <c r="J11" s="98">
        <v>4.3E-3</v>
      </c>
      <c r="K11" s="98">
        <v>6.1000000000000004E-3</v>
      </c>
      <c r="L11" s="95">
        <v>5.6099999999999997E-2</v>
      </c>
      <c r="M11" s="98">
        <v>0.24</v>
      </c>
      <c r="O11" s="122">
        <v>2.25</v>
      </c>
      <c r="P11" s="121">
        <v>2.4999899999999999</v>
      </c>
      <c r="Q11" s="120" t="s">
        <v>854</v>
      </c>
      <c r="R11" s="119">
        <v>2.4199999999999999E-2</v>
      </c>
    </row>
    <row r="12" spans="1:18" ht="14.7" thickBot="1">
      <c r="A12" s="126" t="s">
        <v>853</v>
      </c>
      <c r="B12" s="125" t="str">
        <f>Q15</f>
        <v>A1/A+</v>
      </c>
      <c r="C12" s="127" t="s">
        <v>852</v>
      </c>
      <c r="H12" s="100" t="s">
        <v>851</v>
      </c>
      <c r="I12" s="99" t="s">
        <v>696</v>
      </c>
      <c r="J12" s="98">
        <v>2.6800000000000001E-2</v>
      </c>
      <c r="K12" s="98">
        <v>3.7999999999999999E-2</v>
      </c>
      <c r="L12" s="95">
        <v>8.7999999999999995E-2</v>
      </c>
      <c r="M12" s="98">
        <v>0.2</v>
      </c>
      <c r="O12" s="122">
        <v>2.5</v>
      </c>
      <c r="P12" s="121">
        <v>2.9999989999999999</v>
      </c>
      <c r="Q12" s="120" t="s">
        <v>850</v>
      </c>
      <c r="R12" s="119">
        <v>0.02</v>
      </c>
    </row>
    <row r="13" spans="1:18" ht="14.7" thickBot="1">
      <c r="A13" s="126" t="s">
        <v>849</v>
      </c>
      <c r="B13" s="125">
        <f>R15</f>
        <v>1.23E-2</v>
      </c>
      <c r="C13" s="124" t="s">
        <v>839</v>
      </c>
      <c r="H13" s="100" t="s">
        <v>848</v>
      </c>
      <c r="I13" s="99" t="s">
        <v>723</v>
      </c>
      <c r="J13" s="98">
        <v>4.82E-2</v>
      </c>
      <c r="K13" s="98">
        <v>6.83E-2</v>
      </c>
      <c r="L13" s="95">
        <v>0.1183</v>
      </c>
      <c r="M13" s="98">
        <v>0</v>
      </c>
      <c r="O13" s="122">
        <v>3</v>
      </c>
      <c r="P13" s="121">
        <v>4.2499989999999999</v>
      </c>
      <c r="Q13" s="120" t="s">
        <v>847</v>
      </c>
      <c r="R13" s="119">
        <v>1.6199999999999999E-2</v>
      </c>
    </row>
    <row r="14" spans="1:18">
      <c r="A14" s="118" t="s">
        <v>846</v>
      </c>
      <c r="B14" s="106">
        <f>B6</f>
        <v>3.9199999999999999E-2</v>
      </c>
      <c r="H14" s="100" t="s">
        <v>845</v>
      </c>
      <c r="I14" s="99" t="s">
        <v>661</v>
      </c>
      <c r="J14" s="98">
        <v>5.8799999999999998E-2</v>
      </c>
      <c r="K14" s="98">
        <v>8.3500000000000005E-2</v>
      </c>
      <c r="L14" s="95">
        <v>0.13350000000000001</v>
      </c>
      <c r="M14" s="98">
        <v>0</v>
      </c>
      <c r="O14" s="122">
        <v>4.25</v>
      </c>
      <c r="P14" s="121">
        <v>5.4999989999999999</v>
      </c>
      <c r="Q14" s="120" t="s">
        <v>844</v>
      </c>
      <c r="R14" s="119">
        <v>1.4200000000000001E-2</v>
      </c>
    </row>
    <row r="15" spans="1:18">
      <c r="A15" s="118" t="s">
        <v>843</v>
      </c>
      <c r="B15" s="106">
        <f>B13</f>
        <v>1.23E-2</v>
      </c>
      <c r="H15" s="100" t="s">
        <v>842</v>
      </c>
      <c r="I15" s="99" t="s">
        <v>723</v>
      </c>
      <c r="J15" s="98">
        <v>4.82E-2</v>
      </c>
      <c r="K15" s="98">
        <v>6.83E-2</v>
      </c>
      <c r="L15" s="95">
        <v>0.1183</v>
      </c>
      <c r="M15" s="98">
        <v>0.32500000000000001</v>
      </c>
      <c r="O15" s="122">
        <v>5.5</v>
      </c>
      <c r="P15" s="121">
        <v>6.4999989999999999</v>
      </c>
      <c r="Q15" s="120" t="s">
        <v>841</v>
      </c>
      <c r="R15" s="119">
        <v>1.23E-2</v>
      </c>
    </row>
    <row r="16" spans="1:18">
      <c r="A16" s="118" t="s">
        <v>840</v>
      </c>
      <c r="B16" s="106">
        <f>J35</f>
        <v>7.4999999999999997E-3</v>
      </c>
      <c r="C16" s="123" t="s">
        <v>839</v>
      </c>
      <c r="H16" s="100" t="s">
        <v>838</v>
      </c>
      <c r="I16" s="99" t="s">
        <v>688</v>
      </c>
      <c r="J16" s="98">
        <v>8.0199999999999994E-2</v>
      </c>
      <c r="K16" s="98">
        <v>0.1138</v>
      </c>
      <c r="L16" s="95">
        <v>0.1638</v>
      </c>
      <c r="M16" s="98">
        <v>5.5E-2</v>
      </c>
      <c r="O16" s="122">
        <v>6.5</v>
      </c>
      <c r="P16" s="121">
        <v>8.4999990000000007</v>
      </c>
      <c r="Q16" s="120" t="s">
        <v>837</v>
      </c>
      <c r="R16" s="119">
        <v>8.5000000000000006E-3</v>
      </c>
    </row>
    <row r="17" spans="1:18">
      <c r="A17" s="118" t="s">
        <v>836</v>
      </c>
      <c r="B17" s="106">
        <f>AVERAGE('BABA Forecast'!B70:F70)</f>
        <v>0.21554303999999996</v>
      </c>
      <c r="H17" s="97" t="s">
        <v>835</v>
      </c>
      <c r="I17" s="96" t="s">
        <v>648</v>
      </c>
      <c r="J17" s="94">
        <v>0.17499999999999999</v>
      </c>
      <c r="K17" s="94">
        <v>0.2482</v>
      </c>
      <c r="L17" s="95">
        <v>0.29820000000000002</v>
      </c>
      <c r="M17" s="94">
        <v>0.18</v>
      </c>
      <c r="O17" s="117">
        <v>8.5</v>
      </c>
      <c r="P17" s="116">
        <v>100000</v>
      </c>
      <c r="Q17" s="115" t="s">
        <v>834</v>
      </c>
      <c r="R17" s="114">
        <v>6.8999999999999999E-3</v>
      </c>
    </row>
    <row r="18" spans="1:18">
      <c r="A18" s="113" t="s">
        <v>833</v>
      </c>
      <c r="B18" s="104">
        <f>(B14+B15+B16)*(1-B17)</f>
        <v>4.6282960639999995E-2</v>
      </c>
      <c r="H18" s="100" t="s">
        <v>832</v>
      </c>
      <c r="I18" s="99" t="s">
        <v>656</v>
      </c>
      <c r="J18" s="98">
        <v>6.4000000000000003E-3</v>
      </c>
      <c r="K18" s="98">
        <v>9.1000000000000004E-3</v>
      </c>
      <c r="L18" s="95">
        <v>5.91E-2</v>
      </c>
      <c r="M18" s="98">
        <v>0.25</v>
      </c>
    </row>
    <row r="19" spans="1:18">
      <c r="B19" s="112"/>
      <c r="H19" s="100" t="s">
        <v>831</v>
      </c>
      <c r="I19" s="99" t="s">
        <v>667</v>
      </c>
      <c r="J19" s="98">
        <v>9.6299999999999997E-2</v>
      </c>
      <c r="K19" s="98">
        <v>0.1366</v>
      </c>
      <c r="L19" s="95">
        <v>0.18659999999999999</v>
      </c>
      <c r="M19" s="98">
        <v>0.27179999999999999</v>
      </c>
    </row>
    <row r="20" spans="1:18">
      <c r="A20" s="152" t="s">
        <v>830</v>
      </c>
      <c r="B20" s="152"/>
      <c r="H20" s="100" t="s">
        <v>829</v>
      </c>
      <c r="I20" s="99" t="s">
        <v>723</v>
      </c>
      <c r="J20" s="98">
        <v>4.82E-2</v>
      </c>
      <c r="K20" s="98">
        <v>6.83E-2</v>
      </c>
      <c r="L20" s="95">
        <v>0.1183</v>
      </c>
      <c r="M20" s="98">
        <v>0.3</v>
      </c>
    </row>
    <row r="21" spans="1:18">
      <c r="A21" s="111" t="s">
        <v>828</v>
      </c>
      <c r="B21" s="110"/>
      <c r="H21" s="100" t="s">
        <v>827</v>
      </c>
      <c r="I21" s="99" t="s">
        <v>692</v>
      </c>
      <c r="J21" s="98">
        <v>9.1000000000000004E-3</v>
      </c>
      <c r="K21" s="98">
        <v>1.2800000000000001E-2</v>
      </c>
      <c r="L21" s="95">
        <v>6.2799999999999995E-2</v>
      </c>
      <c r="M21" s="98">
        <v>0</v>
      </c>
    </row>
    <row r="22" spans="1:18">
      <c r="A22" s="107" t="s">
        <v>826</v>
      </c>
      <c r="B22" s="109">
        <f>'BABA Summary'!E76</f>
        <v>262168.56</v>
      </c>
      <c r="H22" s="100" t="s">
        <v>825</v>
      </c>
      <c r="I22" s="99" t="s">
        <v>688</v>
      </c>
      <c r="J22" s="98">
        <v>8.0199999999999994E-2</v>
      </c>
      <c r="K22" s="98">
        <v>0.1138</v>
      </c>
      <c r="L22" s="95">
        <v>0.1638</v>
      </c>
      <c r="M22" s="98">
        <v>0.25</v>
      </c>
    </row>
    <row r="23" spans="1:18">
      <c r="A23" s="107" t="s">
        <v>824</v>
      </c>
      <c r="B23" s="109">
        <f>'BABA Summary'!E77</f>
        <v>23494.959999999999</v>
      </c>
      <c r="H23" s="97" t="s">
        <v>823</v>
      </c>
      <c r="I23" s="96" t="s">
        <v>665</v>
      </c>
      <c r="J23" s="94">
        <v>6.9500000000000006E-2</v>
      </c>
      <c r="K23" s="94">
        <v>9.8599999999999993E-2</v>
      </c>
      <c r="L23" s="95">
        <v>0.14860000000000001</v>
      </c>
      <c r="M23" s="94">
        <v>0.1</v>
      </c>
    </row>
    <row r="24" spans="1:18">
      <c r="A24" s="107" t="s">
        <v>822</v>
      </c>
      <c r="B24" s="109">
        <f>B22+B23</f>
        <v>285663.52</v>
      </c>
      <c r="H24" s="97" t="s">
        <v>821</v>
      </c>
      <c r="I24" s="96" t="s">
        <v>690</v>
      </c>
      <c r="J24" s="94">
        <v>1.2800000000000001E-2</v>
      </c>
      <c r="K24" s="94">
        <v>1.8200000000000001E-2</v>
      </c>
      <c r="L24" s="95">
        <v>6.8199999999999997E-2</v>
      </c>
      <c r="M24" s="94">
        <v>0.22</v>
      </c>
    </row>
    <row r="25" spans="1:18">
      <c r="A25" s="107" t="s">
        <v>820</v>
      </c>
      <c r="B25" s="108">
        <f>B22/B24</f>
        <v>0.91775302635772316</v>
      </c>
      <c r="H25" s="97" t="s">
        <v>819</v>
      </c>
      <c r="I25" s="96" t="s">
        <v>646</v>
      </c>
      <c r="J25" s="94">
        <v>3.2199999999999999E-2</v>
      </c>
      <c r="K25" s="94">
        <v>4.5699999999999998E-2</v>
      </c>
      <c r="L25" s="95">
        <v>9.5699999999999993E-2</v>
      </c>
      <c r="M25" s="94">
        <v>0.34</v>
      </c>
    </row>
    <row r="26" spans="1:18">
      <c r="A26" s="107" t="s">
        <v>818</v>
      </c>
      <c r="B26" s="108">
        <f>B23/B24</f>
        <v>8.2246973642276747E-2</v>
      </c>
      <c r="H26" s="100" t="s">
        <v>817</v>
      </c>
      <c r="I26" s="99" t="s">
        <v>641</v>
      </c>
      <c r="J26" s="98">
        <v>6.4000000000000003E-3</v>
      </c>
      <c r="K26" s="98">
        <v>9.1000000000000004E-3</v>
      </c>
      <c r="L26" s="95">
        <v>5.91E-2</v>
      </c>
      <c r="M26" s="98">
        <v>0.185</v>
      </c>
    </row>
    <row r="27" spans="1:18">
      <c r="A27" s="107" t="s">
        <v>816</v>
      </c>
      <c r="B27" s="106">
        <f>1-B17</f>
        <v>0.78445695999999998</v>
      </c>
      <c r="H27" s="100" t="s">
        <v>815</v>
      </c>
      <c r="I27" s="99" t="s">
        <v>663</v>
      </c>
      <c r="J27" s="98">
        <v>1.7100000000000001E-2</v>
      </c>
      <c r="K27" s="98">
        <v>2.4299999999999999E-2</v>
      </c>
      <c r="L27" s="95">
        <v>7.4300000000000005E-2</v>
      </c>
      <c r="M27" s="98">
        <v>0.1</v>
      </c>
    </row>
    <row r="28" spans="1:18">
      <c r="A28" s="105" t="s">
        <v>814</v>
      </c>
      <c r="B28" s="104">
        <f>(B25*B7)+B26*B18*B27</f>
        <v>7.350077612636198E-2</v>
      </c>
      <c r="H28" s="100" t="s">
        <v>813</v>
      </c>
      <c r="I28" s="99" t="s">
        <v>688</v>
      </c>
      <c r="J28" s="98">
        <v>8.0199999999999994E-2</v>
      </c>
      <c r="K28" s="98">
        <v>0.1138</v>
      </c>
      <c r="L28" s="95">
        <v>0.1638</v>
      </c>
      <c r="M28" s="98">
        <v>0.28000000000000003</v>
      </c>
    </row>
    <row r="29" spans="1:18">
      <c r="H29" s="100" t="s">
        <v>812</v>
      </c>
      <c r="I29" s="99" t="s">
        <v>661</v>
      </c>
      <c r="J29" s="98">
        <v>5.8799999999999998E-2</v>
      </c>
      <c r="K29" s="98">
        <v>8.3500000000000005E-2</v>
      </c>
      <c r="L29" s="95">
        <v>0.13350000000000001</v>
      </c>
      <c r="M29" s="98">
        <v>0.2</v>
      </c>
    </row>
    <row r="30" spans="1:18">
      <c r="H30" s="100" t="s">
        <v>811</v>
      </c>
      <c r="I30" s="99" t="s">
        <v>661</v>
      </c>
      <c r="J30" s="98">
        <v>5.8799999999999998E-2</v>
      </c>
      <c r="K30" s="98">
        <v>8.3500000000000005E-2</v>
      </c>
      <c r="L30" s="95">
        <v>0.13350000000000001</v>
      </c>
      <c r="M30" s="98">
        <v>0.33</v>
      </c>
    </row>
    <row r="31" spans="1:18">
      <c r="H31" s="100" t="s">
        <v>810</v>
      </c>
      <c r="I31" s="99" t="s">
        <v>654</v>
      </c>
      <c r="J31" s="98">
        <v>0</v>
      </c>
      <c r="K31" s="98">
        <v>0</v>
      </c>
      <c r="L31" s="95">
        <v>0.05</v>
      </c>
      <c r="M31" s="98">
        <v>0.25</v>
      </c>
    </row>
    <row r="32" spans="1:18">
      <c r="H32" s="100" t="s">
        <v>809</v>
      </c>
      <c r="I32" s="99" t="s">
        <v>665</v>
      </c>
      <c r="J32" s="98">
        <v>6.9500000000000006E-2</v>
      </c>
      <c r="K32" s="98">
        <v>9.8599999999999993E-2</v>
      </c>
      <c r="L32" s="95">
        <v>0.14860000000000001</v>
      </c>
      <c r="M32" s="98">
        <v>0</v>
      </c>
    </row>
    <row r="33" spans="1:13">
      <c r="H33" s="100" t="s">
        <v>808</v>
      </c>
      <c r="I33" s="99" t="s">
        <v>656</v>
      </c>
      <c r="J33" s="98">
        <v>6.4000000000000003E-3</v>
      </c>
      <c r="K33" s="98">
        <v>9.1000000000000004E-3</v>
      </c>
      <c r="L33" s="95">
        <v>5.91E-2</v>
      </c>
      <c r="M33" s="98">
        <v>0</v>
      </c>
    </row>
    <row r="34" spans="1:13">
      <c r="A34" s="93" t="s">
        <v>1016</v>
      </c>
      <c r="B34" s="226">
        <f>'BABA Income Statement'!E81/'BABA Balance Sheet'!E115</f>
        <v>6.4758379244909611E-2</v>
      </c>
      <c r="H34" s="100" t="s">
        <v>807</v>
      </c>
      <c r="I34" s="99" t="s">
        <v>692</v>
      </c>
      <c r="J34" s="98">
        <v>9.1000000000000004E-3</v>
      </c>
      <c r="K34" s="98">
        <v>1.2800000000000001E-2</v>
      </c>
      <c r="L34" s="95">
        <v>6.2799999999999995E-2</v>
      </c>
      <c r="M34" s="98">
        <v>0.27</v>
      </c>
    </row>
    <row r="35" spans="1:13">
      <c r="A35" s="93" t="s">
        <v>1017</v>
      </c>
      <c r="B35" s="229">
        <f>'BABA Income Statement'!F72</f>
        <v>8.4767010581036681E-2</v>
      </c>
      <c r="H35" s="100" t="s">
        <v>806</v>
      </c>
      <c r="I35" s="99" t="s">
        <v>700</v>
      </c>
      <c r="J35" s="98">
        <v>7.4999999999999997E-3</v>
      </c>
      <c r="K35" s="98">
        <v>1.0699999999999999E-2</v>
      </c>
      <c r="L35" s="95">
        <v>6.0699999999999997E-2</v>
      </c>
      <c r="M35" s="98">
        <v>0.25</v>
      </c>
    </row>
    <row r="36" spans="1:13">
      <c r="A36" s="93" t="s">
        <v>1018</v>
      </c>
      <c r="B36" s="230">
        <f>'BABA Summary'!E82</f>
        <v>0.49</v>
      </c>
      <c r="H36" s="100" t="s">
        <v>805</v>
      </c>
      <c r="I36" s="99" t="s">
        <v>652</v>
      </c>
      <c r="J36" s="98">
        <v>2.0400000000000001E-2</v>
      </c>
      <c r="K36" s="98">
        <v>2.8899999999999999E-2</v>
      </c>
      <c r="L36" s="95">
        <v>7.8899999999999998E-2</v>
      </c>
      <c r="M36" s="98">
        <v>0.35</v>
      </c>
    </row>
    <row r="37" spans="1:13">
      <c r="A37" s="93" t="s">
        <v>1019</v>
      </c>
      <c r="B37" s="226">
        <f>'BABA Balance Sheet'!E71/'BABA Balance Sheet'!E115</f>
        <v>1.5611463057051693</v>
      </c>
      <c r="H37" s="100" t="s">
        <v>804</v>
      </c>
      <c r="I37" s="99" t="s">
        <v>665</v>
      </c>
      <c r="J37" s="98">
        <v>6.9500000000000006E-2</v>
      </c>
      <c r="K37" s="98">
        <v>9.8599999999999993E-2</v>
      </c>
      <c r="L37" s="95">
        <v>0.14860000000000001</v>
      </c>
      <c r="M37" s="98">
        <v>0.3</v>
      </c>
    </row>
    <row r="38" spans="1:13">
      <c r="B38" s="231"/>
      <c r="H38" s="100" t="s">
        <v>803</v>
      </c>
      <c r="I38" s="99" t="s">
        <v>667</v>
      </c>
      <c r="J38" s="98">
        <v>9.6299999999999997E-2</v>
      </c>
      <c r="K38" s="98">
        <v>0.1366</v>
      </c>
      <c r="L38" s="95">
        <v>0.18659999999999999</v>
      </c>
      <c r="M38" s="98">
        <v>0.28000000000000003</v>
      </c>
    </row>
    <row r="39" spans="1:13">
      <c r="H39" s="100" t="s">
        <v>802</v>
      </c>
      <c r="I39" s="99" t="s">
        <v>661</v>
      </c>
      <c r="J39" s="98">
        <v>5.8799999999999998E-2</v>
      </c>
      <c r="K39" s="98">
        <v>8.3500000000000005E-2</v>
      </c>
      <c r="L39" s="95">
        <v>0.13350000000000001</v>
      </c>
      <c r="M39" s="98">
        <v>0.2843</v>
      </c>
    </row>
    <row r="40" spans="1:13">
      <c r="H40" s="100" t="s">
        <v>801</v>
      </c>
      <c r="I40" s="99" t="s">
        <v>661</v>
      </c>
      <c r="J40" s="98">
        <v>5.8799999999999998E-2</v>
      </c>
      <c r="K40" s="98">
        <v>8.3500000000000005E-2</v>
      </c>
      <c r="L40" s="95">
        <v>0.13350000000000001</v>
      </c>
      <c r="M40" s="98">
        <v>0.3</v>
      </c>
    </row>
    <row r="41" spans="1:13">
      <c r="H41" s="100" t="s">
        <v>800</v>
      </c>
      <c r="I41" s="99" t="s">
        <v>650</v>
      </c>
      <c r="J41" s="98">
        <v>3.85E-2</v>
      </c>
      <c r="K41" s="98">
        <v>5.4600000000000003E-2</v>
      </c>
      <c r="L41" s="95">
        <v>0.1046</v>
      </c>
      <c r="M41" s="98">
        <v>0.25</v>
      </c>
    </row>
    <row r="42" spans="1:13">
      <c r="H42" s="100" t="s">
        <v>799</v>
      </c>
      <c r="I42" s="99" t="s">
        <v>652</v>
      </c>
      <c r="J42" s="98">
        <v>2.0400000000000001E-2</v>
      </c>
      <c r="K42" s="98">
        <v>2.8899999999999999E-2</v>
      </c>
      <c r="L42" s="95">
        <v>7.8899999999999998E-2</v>
      </c>
      <c r="M42" s="98">
        <v>0.18</v>
      </c>
    </row>
    <row r="43" spans="1:13">
      <c r="H43" s="100" t="s">
        <v>798</v>
      </c>
      <c r="I43" s="99" t="s">
        <v>643</v>
      </c>
      <c r="J43" s="98">
        <v>0.12839999999999999</v>
      </c>
      <c r="K43" s="98">
        <v>0.18210000000000001</v>
      </c>
      <c r="L43" s="95">
        <v>0.2321</v>
      </c>
      <c r="M43" s="98">
        <v>0.27179999999999999</v>
      </c>
    </row>
    <row r="44" spans="1:13">
      <c r="H44" s="100" t="s">
        <v>797</v>
      </c>
      <c r="I44" s="99" t="s">
        <v>652</v>
      </c>
      <c r="J44" s="98">
        <v>2.0400000000000001E-2</v>
      </c>
      <c r="K44" s="98">
        <v>2.8899999999999999E-2</v>
      </c>
      <c r="L44" s="95">
        <v>7.8899999999999998E-2</v>
      </c>
      <c r="M44" s="98">
        <v>0.22</v>
      </c>
    </row>
    <row r="45" spans="1:13">
      <c r="H45" s="100" t="s">
        <v>796</v>
      </c>
      <c r="I45" s="99" t="s">
        <v>696</v>
      </c>
      <c r="J45" s="98">
        <v>2.6800000000000001E-2</v>
      </c>
      <c r="K45" s="98">
        <v>3.7999999999999999E-2</v>
      </c>
      <c r="L45" s="95">
        <v>8.7999999999999995E-2</v>
      </c>
      <c r="M45" s="98">
        <v>0.125</v>
      </c>
    </row>
    <row r="46" spans="1:13">
      <c r="H46" s="100" t="s">
        <v>795</v>
      </c>
      <c r="I46" s="99" t="s">
        <v>656</v>
      </c>
      <c r="J46" s="98">
        <v>6.4000000000000003E-3</v>
      </c>
      <c r="K46" s="98">
        <v>9.1000000000000004E-3</v>
      </c>
      <c r="L46" s="95">
        <v>5.91E-2</v>
      </c>
      <c r="M46" s="98">
        <v>0.19</v>
      </c>
    </row>
    <row r="47" spans="1:13">
      <c r="H47" s="100" t="s">
        <v>794</v>
      </c>
      <c r="I47" s="99" t="s">
        <v>654</v>
      </c>
      <c r="J47" s="98">
        <v>0</v>
      </c>
      <c r="K47" s="98">
        <v>0</v>
      </c>
      <c r="L47" s="95">
        <v>0.05</v>
      </c>
      <c r="M47" s="98">
        <v>0.22</v>
      </c>
    </row>
    <row r="48" spans="1:13">
      <c r="H48" s="97" t="s">
        <v>793</v>
      </c>
      <c r="I48" s="96" t="s">
        <v>650</v>
      </c>
      <c r="J48" s="94">
        <v>3.85E-2</v>
      </c>
      <c r="K48" s="94">
        <v>5.4600000000000003E-2</v>
      </c>
      <c r="L48" s="95">
        <v>0.1046</v>
      </c>
      <c r="M48" s="94">
        <v>0.27</v>
      </c>
    </row>
    <row r="49" spans="8:13">
      <c r="H49" s="100" t="s">
        <v>792</v>
      </c>
      <c r="I49" s="99" t="s">
        <v>679</v>
      </c>
      <c r="J49" s="98">
        <v>0.107</v>
      </c>
      <c r="K49" s="98">
        <v>0.15179999999999999</v>
      </c>
      <c r="L49" s="95">
        <v>0.20180000000000001</v>
      </c>
      <c r="M49" s="98">
        <v>0.25</v>
      </c>
    </row>
    <row r="50" spans="8:13">
      <c r="H50" s="100" t="s">
        <v>791</v>
      </c>
      <c r="I50" s="99" t="s">
        <v>665</v>
      </c>
      <c r="J50" s="98">
        <v>6.9500000000000006E-2</v>
      </c>
      <c r="K50" s="98">
        <v>9.8599999999999993E-2</v>
      </c>
      <c r="L50" s="95">
        <v>0.14860000000000001</v>
      </c>
      <c r="M50" s="98">
        <v>0.22500000000000001</v>
      </c>
    </row>
    <row r="51" spans="8:13">
      <c r="H51" s="100" t="s">
        <v>790</v>
      </c>
      <c r="I51" s="99" t="s">
        <v>679</v>
      </c>
      <c r="J51" s="98">
        <v>0.107</v>
      </c>
      <c r="K51" s="98">
        <v>0.15179999999999999</v>
      </c>
      <c r="L51" s="95">
        <v>0.20180000000000001</v>
      </c>
      <c r="M51" s="98">
        <v>0.3</v>
      </c>
    </row>
    <row r="52" spans="8:13">
      <c r="H52" s="100" t="s">
        <v>789</v>
      </c>
      <c r="I52" s="99" t="s">
        <v>700</v>
      </c>
      <c r="J52" s="98">
        <v>7.4999999999999997E-3</v>
      </c>
      <c r="K52" s="98">
        <v>1.0699999999999999E-2</v>
      </c>
      <c r="L52" s="95">
        <v>6.0699999999999997E-2</v>
      </c>
      <c r="M52" s="98">
        <v>0.2</v>
      </c>
    </row>
    <row r="53" spans="8:13">
      <c r="H53" s="100" t="s">
        <v>788</v>
      </c>
      <c r="I53" s="99" t="s">
        <v>667</v>
      </c>
      <c r="J53" s="98">
        <v>9.6299999999999997E-2</v>
      </c>
      <c r="K53" s="98">
        <v>0.1366</v>
      </c>
      <c r="L53" s="95">
        <v>0.18659999999999999</v>
      </c>
      <c r="M53" s="98">
        <v>0.3</v>
      </c>
    </row>
    <row r="54" spans="8:13">
      <c r="H54" s="100" t="s">
        <v>787</v>
      </c>
      <c r="I54" s="99" t="s">
        <v>723</v>
      </c>
      <c r="J54" s="98">
        <v>4.82E-2</v>
      </c>
      <c r="K54" s="98">
        <v>6.83E-2</v>
      </c>
      <c r="L54" s="95">
        <v>0.1183</v>
      </c>
      <c r="M54" s="98">
        <v>0.2</v>
      </c>
    </row>
    <row r="55" spans="8:13">
      <c r="H55" s="100" t="s">
        <v>786</v>
      </c>
      <c r="I55" s="99" t="s">
        <v>785</v>
      </c>
      <c r="J55" s="98">
        <v>4.3E-3</v>
      </c>
      <c r="K55" s="98">
        <v>6.1000000000000004E-3</v>
      </c>
      <c r="L55" s="95">
        <v>5.6099999999999997E-2</v>
      </c>
      <c r="M55" s="98">
        <v>0.2</v>
      </c>
    </row>
    <row r="56" spans="8:13">
      <c r="H56" s="100" t="s">
        <v>784</v>
      </c>
      <c r="I56" s="99" t="s">
        <v>658</v>
      </c>
      <c r="J56" s="98">
        <v>5.3E-3</v>
      </c>
      <c r="K56" s="98">
        <v>7.4999999999999997E-3</v>
      </c>
      <c r="L56" s="95">
        <v>5.7500000000000002E-2</v>
      </c>
      <c r="M56" s="98">
        <v>0.25</v>
      </c>
    </row>
    <row r="57" spans="8:13">
      <c r="H57" s="100" t="s">
        <v>783</v>
      </c>
      <c r="I57" s="99" t="s">
        <v>688</v>
      </c>
      <c r="J57" s="98">
        <v>8.0199999999999994E-2</v>
      </c>
      <c r="K57" s="98">
        <v>0.1138</v>
      </c>
      <c r="L57" s="95">
        <v>0.1638</v>
      </c>
      <c r="M57" s="98">
        <v>0.3</v>
      </c>
    </row>
    <row r="58" spans="8:13">
      <c r="H58" s="100" t="s">
        <v>782</v>
      </c>
      <c r="I58" s="99" t="s">
        <v>641</v>
      </c>
      <c r="J58" s="98">
        <v>5.8799999999999998E-2</v>
      </c>
      <c r="K58" s="98">
        <v>8.3500000000000005E-2</v>
      </c>
      <c r="L58" s="95">
        <v>0.13350000000000001</v>
      </c>
      <c r="M58" s="98">
        <v>0.31</v>
      </c>
    </row>
    <row r="59" spans="8:13">
      <c r="H59" s="100" t="s">
        <v>781</v>
      </c>
      <c r="I59" s="99" t="s">
        <v>646</v>
      </c>
      <c r="J59" s="98">
        <v>3.2199999999999999E-2</v>
      </c>
      <c r="K59" s="98">
        <v>4.5699999999999998E-2</v>
      </c>
      <c r="L59" s="95">
        <v>9.5699999999999993E-2</v>
      </c>
      <c r="M59" s="98">
        <v>0.15</v>
      </c>
    </row>
    <row r="60" spans="8:13">
      <c r="H60" s="100" t="s">
        <v>780</v>
      </c>
      <c r="I60" s="99" t="s">
        <v>654</v>
      </c>
      <c r="J60" s="98">
        <v>0</v>
      </c>
      <c r="K60" s="98">
        <v>0</v>
      </c>
      <c r="L60" s="95">
        <v>0.05</v>
      </c>
      <c r="M60" s="98">
        <v>0.3</v>
      </c>
    </row>
    <row r="61" spans="8:13">
      <c r="H61" s="100" t="s">
        <v>779</v>
      </c>
      <c r="I61" s="99" t="s">
        <v>643</v>
      </c>
      <c r="J61" s="98">
        <v>0.12839999999999999</v>
      </c>
      <c r="K61" s="98">
        <v>0.18210000000000001</v>
      </c>
      <c r="L61" s="95">
        <v>0.2321</v>
      </c>
      <c r="M61" s="98">
        <v>0.25</v>
      </c>
    </row>
    <row r="62" spans="8:13">
      <c r="H62" s="97" t="s">
        <v>778</v>
      </c>
      <c r="I62" s="96" t="s">
        <v>650</v>
      </c>
      <c r="J62" s="94">
        <v>3.85E-2</v>
      </c>
      <c r="K62" s="94">
        <v>5.4600000000000003E-2</v>
      </c>
      <c r="L62" s="95">
        <v>0.1046</v>
      </c>
      <c r="M62" s="94">
        <v>0.22</v>
      </c>
    </row>
    <row r="63" spans="8:13">
      <c r="H63" s="100" t="s">
        <v>777</v>
      </c>
      <c r="I63" s="99" t="s">
        <v>696</v>
      </c>
      <c r="J63" s="98">
        <v>2.6800000000000001E-2</v>
      </c>
      <c r="K63" s="98">
        <v>3.7999999999999999E-2</v>
      </c>
      <c r="L63" s="95">
        <v>8.7999999999999995E-2</v>
      </c>
      <c r="M63" s="98">
        <v>0.25</v>
      </c>
    </row>
    <row r="64" spans="8:13">
      <c r="H64" s="100" t="s">
        <v>776</v>
      </c>
      <c r="I64" s="99" t="s">
        <v>658</v>
      </c>
      <c r="J64" s="98">
        <v>5.3E-3</v>
      </c>
      <c r="K64" s="98">
        <v>7.4999999999999997E-3</v>
      </c>
      <c r="L64" s="95">
        <v>5.7500000000000002E-2</v>
      </c>
      <c r="M64" s="98">
        <v>0</v>
      </c>
    </row>
    <row r="65" spans="8:13">
      <c r="H65" s="100" t="s">
        <v>775</v>
      </c>
      <c r="I65" s="99" t="s">
        <v>641</v>
      </c>
      <c r="J65" s="98">
        <v>9.6299999999999997E-2</v>
      </c>
      <c r="K65" s="98">
        <v>0.1366</v>
      </c>
      <c r="L65" s="95">
        <v>0.18659999999999999</v>
      </c>
      <c r="M65" s="98">
        <v>0.29149999999999998</v>
      </c>
    </row>
    <row r="66" spans="8:13">
      <c r="H66" s="100" t="s">
        <v>774</v>
      </c>
      <c r="I66" s="99" t="s">
        <v>641</v>
      </c>
      <c r="J66" s="98">
        <v>5.8799999999999998E-2</v>
      </c>
      <c r="K66" s="98">
        <v>8.3500000000000005E-2</v>
      </c>
      <c r="L66" s="95">
        <v>0.13350000000000001</v>
      </c>
      <c r="M66" s="98">
        <v>0.29149999999999998</v>
      </c>
    </row>
    <row r="67" spans="8:13">
      <c r="H67" s="100" t="s">
        <v>773</v>
      </c>
      <c r="I67" s="99" t="s">
        <v>641</v>
      </c>
      <c r="J67" s="98">
        <v>1.7100000000000001E-2</v>
      </c>
      <c r="K67" s="98">
        <v>2.4299999999999999E-2</v>
      </c>
      <c r="L67" s="95">
        <v>7.4300000000000005E-2</v>
      </c>
      <c r="M67" s="98">
        <v>0.18640000000000001</v>
      </c>
    </row>
    <row r="68" spans="8:13">
      <c r="H68" s="100" t="s">
        <v>772</v>
      </c>
      <c r="I68" s="99" t="s">
        <v>641</v>
      </c>
      <c r="J68" s="98">
        <v>0.12839999999999999</v>
      </c>
      <c r="K68" s="98">
        <v>0.18210000000000001</v>
      </c>
      <c r="L68" s="95">
        <v>0.2321</v>
      </c>
      <c r="M68" s="98">
        <v>0.18640000000000001</v>
      </c>
    </row>
    <row r="69" spans="8:13">
      <c r="H69" s="100" t="s">
        <v>771</v>
      </c>
      <c r="I69" s="99" t="s">
        <v>723</v>
      </c>
      <c r="J69" s="98">
        <v>4.82E-2</v>
      </c>
      <c r="K69" s="98">
        <v>6.83E-2</v>
      </c>
      <c r="L69" s="95">
        <v>0.1183</v>
      </c>
      <c r="M69" s="98">
        <v>0.25</v>
      </c>
    </row>
    <row r="70" spans="8:13">
      <c r="H70" s="100" t="s">
        <v>770</v>
      </c>
      <c r="I70" s="99" t="s">
        <v>656</v>
      </c>
      <c r="J70" s="98">
        <v>6.4000000000000003E-3</v>
      </c>
      <c r="K70" s="98">
        <v>9.1000000000000004E-3</v>
      </c>
      <c r="L70" s="95">
        <v>5.91E-2</v>
      </c>
      <c r="M70" s="98">
        <v>0.16500000000000001</v>
      </c>
    </row>
    <row r="71" spans="8:13">
      <c r="H71" s="97" t="s">
        <v>769</v>
      </c>
      <c r="I71" s="96" t="s">
        <v>652</v>
      </c>
      <c r="J71" s="94">
        <v>2.0400000000000001E-2</v>
      </c>
      <c r="K71" s="94">
        <v>2.8899999999999999E-2</v>
      </c>
      <c r="L71" s="95">
        <v>7.8899999999999998E-2</v>
      </c>
      <c r="M71" s="94">
        <v>0.09</v>
      </c>
    </row>
    <row r="72" spans="8:13">
      <c r="H72" s="100" t="s">
        <v>768</v>
      </c>
      <c r="I72" s="99" t="s">
        <v>692</v>
      </c>
      <c r="J72" s="98">
        <v>9.1000000000000004E-3</v>
      </c>
      <c r="K72" s="98">
        <v>1.2800000000000001E-2</v>
      </c>
      <c r="L72" s="95">
        <v>6.2799999999999995E-2</v>
      </c>
      <c r="M72" s="98">
        <v>0.2</v>
      </c>
    </row>
    <row r="73" spans="8:13">
      <c r="H73" s="100" t="s">
        <v>767</v>
      </c>
      <c r="I73" s="99" t="s">
        <v>704</v>
      </c>
      <c r="J73" s="98">
        <v>2.35E-2</v>
      </c>
      <c r="K73" s="98">
        <v>3.3300000000000003E-2</v>
      </c>
      <c r="L73" s="95">
        <v>8.3299999999999999E-2</v>
      </c>
      <c r="M73" s="98">
        <v>0.3</v>
      </c>
    </row>
    <row r="74" spans="8:13">
      <c r="H74" s="100" t="s">
        <v>766</v>
      </c>
      <c r="I74" s="99" t="s">
        <v>652</v>
      </c>
      <c r="J74" s="98">
        <v>2.0400000000000001E-2</v>
      </c>
      <c r="K74" s="98">
        <v>2.8899999999999999E-2</v>
      </c>
      <c r="L74" s="95">
        <v>7.8899999999999998E-2</v>
      </c>
      <c r="M74" s="98">
        <v>0.22</v>
      </c>
    </row>
    <row r="75" spans="8:13">
      <c r="H75" s="100" t="s">
        <v>765</v>
      </c>
      <c r="I75" s="99" t="s">
        <v>641</v>
      </c>
      <c r="J75" s="98">
        <v>6.9500000000000006E-2</v>
      </c>
      <c r="K75" s="98">
        <v>9.8599999999999993E-2</v>
      </c>
      <c r="L75" s="95">
        <v>0.14860000000000001</v>
      </c>
      <c r="M75" s="98">
        <v>0.20230000000000001</v>
      </c>
    </row>
    <row r="76" spans="8:13">
      <c r="H76" s="100" t="s">
        <v>764</v>
      </c>
      <c r="I76" s="99" t="s">
        <v>688</v>
      </c>
      <c r="J76" s="98">
        <v>8.0199999999999994E-2</v>
      </c>
      <c r="K76" s="98">
        <v>0.1138</v>
      </c>
      <c r="L76" s="95">
        <v>0.1638</v>
      </c>
      <c r="M76" s="98">
        <v>0.15</v>
      </c>
    </row>
    <row r="77" spans="8:13">
      <c r="H77" s="100" t="s">
        <v>763</v>
      </c>
      <c r="I77" s="99" t="s">
        <v>656</v>
      </c>
      <c r="J77" s="98">
        <v>6.4000000000000003E-3</v>
      </c>
      <c r="K77" s="98">
        <v>9.1000000000000004E-3</v>
      </c>
      <c r="L77" s="95">
        <v>5.91E-2</v>
      </c>
      <c r="M77" s="98">
        <v>0.125</v>
      </c>
    </row>
    <row r="78" spans="8:13">
      <c r="H78" s="100" t="s">
        <v>762</v>
      </c>
      <c r="I78" s="99" t="s">
        <v>656</v>
      </c>
      <c r="J78" s="98">
        <v>6.4000000000000003E-3</v>
      </c>
      <c r="K78" s="98">
        <v>9.1000000000000004E-3</v>
      </c>
      <c r="L78" s="95">
        <v>5.91E-2</v>
      </c>
      <c r="M78" s="98">
        <v>0</v>
      </c>
    </row>
    <row r="79" spans="8:13">
      <c r="H79" s="100" t="s">
        <v>761</v>
      </c>
      <c r="I79" s="99" t="s">
        <v>700</v>
      </c>
      <c r="J79" s="98">
        <v>7.4999999999999997E-3</v>
      </c>
      <c r="K79" s="98">
        <v>1.0699999999999999E-2</v>
      </c>
      <c r="L79" s="95">
        <v>6.0699999999999997E-2</v>
      </c>
      <c r="M79" s="98">
        <v>0.23</v>
      </c>
    </row>
    <row r="80" spans="8:13">
      <c r="H80" s="97" t="s">
        <v>760</v>
      </c>
      <c r="I80" s="96" t="s">
        <v>704</v>
      </c>
      <c r="J80" s="94">
        <v>2.35E-2</v>
      </c>
      <c r="K80" s="94">
        <v>3.3300000000000003E-2</v>
      </c>
      <c r="L80" s="95">
        <v>8.3299999999999999E-2</v>
      </c>
      <c r="M80" s="94">
        <v>0.24</v>
      </c>
    </row>
    <row r="81" spans="8:13">
      <c r="H81" s="97" t="s">
        <v>759</v>
      </c>
      <c r="I81" s="96" t="s">
        <v>661</v>
      </c>
      <c r="J81" s="94">
        <v>5.8799999999999998E-2</v>
      </c>
      <c r="K81" s="94">
        <v>8.3500000000000005E-2</v>
      </c>
      <c r="L81" s="95">
        <v>0.13350000000000001</v>
      </c>
      <c r="M81" s="94">
        <v>0.25</v>
      </c>
    </row>
    <row r="82" spans="8:13">
      <c r="H82" s="100" t="s">
        <v>758</v>
      </c>
      <c r="I82" s="99" t="s">
        <v>700</v>
      </c>
      <c r="J82" s="98">
        <v>7.4999999999999997E-3</v>
      </c>
      <c r="K82" s="98">
        <v>1.0699999999999999E-2</v>
      </c>
      <c r="L82" s="95">
        <v>6.0699999999999997E-2</v>
      </c>
      <c r="M82" s="98">
        <v>0.23200000000000001</v>
      </c>
    </row>
    <row r="83" spans="8:13">
      <c r="H83" s="100" t="s">
        <v>757</v>
      </c>
      <c r="I83" s="99" t="s">
        <v>656</v>
      </c>
      <c r="J83" s="98">
        <v>6.4000000000000003E-3</v>
      </c>
      <c r="K83" s="98">
        <v>9.1000000000000004E-3</v>
      </c>
      <c r="L83" s="95">
        <v>5.91E-2</v>
      </c>
      <c r="M83" s="98">
        <v>0</v>
      </c>
    </row>
    <row r="84" spans="8:13">
      <c r="H84" s="100" t="s">
        <v>756</v>
      </c>
      <c r="I84" s="99" t="s">
        <v>723</v>
      </c>
      <c r="J84" s="98">
        <v>4.82E-2</v>
      </c>
      <c r="K84" s="98">
        <v>6.83E-2</v>
      </c>
      <c r="L84" s="95">
        <v>0.1183</v>
      </c>
      <c r="M84" s="98">
        <v>0.2</v>
      </c>
    </row>
    <row r="85" spans="8:13">
      <c r="H85" s="97" t="s">
        <v>755</v>
      </c>
      <c r="I85" s="96" t="s">
        <v>652</v>
      </c>
      <c r="J85" s="94">
        <v>2.0400000000000001E-2</v>
      </c>
      <c r="K85" s="94">
        <v>2.8899999999999999E-2</v>
      </c>
      <c r="L85" s="95">
        <v>7.8899999999999998E-2</v>
      </c>
      <c r="M85" s="94">
        <v>0.2</v>
      </c>
    </row>
    <row r="86" spans="8:13">
      <c r="H86" s="100" t="s">
        <v>754</v>
      </c>
      <c r="I86" s="99" t="s">
        <v>665</v>
      </c>
      <c r="J86" s="98">
        <v>6.9500000000000006E-2</v>
      </c>
      <c r="K86" s="98">
        <v>9.8599999999999993E-2</v>
      </c>
      <c r="L86" s="95">
        <v>0.14860000000000001</v>
      </c>
      <c r="M86" s="98">
        <v>0.3</v>
      </c>
    </row>
    <row r="87" spans="8:13">
      <c r="H87" s="100" t="s">
        <v>753</v>
      </c>
      <c r="I87" s="99" t="s">
        <v>658</v>
      </c>
      <c r="J87" s="98">
        <v>5.3E-3</v>
      </c>
      <c r="K87" s="98">
        <v>7.4999999999999997E-3</v>
      </c>
      <c r="L87" s="95">
        <v>5.7500000000000002E-2</v>
      </c>
      <c r="M87" s="98">
        <v>0.25</v>
      </c>
    </row>
    <row r="88" spans="8:13">
      <c r="H88" s="100" t="s">
        <v>752</v>
      </c>
      <c r="I88" s="99" t="s">
        <v>641</v>
      </c>
      <c r="J88" s="98">
        <v>0.12839999999999999</v>
      </c>
      <c r="K88" s="98">
        <v>0.18210000000000001</v>
      </c>
      <c r="L88" s="95">
        <v>0.2321</v>
      </c>
      <c r="M88" s="98">
        <v>0.23100000000000001</v>
      </c>
    </row>
    <row r="89" spans="8:13">
      <c r="H89" s="100" t="s">
        <v>751</v>
      </c>
      <c r="I89" s="99" t="s">
        <v>700</v>
      </c>
      <c r="J89" s="98">
        <v>7.4999999999999997E-3</v>
      </c>
      <c r="K89" s="98">
        <v>1.0699999999999999E-2</v>
      </c>
      <c r="L89" s="95">
        <v>6.0699999999999997E-2</v>
      </c>
      <c r="M89" s="98">
        <v>0.15</v>
      </c>
    </row>
    <row r="90" spans="8:13">
      <c r="H90" s="100" t="s">
        <v>750</v>
      </c>
      <c r="I90" s="99" t="s">
        <v>665</v>
      </c>
      <c r="J90" s="98">
        <v>6.9500000000000006E-2</v>
      </c>
      <c r="K90" s="98">
        <v>9.8599999999999993E-2</v>
      </c>
      <c r="L90" s="95">
        <v>0.14860000000000001</v>
      </c>
      <c r="M90" s="98">
        <v>0.1</v>
      </c>
    </row>
    <row r="91" spans="8:13">
      <c r="H91" s="100" t="s">
        <v>749</v>
      </c>
      <c r="I91" s="99" t="s">
        <v>679</v>
      </c>
      <c r="J91" s="98">
        <v>0.107</v>
      </c>
      <c r="K91" s="98">
        <v>0.15179999999999999</v>
      </c>
      <c r="L91" s="95">
        <v>0.20180000000000001</v>
      </c>
      <c r="M91" s="98">
        <v>0.2281</v>
      </c>
    </row>
    <row r="92" spans="8:13">
      <c r="H92" s="100" t="s">
        <v>748</v>
      </c>
      <c r="I92" s="99" t="s">
        <v>690</v>
      </c>
      <c r="J92" s="98">
        <v>1.2800000000000001E-2</v>
      </c>
      <c r="K92" s="98">
        <v>1.8200000000000001E-2</v>
      </c>
      <c r="L92" s="95">
        <v>6.8199999999999997E-2</v>
      </c>
      <c r="M92" s="98">
        <v>0.2</v>
      </c>
    </row>
    <row r="93" spans="8:13">
      <c r="H93" s="100" t="s">
        <v>747</v>
      </c>
      <c r="I93" s="99" t="s">
        <v>648</v>
      </c>
      <c r="J93" s="98">
        <v>0.17499999999999999</v>
      </c>
      <c r="K93" s="98">
        <v>0.2482</v>
      </c>
      <c r="L93" s="95">
        <v>0.29820000000000002</v>
      </c>
      <c r="M93" s="98">
        <v>0.17</v>
      </c>
    </row>
    <row r="94" spans="8:13">
      <c r="H94" s="100" t="s">
        <v>746</v>
      </c>
      <c r="I94" s="99" t="s">
        <v>641</v>
      </c>
      <c r="J94" s="98">
        <v>0.107</v>
      </c>
      <c r="K94" s="98">
        <v>0.15179999999999999</v>
      </c>
      <c r="L94" s="95">
        <v>0.20180000000000001</v>
      </c>
      <c r="M94" s="98">
        <v>0.29149999999999998</v>
      </c>
    </row>
    <row r="95" spans="8:13">
      <c r="H95" s="100" t="s">
        <v>745</v>
      </c>
      <c r="I95" s="99" t="s">
        <v>641</v>
      </c>
      <c r="J95" s="98">
        <v>2.0400000000000001E-2</v>
      </c>
      <c r="K95" s="98">
        <v>2.8899999999999999E-2</v>
      </c>
      <c r="L95" s="95">
        <v>7.8899999999999998E-2</v>
      </c>
      <c r="M95" s="98">
        <v>0.2</v>
      </c>
    </row>
    <row r="96" spans="8:13">
      <c r="H96" s="100" t="s">
        <v>744</v>
      </c>
      <c r="I96" s="99" t="s">
        <v>654</v>
      </c>
      <c r="J96" s="98">
        <v>0</v>
      </c>
      <c r="K96" s="98">
        <v>0</v>
      </c>
      <c r="L96" s="95">
        <v>0.05</v>
      </c>
      <c r="M96" s="98">
        <v>0.125</v>
      </c>
    </row>
    <row r="97" spans="8:13">
      <c r="H97" s="100" t="s">
        <v>743</v>
      </c>
      <c r="I97" s="99" t="s">
        <v>692</v>
      </c>
      <c r="J97" s="98">
        <v>9.1000000000000004E-3</v>
      </c>
      <c r="K97" s="98">
        <v>1.2800000000000001E-2</v>
      </c>
      <c r="L97" s="95">
        <v>6.2799999999999995E-2</v>
      </c>
      <c r="M97" s="98">
        <v>0.15</v>
      </c>
    </row>
    <row r="98" spans="8:13">
      <c r="H98" s="100" t="s">
        <v>742</v>
      </c>
      <c r="I98" s="99" t="s">
        <v>654</v>
      </c>
      <c r="J98" s="98">
        <v>0</v>
      </c>
      <c r="K98" s="98">
        <v>0</v>
      </c>
      <c r="L98" s="95">
        <v>0.05</v>
      </c>
      <c r="M98" s="98">
        <v>0.24940000000000001</v>
      </c>
    </row>
    <row r="99" spans="8:13">
      <c r="H99" s="100" t="s">
        <v>741</v>
      </c>
      <c r="I99" s="99" t="s">
        <v>656</v>
      </c>
      <c r="J99" s="98">
        <v>6.4000000000000003E-3</v>
      </c>
      <c r="K99" s="98">
        <v>9.1000000000000004E-3</v>
      </c>
      <c r="L99" s="95">
        <v>5.91E-2</v>
      </c>
      <c r="M99" s="98">
        <v>0.2281</v>
      </c>
    </row>
    <row r="100" spans="8:13">
      <c r="H100" s="100" t="s">
        <v>740</v>
      </c>
      <c r="I100" s="99" t="s">
        <v>650</v>
      </c>
      <c r="J100" s="98">
        <v>3.85E-2</v>
      </c>
      <c r="K100" s="98">
        <v>5.4600000000000003E-2</v>
      </c>
      <c r="L100" s="95">
        <v>0.1046</v>
      </c>
      <c r="M100" s="98">
        <v>0.1</v>
      </c>
    </row>
    <row r="101" spans="8:13">
      <c r="H101" s="100" t="s">
        <v>739</v>
      </c>
      <c r="I101" s="99" t="s">
        <v>641</v>
      </c>
      <c r="J101" s="98">
        <v>6.9500000000000006E-2</v>
      </c>
      <c r="K101" s="98">
        <v>9.8599999999999993E-2</v>
      </c>
      <c r="L101" s="95">
        <v>0.14860000000000001</v>
      </c>
      <c r="M101" s="98">
        <v>0.2</v>
      </c>
    </row>
    <row r="102" spans="8:13">
      <c r="H102" s="100" t="s">
        <v>738</v>
      </c>
      <c r="I102" s="99" t="s">
        <v>641</v>
      </c>
      <c r="J102" s="98">
        <v>0.12839999999999999</v>
      </c>
      <c r="K102" s="98">
        <v>0.18210000000000001</v>
      </c>
      <c r="L102" s="95">
        <v>0.2321</v>
      </c>
      <c r="M102" s="98">
        <v>0.3</v>
      </c>
    </row>
    <row r="103" spans="8:13">
      <c r="H103" s="100" t="s">
        <v>737</v>
      </c>
      <c r="I103" s="99" t="s">
        <v>690</v>
      </c>
      <c r="J103" s="98">
        <v>1.2800000000000001E-2</v>
      </c>
      <c r="K103" s="98">
        <v>1.8200000000000001E-2</v>
      </c>
      <c r="L103" s="95">
        <v>6.8199999999999997E-2</v>
      </c>
      <c r="M103" s="98">
        <v>0.24</v>
      </c>
    </row>
    <row r="104" spans="8:13">
      <c r="H104" s="100" t="s">
        <v>736</v>
      </c>
      <c r="I104" s="99" t="s">
        <v>688</v>
      </c>
      <c r="J104" s="98">
        <v>8.0199999999999994E-2</v>
      </c>
      <c r="K104" s="98">
        <v>0.1138</v>
      </c>
      <c r="L104" s="95">
        <v>0.1638</v>
      </c>
      <c r="M104" s="98">
        <v>0.2281</v>
      </c>
    </row>
    <row r="105" spans="8:13">
      <c r="H105" s="100" t="s">
        <v>735</v>
      </c>
      <c r="I105" s="99" t="s">
        <v>667</v>
      </c>
      <c r="J105" s="98">
        <v>9.6299999999999997E-2</v>
      </c>
      <c r="K105" s="98">
        <v>0.1366</v>
      </c>
      <c r="L105" s="95">
        <v>0.18659999999999999</v>
      </c>
      <c r="M105" s="98">
        <v>0.2281</v>
      </c>
    </row>
    <row r="106" spans="8:13">
      <c r="H106" s="100" t="s">
        <v>734</v>
      </c>
      <c r="I106" s="99" t="s">
        <v>692</v>
      </c>
      <c r="J106" s="98">
        <v>9.1000000000000004E-3</v>
      </c>
      <c r="K106" s="98">
        <v>1.2800000000000001E-2</v>
      </c>
      <c r="L106" s="95">
        <v>6.2799999999999995E-2</v>
      </c>
      <c r="M106" s="98">
        <v>0.35</v>
      </c>
    </row>
    <row r="107" spans="8:13">
      <c r="H107" s="100" t="s">
        <v>733</v>
      </c>
      <c r="I107" s="99" t="s">
        <v>704</v>
      </c>
      <c r="J107" s="98">
        <v>2.35E-2</v>
      </c>
      <c r="K107" s="98">
        <v>3.3300000000000003E-2</v>
      </c>
      <c r="L107" s="95">
        <v>8.3299999999999999E-2</v>
      </c>
      <c r="M107" s="98">
        <v>0.15</v>
      </c>
    </row>
    <row r="108" spans="8:13">
      <c r="H108" s="100" t="s">
        <v>732</v>
      </c>
      <c r="I108" s="99" t="s">
        <v>652</v>
      </c>
      <c r="J108" s="98">
        <v>2.0400000000000001E-2</v>
      </c>
      <c r="K108" s="98">
        <v>2.8899999999999999E-2</v>
      </c>
      <c r="L108" s="95">
        <v>7.8899999999999998E-2</v>
      </c>
      <c r="M108" s="98">
        <v>0.3</v>
      </c>
    </row>
    <row r="109" spans="8:13">
      <c r="H109" s="100" t="s">
        <v>731</v>
      </c>
      <c r="I109" s="99" t="s">
        <v>665</v>
      </c>
      <c r="J109" s="98">
        <v>6.9500000000000006E-2</v>
      </c>
      <c r="K109" s="98">
        <v>9.8599999999999993E-2</v>
      </c>
      <c r="L109" s="95">
        <v>0.14860000000000001</v>
      </c>
      <c r="M109" s="98">
        <v>0.12</v>
      </c>
    </row>
    <row r="110" spans="8:13">
      <c r="H110" s="100" t="s">
        <v>730</v>
      </c>
      <c r="I110" s="99" t="s">
        <v>665</v>
      </c>
      <c r="J110" s="98">
        <v>6.9500000000000006E-2</v>
      </c>
      <c r="K110" s="98">
        <v>9.8599999999999993E-2</v>
      </c>
      <c r="L110" s="95">
        <v>0.14860000000000001</v>
      </c>
      <c r="M110" s="98">
        <v>0.25</v>
      </c>
    </row>
    <row r="111" spans="8:13">
      <c r="H111" s="100" t="s">
        <v>729</v>
      </c>
      <c r="I111" s="99" t="s">
        <v>723</v>
      </c>
      <c r="J111" s="98">
        <v>4.82E-2</v>
      </c>
      <c r="K111" s="98">
        <v>6.83E-2</v>
      </c>
      <c r="L111" s="95">
        <v>0.1183</v>
      </c>
      <c r="M111" s="98">
        <v>0.15</v>
      </c>
    </row>
    <row r="112" spans="8:13">
      <c r="H112" s="97" t="s">
        <v>728</v>
      </c>
      <c r="I112" s="96" t="s">
        <v>704</v>
      </c>
      <c r="J112" s="94">
        <v>2.35E-2</v>
      </c>
      <c r="K112" s="94">
        <v>3.3300000000000003E-2</v>
      </c>
      <c r="L112" s="95">
        <v>8.3299999999999999E-2</v>
      </c>
      <c r="M112" s="94">
        <v>0.27179999999999999</v>
      </c>
    </row>
    <row r="113" spans="8:13">
      <c r="H113" s="100" t="s">
        <v>727</v>
      </c>
      <c r="I113" s="99" t="s">
        <v>696</v>
      </c>
      <c r="J113" s="98">
        <v>2.6800000000000001E-2</v>
      </c>
      <c r="K113" s="98">
        <v>3.7999999999999999E-2</v>
      </c>
      <c r="L113" s="95">
        <v>8.7999999999999995E-2</v>
      </c>
      <c r="M113" s="98">
        <v>0.31</v>
      </c>
    </row>
    <row r="114" spans="8:13">
      <c r="H114" s="100" t="s">
        <v>726</v>
      </c>
      <c r="I114" s="99" t="s">
        <v>667</v>
      </c>
      <c r="J114" s="98">
        <v>9.6299999999999997E-2</v>
      </c>
      <c r="K114" s="98">
        <v>0.1366</v>
      </c>
      <c r="L114" s="95">
        <v>0.18659999999999999</v>
      </c>
      <c r="M114" s="98">
        <v>0.32</v>
      </c>
    </row>
    <row r="115" spans="8:13">
      <c r="H115" s="100" t="s">
        <v>725</v>
      </c>
      <c r="I115" s="99" t="s">
        <v>641</v>
      </c>
      <c r="J115" s="98">
        <v>0.107</v>
      </c>
      <c r="K115" s="98">
        <v>0.15179999999999999</v>
      </c>
      <c r="L115" s="95">
        <v>0.20180000000000001</v>
      </c>
      <c r="M115" s="98">
        <v>0.25</v>
      </c>
    </row>
    <row r="116" spans="8:13">
      <c r="H116" s="100" t="s">
        <v>724</v>
      </c>
      <c r="I116" s="99" t="s">
        <v>723</v>
      </c>
      <c r="J116" s="98">
        <v>4.82E-2</v>
      </c>
      <c r="K116" s="98">
        <v>6.83E-2</v>
      </c>
      <c r="L116" s="95">
        <v>0.1183</v>
      </c>
      <c r="M116" s="98">
        <v>0.32</v>
      </c>
    </row>
    <row r="117" spans="8:13">
      <c r="H117" s="100" t="s">
        <v>722</v>
      </c>
      <c r="I117" s="99" t="s">
        <v>654</v>
      </c>
      <c r="J117" s="98">
        <v>0</v>
      </c>
      <c r="K117" s="98">
        <v>0</v>
      </c>
      <c r="L117" s="95">
        <v>0.05</v>
      </c>
      <c r="M117" s="98">
        <v>0.25800000000000001</v>
      </c>
    </row>
    <row r="118" spans="8:13">
      <c r="H118" s="100" t="s">
        <v>721</v>
      </c>
      <c r="I118" s="99" t="s">
        <v>654</v>
      </c>
      <c r="J118" s="98">
        <v>0</v>
      </c>
      <c r="K118" s="98">
        <v>0</v>
      </c>
      <c r="L118" s="95">
        <v>0.05</v>
      </c>
      <c r="M118" s="98">
        <v>0.28000000000000003</v>
      </c>
    </row>
    <row r="119" spans="8:13">
      <c r="H119" s="100" t="s">
        <v>720</v>
      </c>
      <c r="I119" s="99" t="s">
        <v>665</v>
      </c>
      <c r="J119" s="98">
        <v>6.9500000000000006E-2</v>
      </c>
      <c r="K119" s="98">
        <v>9.8599999999999993E-2</v>
      </c>
      <c r="L119" s="95">
        <v>0.14860000000000001</v>
      </c>
      <c r="M119" s="98">
        <v>0.3</v>
      </c>
    </row>
    <row r="120" spans="8:13">
      <c r="H120" s="100" t="s">
        <v>719</v>
      </c>
      <c r="I120" s="99" t="s">
        <v>665</v>
      </c>
      <c r="J120" s="98">
        <v>6.9500000000000006E-2</v>
      </c>
      <c r="K120" s="98">
        <v>9.8599999999999993E-2</v>
      </c>
      <c r="L120" s="95">
        <v>0.14860000000000001</v>
      </c>
      <c r="M120" s="98">
        <v>0.2281</v>
      </c>
    </row>
    <row r="121" spans="8:13">
      <c r="H121" s="100" t="s">
        <v>718</v>
      </c>
      <c r="I121" s="99" t="s">
        <v>688</v>
      </c>
      <c r="J121" s="98">
        <v>8.0199999999999994E-2</v>
      </c>
      <c r="K121" s="98">
        <v>0.1138</v>
      </c>
      <c r="L121" s="95">
        <v>0.1638</v>
      </c>
      <c r="M121" s="98">
        <v>0.3</v>
      </c>
    </row>
    <row r="122" spans="8:13">
      <c r="H122" s="97" t="s">
        <v>717</v>
      </c>
      <c r="I122" s="96" t="s">
        <v>654</v>
      </c>
      <c r="J122" s="94">
        <v>0</v>
      </c>
      <c r="K122" s="94">
        <v>0</v>
      </c>
      <c r="L122" s="95">
        <v>0.05</v>
      </c>
      <c r="M122" s="94">
        <v>0.22</v>
      </c>
    </row>
    <row r="123" spans="8:13">
      <c r="H123" s="100" t="s">
        <v>716</v>
      </c>
      <c r="I123" s="99" t="s">
        <v>646</v>
      </c>
      <c r="J123" s="98">
        <v>3.2199999999999999E-2</v>
      </c>
      <c r="K123" s="98">
        <v>4.5699999999999998E-2</v>
      </c>
      <c r="L123" s="95">
        <v>9.5699999999999993E-2</v>
      </c>
      <c r="M123" s="98">
        <v>0.15</v>
      </c>
    </row>
    <row r="124" spans="8:13">
      <c r="H124" s="100" t="s">
        <v>715</v>
      </c>
      <c r="I124" s="99" t="s">
        <v>679</v>
      </c>
      <c r="J124" s="98">
        <v>0.107</v>
      </c>
      <c r="K124" s="98">
        <v>0.15179999999999999</v>
      </c>
      <c r="L124" s="95">
        <v>0.20180000000000001</v>
      </c>
      <c r="M124" s="98">
        <v>0.28999999999999998</v>
      </c>
    </row>
    <row r="125" spans="8:13">
      <c r="H125" s="100" t="s">
        <v>714</v>
      </c>
      <c r="I125" s="99" t="s">
        <v>652</v>
      </c>
      <c r="J125" s="98">
        <v>2.0400000000000001E-2</v>
      </c>
      <c r="K125" s="98">
        <v>2.8899999999999999E-2</v>
      </c>
      <c r="L125" s="95">
        <v>7.8899999999999998E-2</v>
      </c>
      <c r="M125" s="98">
        <v>0.25</v>
      </c>
    </row>
    <row r="126" spans="8:13">
      <c r="H126" s="100" t="s">
        <v>713</v>
      </c>
      <c r="I126" s="99" t="s">
        <v>661</v>
      </c>
      <c r="J126" s="98">
        <v>5.8799999999999998E-2</v>
      </c>
      <c r="K126" s="98">
        <v>8.3500000000000005E-2</v>
      </c>
      <c r="L126" s="95">
        <v>0.13350000000000001</v>
      </c>
      <c r="M126" s="98">
        <v>0.3</v>
      </c>
    </row>
    <row r="127" spans="8:13">
      <c r="H127" s="100" t="s">
        <v>712</v>
      </c>
      <c r="I127" s="99" t="s">
        <v>696</v>
      </c>
      <c r="J127" s="98">
        <v>2.6800000000000001E-2</v>
      </c>
      <c r="K127" s="98">
        <v>3.7999999999999999E-2</v>
      </c>
      <c r="L127" s="95">
        <v>8.7999999999999995E-2</v>
      </c>
      <c r="M127" s="98">
        <v>0.1</v>
      </c>
    </row>
    <row r="128" spans="8:13">
      <c r="H128" s="100" t="s">
        <v>711</v>
      </c>
      <c r="I128" s="99" t="s">
        <v>663</v>
      </c>
      <c r="J128" s="98">
        <v>1.7100000000000001E-2</v>
      </c>
      <c r="K128" s="98">
        <v>2.4299999999999999E-2</v>
      </c>
      <c r="L128" s="95">
        <v>7.4300000000000005E-2</v>
      </c>
      <c r="M128" s="98">
        <v>0.29499999999999998</v>
      </c>
    </row>
    <row r="129" spans="8:13">
      <c r="H129" s="100" t="s">
        <v>710</v>
      </c>
      <c r="I129" s="99" t="s">
        <v>652</v>
      </c>
      <c r="J129" s="98">
        <v>2.0400000000000001E-2</v>
      </c>
      <c r="K129" s="98">
        <v>2.8899999999999999E-2</v>
      </c>
      <c r="L129" s="95">
        <v>7.8899999999999998E-2</v>
      </c>
      <c r="M129" s="98">
        <v>0.25</v>
      </c>
    </row>
    <row r="130" spans="8:13">
      <c r="H130" s="100" t="s">
        <v>709</v>
      </c>
      <c r="I130" s="99" t="s">
        <v>692</v>
      </c>
      <c r="J130" s="98">
        <v>9.1000000000000004E-3</v>
      </c>
      <c r="K130" s="98">
        <v>1.2800000000000001E-2</v>
      </c>
      <c r="L130" s="95">
        <v>6.2799999999999995E-2</v>
      </c>
      <c r="M130" s="98">
        <v>0.19</v>
      </c>
    </row>
    <row r="131" spans="8:13">
      <c r="H131" s="100" t="s">
        <v>708</v>
      </c>
      <c r="I131" s="99" t="s">
        <v>652</v>
      </c>
      <c r="J131" s="98">
        <v>2.0400000000000001E-2</v>
      </c>
      <c r="K131" s="98">
        <v>2.8899999999999999E-2</v>
      </c>
      <c r="L131" s="95">
        <v>7.8899999999999998E-2</v>
      </c>
      <c r="M131" s="98">
        <v>0.21</v>
      </c>
    </row>
    <row r="132" spans="8:13">
      <c r="H132" s="100" t="s">
        <v>707</v>
      </c>
      <c r="I132" s="99" t="s">
        <v>656</v>
      </c>
      <c r="J132" s="98">
        <v>6.4000000000000003E-3</v>
      </c>
      <c r="K132" s="98">
        <v>9.1000000000000004E-3</v>
      </c>
      <c r="L132" s="95">
        <v>5.91E-2</v>
      </c>
      <c r="M132" s="98">
        <v>0.1</v>
      </c>
    </row>
    <row r="133" spans="8:13">
      <c r="H133" s="100" t="s">
        <v>706</v>
      </c>
      <c r="I133" s="99" t="s">
        <v>690</v>
      </c>
      <c r="J133" s="98">
        <v>1.2800000000000001E-2</v>
      </c>
      <c r="K133" s="98">
        <v>1.8200000000000001E-2</v>
      </c>
      <c r="L133" s="95">
        <v>6.8199999999999997E-2</v>
      </c>
      <c r="M133" s="98">
        <v>0</v>
      </c>
    </row>
    <row r="134" spans="8:13">
      <c r="H134" s="100" t="s">
        <v>705</v>
      </c>
      <c r="I134" s="99" t="s">
        <v>704</v>
      </c>
      <c r="J134" s="98">
        <v>2.35E-2</v>
      </c>
      <c r="K134" s="98">
        <v>3.3300000000000003E-2</v>
      </c>
      <c r="L134" s="95">
        <v>8.3299999999999999E-2</v>
      </c>
      <c r="M134" s="98">
        <v>0.16</v>
      </c>
    </row>
    <row r="135" spans="8:13">
      <c r="H135" s="100" t="s">
        <v>703</v>
      </c>
      <c r="I135" s="99" t="s">
        <v>643</v>
      </c>
      <c r="J135" s="98">
        <v>0.12839999999999999</v>
      </c>
      <c r="K135" s="98">
        <v>0.18210000000000001</v>
      </c>
      <c r="L135" s="95">
        <v>0.2321</v>
      </c>
      <c r="M135" s="98">
        <v>0.2</v>
      </c>
    </row>
    <row r="136" spans="8:13">
      <c r="H136" s="100" t="s">
        <v>702</v>
      </c>
      <c r="I136" s="99" t="s">
        <v>661</v>
      </c>
      <c r="J136" s="98">
        <v>5.8799999999999998E-2</v>
      </c>
      <c r="K136" s="98">
        <v>8.3500000000000005E-2</v>
      </c>
      <c r="L136" s="95">
        <v>0.13350000000000001</v>
      </c>
      <c r="M136" s="98">
        <v>0.3</v>
      </c>
    </row>
    <row r="137" spans="8:13">
      <c r="H137" s="100" t="s">
        <v>701</v>
      </c>
      <c r="I137" s="99" t="s">
        <v>700</v>
      </c>
      <c r="J137" s="98">
        <v>7.4999999999999997E-3</v>
      </c>
      <c r="K137" s="98">
        <v>1.0699999999999999E-2</v>
      </c>
      <c r="L137" s="95">
        <v>6.0699999999999997E-2</v>
      </c>
      <c r="M137" s="98">
        <v>0.2</v>
      </c>
    </row>
    <row r="138" spans="8:13">
      <c r="H138" s="100" t="s">
        <v>699</v>
      </c>
      <c r="I138" s="99" t="s">
        <v>650</v>
      </c>
      <c r="J138" s="98">
        <v>3.85E-2</v>
      </c>
      <c r="K138" s="98">
        <v>5.4600000000000003E-2</v>
      </c>
      <c r="L138" s="95">
        <v>0.1046</v>
      </c>
      <c r="M138" s="98">
        <v>0.3</v>
      </c>
    </row>
    <row r="139" spans="8:13">
      <c r="H139" s="100" t="s">
        <v>698</v>
      </c>
      <c r="I139" s="99" t="s">
        <v>646</v>
      </c>
      <c r="J139" s="98">
        <v>3.2199999999999999E-2</v>
      </c>
      <c r="K139" s="98">
        <v>4.5699999999999998E-2</v>
      </c>
      <c r="L139" s="95">
        <v>9.5699999999999993E-2</v>
      </c>
      <c r="M139" s="98">
        <v>0.15</v>
      </c>
    </row>
    <row r="140" spans="8:13">
      <c r="H140" s="100" t="s">
        <v>697</v>
      </c>
      <c r="I140" s="99" t="s">
        <v>696</v>
      </c>
      <c r="J140" s="98">
        <v>2.6800000000000001E-2</v>
      </c>
      <c r="K140" s="98">
        <v>3.7999999999999999E-2</v>
      </c>
      <c r="L140" s="95">
        <v>8.7999999999999995E-2</v>
      </c>
      <c r="M140" s="98">
        <v>0</v>
      </c>
    </row>
    <row r="141" spans="8:13">
      <c r="H141" s="100" t="s">
        <v>695</v>
      </c>
      <c r="I141" s="99" t="s">
        <v>641</v>
      </c>
      <c r="J141" s="98">
        <v>0.12839999999999999</v>
      </c>
      <c r="K141" s="98">
        <v>0.18210000000000001</v>
      </c>
      <c r="L141" s="95">
        <v>0.2321</v>
      </c>
      <c r="M141" s="98">
        <v>0.3</v>
      </c>
    </row>
    <row r="142" spans="8:13">
      <c r="H142" s="100" t="s">
        <v>694</v>
      </c>
      <c r="I142" s="99" t="s">
        <v>654</v>
      </c>
      <c r="J142" s="98">
        <v>0</v>
      </c>
      <c r="K142" s="98">
        <v>0</v>
      </c>
      <c r="L142" s="95">
        <v>0.05</v>
      </c>
      <c r="M142" s="98">
        <v>0.17</v>
      </c>
    </row>
    <row r="143" spans="8:13">
      <c r="H143" s="100" t="s">
        <v>693</v>
      </c>
      <c r="I143" s="99" t="s">
        <v>692</v>
      </c>
      <c r="J143" s="98">
        <v>9.1000000000000004E-3</v>
      </c>
      <c r="K143" s="98">
        <v>1.2800000000000001E-2</v>
      </c>
      <c r="L143" s="95">
        <v>6.2799999999999995E-2</v>
      </c>
      <c r="M143" s="98">
        <v>0.21</v>
      </c>
    </row>
    <row r="144" spans="8:13">
      <c r="H144" s="100" t="s">
        <v>691</v>
      </c>
      <c r="I144" s="99" t="s">
        <v>690</v>
      </c>
      <c r="J144" s="98">
        <v>1.2800000000000001E-2</v>
      </c>
      <c r="K144" s="98">
        <v>1.8200000000000001E-2</v>
      </c>
      <c r="L144" s="95">
        <v>6.8199999999999997E-2</v>
      </c>
      <c r="M144" s="98">
        <v>0.19</v>
      </c>
    </row>
    <row r="145" spans="8:13">
      <c r="H145" s="100" t="s">
        <v>689</v>
      </c>
      <c r="I145" s="99" t="s">
        <v>688</v>
      </c>
      <c r="J145" s="98">
        <v>8.0199999999999994E-2</v>
      </c>
      <c r="K145" s="98">
        <v>0.1138</v>
      </c>
      <c r="L145" s="95">
        <v>0.1638</v>
      </c>
      <c r="M145" s="98">
        <v>0.3</v>
      </c>
    </row>
    <row r="146" spans="8:13">
      <c r="H146" s="100" t="s">
        <v>687</v>
      </c>
      <c r="I146" s="99" t="s">
        <v>641</v>
      </c>
      <c r="J146" s="98">
        <v>0.12839999999999999</v>
      </c>
      <c r="K146" s="98">
        <v>0.18210000000000001</v>
      </c>
      <c r="L146" s="95">
        <v>0.2321</v>
      </c>
      <c r="M146" s="98">
        <v>0.29149999999999998</v>
      </c>
    </row>
    <row r="147" spans="8:13">
      <c r="H147" s="100" t="s">
        <v>686</v>
      </c>
      <c r="I147" s="99" t="s">
        <v>646</v>
      </c>
      <c r="J147" s="98">
        <v>3.2199999999999999E-2</v>
      </c>
      <c r="K147" s="98">
        <v>4.5699999999999998E-2</v>
      </c>
      <c r="L147" s="95">
        <v>9.5699999999999993E-2</v>
      </c>
      <c r="M147" s="98">
        <v>0.27</v>
      </c>
    </row>
    <row r="148" spans="8:13">
      <c r="H148" s="100" t="s">
        <v>685</v>
      </c>
      <c r="I148" s="99" t="s">
        <v>663</v>
      </c>
      <c r="J148" s="98">
        <v>1.7100000000000001E-2</v>
      </c>
      <c r="K148" s="98">
        <v>2.4299999999999999E-2</v>
      </c>
      <c r="L148" s="95">
        <v>7.4300000000000005E-2</v>
      </c>
      <c r="M148" s="98">
        <v>0.25</v>
      </c>
    </row>
    <row r="149" spans="8:13">
      <c r="H149" s="100" t="s">
        <v>684</v>
      </c>
      <c r="I149" s="99" t="s">
        <v>643</v>
      </c>
      <c r="J149" s="98">
        <v>0.12839999999999999</v>
      </c>
      <c r="K149" s="98">
        <v>0.18210000000000001</v>
      </c>
      <c r="L149" s="95">
        <v>0.2321</v>
      </c>
      <c r="M149" s="98">
        <v>0.24</v>
      </c>
    </row>
    <row r="150" spans="8:13">
      <c r="H150" s="97" t="s">
        <v>683</v>
      </c>
      <c r="I150" s="96" t="s">
        <v>646</v>
      </c>
      <c r="J150" s="94">
        <v>3.2199999999999999E-2</v>
      </c>
      <c r="K150" s="94">
        <v>4.5699999999999998E-2</v>
      </c>
      <c r="L150" s="95">
        <v>9.5699999999999993E-2</v>
      </c>
      <c r="M150" s="94">
        <v>0.27179999999999999</v>
      </c>
    </row>
    <row r="151" spans="8:13">
      <c r="H151" s="100" t="s">
        <v>682</v>
      </c>
      <c r="I151" s="99" t="s">
        <v>665</v>
      </c>
      <c r="J151" s="98">
        <v>6.9500000000000006E-2</v>
      </c>
      <c r="K151" s="98">
        <v>9.8599999999999993E-2</v>
      </c>
      <c r="L151" s="95">
        <v>0.14860000000000001</v>
      </c>
      <c r="M151" s="98">
        <v>0.27179999999999999</v>
      </c>
    </row>
    <row r="152" spans="8:13">
      <c r="H152" s="100" t="s">
        <v>681</v>
      </c>
      <c r="I152" s="99" t="s">
        <v>641</v>
      </c>
      <c r="J152" s="98">
        <v>0.17499999999999999</v>
      </c>
      <c r="K152" s="98">
        <v>0.2482</v>
      </c>
      <c r="L152" s="95">
        <v>0.29820000000000002</v>
      </c>
      <c r="M152" s="98">
        <v>0.35</v>
      </c>
    </row>
    <row r="153" spans="8:13">
      <c r="H153" s="97" t="s">
        <v>680</v>
      </c>
      <c r="I153" s="96" t="s">
        <v>679</v>
      </c>
      <c r="J153" s="94">
        <v>0.107</v>
      </c>
      <c r="K153" s="94">
        <v>0.15179999999999999</v>
      </c>
      <c r="L153" s="95">
        <v>0.20180000000000001</v>
      </c>
      <c r="M153" s="94">
        <v>0.36</v>
      </c>
    </row>
    <row r="154" spans="8:13">
      <c r="H154" s="97" t="s">
        <v>678</v>
      </c>
      <c r="I154" s="96" t="s">
        <v>665</v>
      </c>
      <c r="J154" s="94">
        <v>6.9500000000000006E-2</v>
      </c>
      <c r="K154" s="94">
        <v>9.8599999999999993E-2</v>
      </c>
      <c r="L154" s="95">
        <v>0.14860000000000001</v>
      </c>
      <c r="M154" s="94">
        <v>0.27500000000000002</v>
      </c>
    </row>
    <row r="155" spans="8:13">
      <c r="H155" s="100" t="s">
        <v>677</v>
      </c>
      <c r="I155" s="99" t="s">
        <v>654</v>
      </c>
      <c r="J155" s="98">
        <v>0</v>
      </c>
      <c r="K155" s="98">
        <v>0</v>
      </c>
      <c r="L155" s="95">
        <v>0.05</v>
      </c>
      <c r="M155" s="98">
        <v>0.20599999999999999</v>
      </c>
    </row>
    <row r="156" spans="8:13">
      <c r="H156" s="100" t="s">
        <v>676</v>
      </c>
      <c r="I156" s="99" t="s">
        <v>654</v>
      </c>
      <c r="J156" s="98">
        <v>0</v>
      </c>
      <c r="K156" s="98">
        <v>0</v>
      </c>
      <c r="L156" s="95">
        <v>0.05</v>
      </c>
      <c r="M156" s="98">
        <v>0.18</v>
      </c>
    </row>
    <row r="157" spans="8:13">
      <c r="H157" s="97" t="s">
        <v>675</v>
      </c>
      <c r="I157" s="96" t="s">
        <v>641</v>
      </c>
      <c r="J157" s="94">
        <v>0.17499999999999999</v>
      </c>
      <c r="K157" s="94">
        <v>0.2482</v>
      </c>
      <c r="L157" s="95">
        <v>0.29820000000000002</v>
      </c>
      <c r="M157" s="94">
        <v>0.28000000000000003</v>
      </c>
    </row>
    <row r="158" spans="8:13">
      <c r="H158" s="100" t="s">
        <v>674</v>
      </c>
      <c r="I158" s="99" t="s">
        <v>656</v>
      </c>
      <c r="J158" s="98">
        <v>6.4000000000000003E-3</v>
      </c>
      <c r="K158" s="98">
        <v>9.1000000000000004E-3</v>
      </c>
      <c r="L158" s="95">
        <v>5.91E-2</v>
      </c>
      <c r="M158" s="98">
        <v>0.2</v>
      </c>
    </row>
    <row r="159" spans="8:13">
      <c r="H159" s="97" t="s">
        <v>673</v>
      </c>
      <c r="I159" s="96" t="s">
        <v>665</v>
      </c>
      <c r="J159" s="94">
        <v>6.9500000000000006E-2</v>
      </c>
      <c r="K159" s="94">
        <v>9.8599999999999993E-2</v>
      </c>
      <c r="L159" s="95">
        <v>0.14860000000000001</v>
      </c>
      <c r="M159" s="94">
        <v>0.18</v>
      </c>
    </row>
    <row r="160" spans="8:13">
      <c r="H160" s="100" t="s">
        <v>672</v>
      </c>
      <c r="I160" s="99" t="s">
        <v>661</v>
      </c>
      <c r="J160" s="98">
        <v>5.8799999999999998E-2</v>
      </c>
      <c r="K160" s="98">
        <v>8.3500000000000005E-2</v>
      </c>
      <c r="L160" s="95">
        <v>0.13350000000000001</v>
      </c>
      <c r="M160" s="98">
        <v>0.3</v>
      </c>
    </row>
    <row r="161" spans="8:13">
      <c r="H161" s="100" t="s">
        <v>671</v>
      </c>
      <c r="I161" s="99" t="s">
        <v>663</v>
      </c>
      <c r="J161" s="98">
        <v>1.7100000000000001E-2</v>
      </c>
      <c r="K161" s="98">
        <v>2.4299999999999999E-2</v>
      </c>
      <c r="L161" s="95">
        <v>7.4300000000000005E-2</v>
      </c>
      <c r="M161" s="98">
        <v>0.2</v>
      </c>
    </row>
    <row r="162" spans="8:13">
      <c r="H162" s="100" t="s">
        <v>670</v>
      </c>
      <c r="I162" s="99" t="s">
        <v>665</v>
      </c>
      <c r="J162" s="98">
        <v>6.9500000000000006E-2</v>
      </c>
      <c r="K162" s="98">
        <v>9.8599999999999993E-2</v>
      </c>
      <c r="L162" s="95">
        <v>0.14860000000000001</v>
      </c>
      <c r="M162" s="98">
        <v>0.2281</v>
      </c>
    </row>
    <row r="163" spans="8:13">
      <c r="H163" s="100" t="s">
        <v>669</v>
      </c>
      <c r="I163" s="99" t="s">
        <v>646</v>
      </c>
      <c r="J163" s="98">
        <v>3.2199999999999999E-2</v>
      </c>
      <c r="K163" s="98">
        <v>4.5699999999999998E-2</v>
      </c>
      <c r="L163" s="95">
        <v>9.5699999999999993E-2</v>
      </c>
      <c r="M163" s="98">
        <v>0.3</v>
      </c>
    </row>
    <row r="164" spans="8:13">
      <c r="H164" s="100" t="s">
        <v>668</v>
      </c>
      <c r="I164" s="99" t="s">
        <v>667</v>
      </c>
      <c r="J164" s="98">
        <v>9.6299999999999997E-2</v>
      </c>
      <c r="K164" s="98">
        <v>0.1366</v>
      </c>
      <c r="L164" s="95">
        <v>0.18659999999999999</v>
      </c>
      <c r="M164" s="98">
        <v>0.15</v>
      </c>
    </row>
    <row r="165" spans="8:13">
      <c r="H165" s="97" t="s">
        <v>666</v>
      </c>
      <c r="I165" s="96" t="s">
        <v>665</v>
      </c>
      <c r="J165" s="94">
        <v>6.9500000000000006E-2</v>
      </c>
      <c r="K165" s="94">
        <v>9.8599999999999993E-2</v>
      </c>
      <c r="L165" s="95">
        <v>0.14860000000000001</v>
      </c>
      <c r="M165" s="94">
        <v>0.23</v>
      </c>
    </row>
    <row r="166" spans="8:13">
      <c r="H166" s="100" t="s">
        <v>664</v>
      </c>
      <c r="I166" s="99" t="s">
        <v>663</v>
      </c>
      <c r="J166" s="98">
        <v>1.7100000000000001E-2</v>
      </c>
      <c r="K166" s="98">
        <v>2.4299999999999999E-2</v>
      </c>
      <c r="L166" s="95">
        <v>7.4300000000000005E-2</v>
      </c>
      <c r="M166" s="98">
        <v>0</v>
      </c>
    </row>
    <row r="167" spans="8:13">
      <c r="H167" s="100" t="s">
        <v>662</v>
      </c>
      <c r="I167" s="99" t="s">
        <v>661</v>
      </c>
      <c r="J167" s="98">
        <v>5.8799999999999998E-2</v>
      </c>
      <c r="K167" s="98">
        <v>8.3500000000000005E-2</v>
      </c>
      <c r="L167" s="95">
        <v>0.13350000000000001</v>
      </c>
      <c r="M167" s="98">
        <v>0.3</v>
      </c>
    </row>
    <row r="168" spans="8:13">
      <c r="H168" s="100" t="s">
        <v>660</v>
      </c>
      <c r="I168" s="99" t="s">
        <v>643</v>
      </c>
      <c r="J168" s="98">
        <v>0.12839999999999999</v>
      </c>
      <c r="K168" s="98">
        <v>0.18210000000000001</v>
      </c>
      <c r="L168" s="95">
        <v>0.2321</v>
      </c>
      <c r="M168" s="98">
        <v>0.18</v>
      </c>
    </row>
    <row r="169" spans="8:13">
      <c r="H169" s="100" t="s">
        <v>659</v>
      </c>
      <c r="I169" s="99" t="s">
        <v>658</v>
      </c>
      <c r="J169" s="98">
        <v>5.3E-3</v>
      </c>
      <c r="K169" s="98">
        <v>7.4999999999999997E-3</v>
      </c>
      <c r="L169" s="95">
        <v>5.7500000000000002E-2</v>
      </c>
      <c r="M169" s="98">
        <v>0</v>
      </c>
    </row>
    <row r="170" spans="8:13">
      <c r="H170" s="100" t="s">
        <v>657</v>
      </c>
      <c r="I170" s="99" t="s">
        <v>656</v>
      </c>
      <c r="J170" s="98">
        <v>6.4000000000000003E-3</v>
      </c>
      <c r="K170" s="98">
        <v>9.1000000000000004E-3</v>
      </c>
      <c r="L170" s="95">
        <v>5.91E-2</v>
      </c>
      <c r="M170" s="98">
        <v>0.25</v>
      </c>
    </row>
    <row r="171" spans="8:13">
      <c r="H171" s="103" t="s">
        <v>655</v>
      </c>
      <c r="I171" s="102" t="s">
        <v>654</v>
      </c>
      <c r="J171" s="101">
        <v>0</v>
      </c>
      <c r="K171" s="101">
        <v>0</v>
      </c>
      <c r="L171" s="101">
        <v>0.05</v>
      </c>
      <c r="M171" s="101">
        <v>0.25</v>
      </c>
    </row>
    <row r="172" spans="8:13">
      <c r="H172" s="100" t="s">
        <v>653</v>
      </c>
      <c r="I172" s="99" t="s">
        <v>652</v>
      </c>
      <c r="J172" s="98">
        <v>2.0400000000000001E-2</v>
      </c>
      <c r="K172" s="98">
        <v>2.8899999999999999E-2</v>
      </c>
      <c r="L172" s="95">
        <v>7.8899999999999998E-2</v>
      </c>
      <c r="M172" s="98">
        <v>0.25</v>
      </c>
    </row>
    <row r="173" spans="8:13">
      <c r="H173" s="100" t="s">
        <v>651</v>
      </c>
      <c r="I173" s="99" t="s">
        <v>650</v>
      </c>
      <c r="J173" s="98">
        <v>3.85E-2</v>
      </c>
      <c r="K173" s="98">
        <v>5.4600000000000003E-2</v>
      </c>
      <c r="L173" s="95">
        <v>0.1046</v>
      </c>
      <c r="M173" s="98">
        <v>0.15</v>
      </c>
    </row>
    <row r="174" spans="8:13">
      <c r="H174" s="100" t="s">
        <v>649</v>
      </c>
      <c r="I174" s="99" t="s">
        <v>648</v>
      </c>
      <c r="J174" s="98">
        <v>0.17499999999999999</v>
      </c>
      <c r="K174" s="98">
        <v>0.2482</v>
      </c>
      <c r="L174" s="95">
        <v>0.29820000000000002</v>
      </c>
      <c r="M174" s="98">
        <v>0.34</v>
      </c>
    </row>
    <row r="175" spans="8:13">
      <c r="H175" s="100" t="s">
        <v>647</v>
      </c>
      <c r="I175" s="99" t="s">
        <v>646</v>
      </c>
      <c r="J175" s="98">
        <v>3.2199999999999999E-2</v>
      </c>
      <c r="K175" s="98">
        <v>4.5699999999999998E-2</v>
      </c>
      <c r="L175" s="95">
        <v>9.5699999999999993E-2</v>
      </c>
      <c r="M175" s="98">
        <v>0.2</v>
      </c>
    </row>
    <row r="176" spans="8:13">
      <c r="H176" s="100" t="s">
        <v>645</v>
      </c>
      <c r="I176" s="99" t="s">
        <v>641</v>
      </c>
      <c r="J176" s="98">
        <v>0.107</v>
      </c>
      <c r="K176" s="98">
        <v>0.15179999999999999</v>
      </c>
      <c r="L176" s="95">
        <v>0.20180000000000001</v>
      </c>
      <c r="M176" s="98">
        <v>0.2</v>
      </c>
    </row>
    <row r="177" spans="8:13">
      <c r="H177" s="100" t="s">
        <v>644</v>
      </c>
      <c r="I177" s="99" t="s">
        <v>643</v>
      </c>
      <c r="J177" s="98">
        <v>0.12839999999999999</v>
      </c>
      <c r="K177" s="98">
        <v>0.18210000000000001</v>
      </c>
      <c r="L177" s="95">
        <v>0.2321</v>
      </c>
      <c r="M177" s="98">
        <v>0.35</v>
      </c>
    </row>
    <row r="178" spans="8:13">
      <c r="H178" s="97" t="s">
        <v>642</v>
      </c>
      <c r="I178" s="96" t="s">
        <v>641</v>
      </c>
      <c r="J178" s="94">
        <v>8.0199999999999994E-2</v>
      </c>
      <c r="K178" s="94">
        <v>0.1138</v>
      </c>
      <c r="L178" s="95">
        <v>0.1638</v>
      </c>
      <c r="M178" s="94">
        <v>0.25</v>
      </c>
    </row>
  </sheetData>
  <mergeCells count="3">
    <mergeCell ref="A1:B1"/>
    <mergeCell ref="A2:B2"/>
    <mergeCell ref="A9:B9"/>
  </mergeCells>
  <hyperlinks>
    <hyperlink ref="C4" r:id="rId1" xr:uid="{8C6ED6A0-15BA-4B60-B263-19C1B1BFC3E2}"/>
    <hyperlink ref="C6" r:id="rId2" location=":~:text=10%20Year%20Treasury%20Rate%20is,a%20maturity%20of%2010%20year." xr:uid="{59FED4BA-D57F-4C03-83A7-2124044DE231}"/>
    <hyperlink ref="C12" r:id="rId3" xr:uid="{01E97764-CA9D-430B-8FD2-BDC17B31999B}"/>
    <hyperlink ref="C13" r:id="rId4" xr:uid="{2C32EB5F-29C4-4422-9FD1-55E98FF3E100}"/>
    <hyperlink ref="C16" r:id="rId5" xr:uid="{C4732387-B533-4EDC-94A5-E5A7D5D1634C}"/>
    <hyperlink ref="O1" r:id="rId6" xr:uid="{73E46EF7-9300-4CDD-99C8-3E1C7972AABE}"/>
  </hyperlinks>
  <pageMargins left="0.7" right="0.7" top="0.75" bottom="0.75" header="0.3" footer="0.3"/>
  <pageSetup orientation="portrait" verticalDpi="0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CDA7D-183E-46A2-A0A2-81013AB3CE8A}">
  <dimension ref="A1:L94"/>
  <sheetViews>
    <sheetView showGridLines="0" tabSelected="1" topLeftCell="A14" zoomScale="63" zoomScaleNormal="100" workbookViewId="0">
      <selection activeCell="E36" sqref="E36"/>
    </sheetView>
  </sheetViews>
  <sheetFormatPr baseColWidth="10" defaultColWidth="8.89453125" defaultRowHeight="15.6"/>
  <cols>
    <col min="1" max="1" width="8.89453125" style="29"/>
    <col min="2" max="2" width="42.5234375" style="29" customWidth="1"/>
    <col min="3" max="3" width="15.15625" style="29" bestFit="1" customWidth="1"/>
    <col min="4" max="4" width="17.47265625" style="29" bestFit="1" customWidth="1"/>
    <col min="5" max="5" width="13.47265625" style="29" bestFit="1" customWidth="1"/>
    <col min="6" max="6" width="17.9453125" style="29" customWidth="1"/>
    <col min="7" max="7" width="15.41796875" style="29" customWidth="1"/>
    <col min="8" max="10" width="15.15625" style="29" bestFit="1" customWidth="1"/>
    <col min="11" max="11" width="13.05078125" style="29" bestFit="1" customWidth="1"/>
    <col min="12" max="16384" width="8.89453125" style="29"/>
  </cols>
  <sheetData>
    <row r="1" spans="1:10">
      <c r="C1" s="143" t="s">
        <v>897</v>
      </c>
      <c r="D1" s="143" t="s">
        <v>896</v>
      </c>
      <c r="E1" s="143" t="s">
        <v>898</v>
      </c>
      <c r="F1" s="143" t="s">
        <v>996</v>
      </c>
    </row>
    <row r="2" spans="1:10">
      <c r="B2" s="146" t="e" vm="1">
        <v>#VALUE!</v>
      </c>
      <c r="C2" s="144" cm="1">
        <f t="array" ref="C2">_FV(B2,"Acciones en circulación",TRUE)</f>
        <v>2543424000</v>
      </c>
      <c r="D2" s="32" cm="1">
        <f t="array" ref="D2">_FV(B2,"Beta")</f>
        <v>0.61240000000000006</v>
      </c>
      <c r="E2" s="145" cm="1">
        <f t="array" ref="E2">_FV(B2,"Precio")</f>
        <v>74.67</v>
      </c>
      <c r="F2" s="156" cm="1">
        <f t="array" ref="F2">_FV(B2,"Acciones en circulación",TRUE)</f>
        <v>2543424000</v>
      </c>
    </row>
    <row r="4" spans="1:10">
      <c r="A4" s="92" t="s">
        <v>162</v>
      </c>
      <c r="B4" s="92" t="s">
        <v>161</v>
      </c>
    </row>
    <row r="5" spans="1:10">
      <c r="B5" s="91" t="s">
        <v>640</v>
      </c>
      <c r="C5" s="209" t="s">
        <v>639</v>
      </c>
      <c r="D5" s="210"/>
      <c r="E5" s="211"/>
      <c r="F5" s="209" t="s">
        <v>638</v>
      </c>
      <c r="G5" s="210"/>
      <c r="H5" s="210"/>
      <c r="I5" s="210"/>
      <c r="J5" s="211"/>
    </row>
    <row r="6" spans="1:10">
      <c r="B6" s="69" t="s">
        <v>637</v>
      </c>
      <c r="C6" s="75" t="s">
        <v>636</v>
      </c>
      <c r="D6" s="75" t="s">
        <v>588</v>
      </c>
      <c r="E6" s="75" t="s">
        <v>621</v>
      </c>
      <c r="F6" s="75" t="s">
        <v>620</v>
      </c>
      <c r="G6" s="75" t="s">
        <v>619</v>
      </c>
      <c r="H6" s="75" t="s">
        <v>618</v>
      </c>
      <c r="I6" s="68" t="s">
        <v>611</v>
      </c>
      <c r="J6" s="68" t="s">
        <v>893</v>
      </c>
    </row>
    <row r="7" spans="1:10">
      <c r="B7" s="51" t="s">
        <v>635</v>
      </c>
      <c r="C7" s="70">
        <f>'BABA Forecast'!D10</f>
        <v>100336.979632945</v>
      </c>
      <c r="D7" s="70">
        <f>'BABA Forecast'!E10</f>
        <v>119329.397940913</v>
      </c>
      <c r="E7" s="70">
        <f>'BABA Forecast'!F10</f>
        <v>121515.079453894</v>
      </c>
      <c r="F7" s="86">
        <f>'BABA Forecast'!G10</f>
        <v>133520.82855024599</v>
      </c>
      <c r="G7" s="86">
        <f>'BABA Forecast'!H10</f>
        <v>146117.51340364799</v>
      </c>
      <c r="H7" s="86">
        <f>'BABA Forecast'!I10</f>
        <v>159045.98778536299</v>
      </c>
      <c r="I7" s="86">
        <f>'BABA Forecast'!J10</f>
        <v>175284.89723170301</v>
      </c>
      <c r="J7" s="86">
        <f>'BABA Forecast'!K10</f>
        <v>180766.422336616</v>
      </c>
    </row>
    <row r="8" spans="1:10">
      <c r="B8" s="55" t="s">
        <v>634</v>
      </c>
      <c r="D8" s="85">
        <f>D7/C7-1</f>
        <v>0.18928632671071499</v>
      </c>
      <c r="E8" s="84">
        <f t="shared" ref="E8:H8" si="0">E7/D7-1</f>
        <v>1.8316370908560753E-2</v>
      </c>
      <c r="F8" s="85">
        <f t="shared" si="0"/>
        <v>9.8800487563416306E-2</v>
      </c>
      <c r="G8" s="85">
        <f t="shared" si="0"/>
        <v>9.4342470685475632E-2</v>
      </c>
      <c r="H8" s="85">
        <f t="shared" si="0"/>
        <v>8.8479978070802767E-2</v>
      </c>
      <c r="I8" s="85">
        <f>I7/H7-1</f>
        <v>0.10210197485933992</v>
      </c>
      <c r="J8" s="84">
        <f>J7/I7-1</f>
        <v>3.1272090131456931E-2</v>
      </c>
    </row>
    <row r="9" spans="1:10">
      <c r="B9" s="51" t="s">
        <v>29</v>
      </c>
      <c r="C9" s="70">
        <f>'BABA Forecast'!D46</f>
        <v>23843.5821396598</v>
      </c>
      <c r="D9" s="70">
        <f>'BABA Forecast'!E46</f>
        <v>18240.403983885401</v>
      </c>
      <c r="E9" s="70">
        <f>'BABA Forecast'!F46</f>
        <v>20690.32564906</v>
      </c>
      <c r="F9" s="86">
        <f>'BABA Forecast'!G46</f>
        <v>23506.479314010699</v>
      </c>
      <c r="G9" s="86">
        <f>'BABA Forecast'!H46</f>
        <v>25478.589633225201</v>
      </c>
      <c r="H9" s="86">
        <f>'BABA Forecast'!I46</f>
        <v>26311.580051197401</v>
      </c>
      <c r="I9" s="86">
        <f>'BABA Forecast'!J46</f>
        <v>32125.741383169199</v>
      </c>
      <c r="J9" s="86">
        <f>'BABA Forecast'!K46</f>
        <v>35020.003357206799</v>
      </c>
    </row>
    <row r="10" spans="1:10">
      <c r="B10" s="55" t="s">
        <v>633</v>
      </c>
      <c r="C10" s="85">
        <f t="shared" ref="C10:J10" si="1">C9/C7</f>
        <v>0.23763503971202771</v>
      </c>
      <c r="D10" s="85">
        <f t="shared" si="1"/>
        <v>0.15285758831128352</v>
      </c>
      <c r="E10" s="84">
        <f t="shared" si="1"/>
        <v>0.17026961379645439</v>
      </c>
      <c r="F10" s="85">
        <f t="shared" si="1"/>
        <v>0.17605102941047765</v>
      </c>
      <c r="G10" s="85">
        <f t="shared" si="1"/>
        <v>0.17437053943589148</v>
      </c>
      <c r="H10" s="85">
        <f t="shared" si="1"/>
        <v>0.16543378690385838</v>
      </c>
      <c r="I10" s="85">
        <f t="shared" si="1"/>
        <v>0.18327729251370298</v>
      </c>
      <c r="J10" s="84">
        <f t="shared" si="1"/>
        <v>0.1937306879481962</v>
      </c>
    </row>
    <row r="11" spans="1:10">
      <c r="B11" s="51" t="s">
        <v>33</v>
      </c>
      <c r="C11" s="90">
        <f>'BABA Forecast'!D70</f>
        <v>0.15289999999999998</v>
      </c>
      <c r="D11" s="90">
        <f>'BABA Forecast'!E70</f>
        <v>0.45029389999999997</v>
      </c>
      <c r="E11" s="90">
        <f>'BABA Forecast'!F70</f>
        <v>0.15989020000000001</v>
      </c>
      <c r="F11" s="89">
        <f>'BABA Forecast'!G70</f>
        <v>0.16175</v>
      </c>
      <c r="G11" s="89">
        <f>'BABA Forecast'!H70</f>
        <v>0.1525714</v>
      </c>
      <c r="H11" s="89">
        <f>'BABA Forecast'!I70</f>
        <v>0.1368</v>
      </c>
      <c r="I11" s="89">
        <f>'BABA Forecast'!J70</f>
        <v>0.16</v>
      </c>
      <c r="J11" s="89">
        <f>'BABA Forecast'!K70</f>
        <v>0.16</v>
      </c>
    </row>
    <row r="12" spans="1:10">
      <c r="B12" s="55"/>
      <c r="E12" s="88"/>
      <c r="J12" s="87"/>
    </row>
    <row r="13" spans="1:10">
      <c r="B13" s="51" t="s">
        <v>632</v>
      </c>
      <c r="C13" s="70">
        <f>'BABA Forecast'!D41</f>
        <v>5429.7224709042102</v>
      </c>
      <c r="D13" s="70">
        <f>'BABA Forecast'!E41</f>
        <v>5519.10810205909</v>
      </c>
      <c r="E13" s="70">
        <f>'BABA Forecast'!F41</f>
        <v>6959.0700537153098</v>
      </c>
      <c r="F13" s="86">
        <f>'BABA Forecast'!G41</f>
        <v>5031.75358102059</v>
      </c>
      <c r="G13" s="86">
        <f>'BABA Forecast'!H41</f>
        <v>5259.5746223142396</v>
      </c>
      <c r="H13" s="86">
        <f>'BABA Forecast'!I41</f>
        <v>5432.1504504252498</v>
      </c>
      <c r="I13" s="86">
        <f>'BABA Forecast'!J41</f>
        <v>7716.0073480863903</v>
      </c>
      <c r="J13" s="86">
        <f>'BABA Forecast'!K41</f>
        <v>4866.0614368845099</v>
      </c>
    </row>
    <row r="14" spans="1:10">
      <c r="B14" s="55" t="s">
        <v>628</v>
      </c>
      <c r="C14" s="85">
        <f t="shared" ref="C14:H14" si="2">C13/C7</f>
        <v>5.4114868623386346E-2</v>
      </c>
      <c r="D14" s="85">
        <f t="shared" si="2"/>
        <v>4.6251034508629003E-2</v>
      </c>
      <c r="E14" s="84">
        <f t="shared" si="2"/>
        <v>5.7269189017448353E-2</v>
      </c>
      <c r="F14" s="85">
        <f t="shared" si="2"/>
        <v>3.7685158455461963E-2</v>
      </c>
      <c r="G14" s="85">
        <f t="shared" si="2"/>
        <v>3.5995511419529322E-2</v>
      </c>
      <c r="H14" s="85">
        <f t="shared" si="2"/>
        <v>3.4154589663438033E-2</v>
      </c>
      <c r="I14" s="85">
        <v>0.04</v>
      </c>
      <c r="J14" s="84">
        <v>0.04</v>
      </c>
    </row>
    <row r="15" spans="1:10">
      <c r="B15" s="51" t="s">
        <v>631</v>
      </c>
      <c r="C15" s="70">
        <f>'BABA Forecast'!D104</f>
        <v>5798.1759176365304</v>
      </c>
      <c r="D15" s="70">
        <f>'BABA Forecast'!E104</f>
        <v>7457.0557296329498</v>
      </c>
      <c r="E15" s="70">
        <f>'BABA Forecast'!F104</f>
        <v>4802.2045658012503</v>
      </c>
      <c r="F15" s="86">
        <f>'BABA Forecast'!G104</f>
        <v>6735.0342225268596</v>
      </c>
      <c r="G15" s="86">
        <f>'BABA Forecast'!H104</f>
        <v>7272.0676267345598</v>
      </c>
      <c r="H15" s="86">
        <f>'BABA Forecast'!I104</f>
        <v>7400.6206020590898</v>
      </c>
      <c r="I15" s="86">
        <f>'BABA Forecast'!J104</f>
        <v>4986.1585161145904</v>
      </c>
      <c r="J15" s="86">
        <f>'BABA Forecast'!K104</f>
        <v>6010.7290734109201</v>
      </c>
    </row>
    <row r="16" spans="1:10">
      <c r="B16" s="55" t="s">
        <v>628</v>
      </c>
      <c r="C16" s="85">
        <f t="shared" ref="C16:J16" si="3">C15/C7</f>
        <v>5.7787028659299369E-2</v>
      </c>
      <c r="D16" s="85">
        <f t="shared" si="3"/>
        <v>6.2491354672931279E-2</v>
      </c>
      <c r="E16" s="84">
        <f t="shared" si="3"/>
        <v>3.9519412630786559E-2</v>
      </c>
      <c r="F16" s="85">
        <f t="shared" si="3"/>
        <v>5.0441824662527168E-2</v>
      </c>
      <c r="G16" s="85">
        <f t="shared" si="3"/>
        <v>4.9768624289721897E-2</v>
      </c>
      <c r="H16" s="85">
        <f t="shared" si="3"/>
        <v>4.653132534249424E-2</v>
      </c>
      <c r="I16" s="85">
        <f t="shared" si="3"/>
        <v>2.8446024699569871E-2</v>
      </c>
      <c r="J16" s="84">
        <f t="shared" si="3"/>
        <v>3.3251358276140362E-2</v>
      </c>
    </row>
    <row r="17" spans="1:12">
      <c r="B17" s="51" t="s">
        <v>630</v>
      </c>
      <c r="C17" s="83">
        <f>'BABA Cash Flow'!C31</f>
        <v>7450.95</v>
      </c>
      <c r="D17" s="83">
        <f>'BABA Cash Flow'!D31</f>
        <v>-2827.91</v>
      </c>
      <c r="E17" s="83">
        <f>'BABA Cash Flow'!E31</f>
        <v>1968.8</v>
      </c>
      <c r="F17" s="82">
        <f>AVERAGE(C17:E17)</f>
        <v>2197.2800000000002</v>
      </c>
      <c r="G17" s="82">
        <f>$F$17</f>
        <v>2197.2800000000002</v>
      </c>
      <c r="H17" s="82">
        <f>$F$17</f>
        <v>2197.2800000000002</v>
      </c>
      <c r="I17" s="82">
        <f>$F$17</f>
        <v>2197.2800000000002</v>
      </c>
      <c r="J17" s="82">
        <f>$F$17</f>
        <v>2197.2800000000002</v>
      </c>
      <c r="L17" s="29" t="s">
        <v>629</v>
      </c>
    </row>
    <row r="18" spans="1:12">
      <c r="B18" s="81" t="s">
        <v>628</v>
      </c>
      <c r="C18" s="80">
        <f t="shared" ref="C18:J18" si="4">C17/C7</f>
        <v>7.4259261413461244E-2</v>
      </c>
      <c r="D18" s="80">
        <f t="shared" si="4"/>
        <v>-2.3698351360159083E-2</v>
      </c>
      <c r="E18" s="79">
        <f t="shared" si="4"/>
        <v>1.6202104371309853E-2</v>
      </c>
      <c r="F18" s="80">
        <f t="shared" si="4"/>
        <v>1.6456458695304824E-2</v>
      </c>
      <c r="G18" s="80">
        <f>G17/G7</f>
        <v>1.5037759326837426E-2</v>
      </c>
      <c r="H18" s="80">
        <f t="shared" si="4"/>
        <v>1.3815375229492059E-2</v>
      </c>
      <c r="I18" s="80">
        <f t="shared" si="4"/>
        <v>1.2535478154147486E-2</v>
      </c>
      <c r="J18" s="79">
        <f t="shared" si="4"/>
        <v>1.215535480316313E-2</v>
      </c>
    </row>
    <row r="20" spans="1:12">
      <c r="B20" s="75" t="s">
        <v>627</v>
      </c>
      <c r="D20" s="214" t="s">
        <v>626</v>
      </c>
      <c r="E20" s="215"/>
    </row>
    <row r="21" spans="1:12">
      <c r="B21" s="78">
        <f>WACC!B28</f>
        <v>7.350077612636198E-2</v>
      </c>
      <c r="D21" s="216" t="s">
        <v>625</v>
      </c>
      <c r="E21" s="217"/>
      <c r="F21" s="77">
        <f>F9*(1-F11)+F13-F15-F17</f>
        <v>15803.745643463195</v>
      </c>
      <c r="G21" s="77">
        <f>G9*(1-G11)+G13-G15-G17</f>
        <v>17381.51253843823</v>
      </c>
      <c r="H21" s="77">
        <f>H9*(1-H11)+H13-H15-H17</f>
        <v>18546.405748559759</v>
      </c>
      <c r="I21" s="77">
        <f>I9*(1-I11)+I13-I15-I17</f>
        <v>27518.191593833923</v>
      </c>
      <c r="J21" s="77">
        <f>J9*(1-J11)+J13-J15-J17</f>
        <v>26074.855183527303</v>
      </c>
      <c r="L21" s="45" t="s">
        <v>624</v>
      </c>
    </row>
    <row r="22" spans="1:12">
      <c r="A22" s="75" t="s">
        <v>903</v>
      </c>
      <c r="B22" s="160">
        <f>B27</f>
        <v>5.2294919221663821E-2</v>
      </c>
      <c r="D22" s="29" t="s">
        <v>623</v>
      </c>
      <c r="F22" s="76">
        <f>-PV($B$21,F24,,F21)</f>
        <v>14721.690002395428</v>
      </c>
      <c r="G22" s="76">
        <f>-PV($B$21,G24,,G21)</f>
        <v>15082.83015349561</v>
      </c>
      <c r="H22" s="76">
        <f>-PV($B$21,H24,,H21)</f>
        <v>14991.761638512702</v>
      </c>
      <c r="I22" s="76">
        <f>-PV($B$21,I24,,I21)</f>
        <v>20720.987037042007</v>
      </c>
      <c r="J22" s="76">
        <f>-PV($B$21,J24,,J21)</f>
        <v>18289.847791411936</v>
      </c>
    </row>
    <row r="23" spans="1:12">
      <c r="A23" s="29" t="s">
        <v>989</v>
      </c>
      <c r="B23" s="156">
        <f>'BABA Income Statement'!E41*(1-WACC!B17)</f>
        <v>11936.4932176</v>
      </c>
      <c r="C23" s="218" t="s">
        <v>622</v>
      </c>
      <c r="D23" s="219"/>
      <c r="E23" s="220"/>
      <c r="F23" s="75" t="s">
        <v>620</v>
      </c>
      <c r="G23" s="75" t="s">
        <v>619</v>
      </c>
      <c r="H23" s="75" t="s">
        <v>618</v>
      </c>
      <c r="I23" s="68" t="s">
        <v>611</v>
      </c>
      <c r="J23" s="68" t="s">
        <v>893</v>
      </c>
    </row>
    <row r="24" spans="1:12">
      <c r="A24" s="29" t="s">
        <v>990</v>
      </c>
      <c r="B24" s="156">
        <f>'BABA Balance Sheet'!E117</f>
        <v>255262.97</v>
      </c>
      <c r="C24" s="212" t="s">
        <v>617</v>
      </c>
      <c r="D24" s="213"/>
      <c r="E24" s="213"/>
      <c r="F24" s="74">
        <v>1</v>
      </c>
      <c r="G24" s="74">
        <v>2</v>
      </c>
      <c r="H24" s="74">
        <v>3</v>
      </c>
      <c r="I24" s="74">
        <v>4</v>
      </c>
      <c r="J24" s="74">
        <v>5</v>
      </c>
    </row>
    <row r="25" spans="1:12">
      <c r="A25" s="29" t="s">
        <v>991</v>
      </c>
      <c r="B25" s="156">
        <f>C37</f>
        <v>27009.568039391201</v>
      </c>
      <c r="C25" s="221" t="s">
        <v>616</v>
      </c>
      <c r="D25" s="222"/>
      <c r="E25" s="213"/>
      <c r="F25" s="73">
        <f>1/(1+$B$21)^F24</f>
        <v>0.93153169726473473</v>
      </c>
      <c r="G25" s="73">
        <f>1/(1+$B$21)^G24</f>
        <v>0.86775130300891745</v>
      </c>
      <c r="H25" s="73">
        <f>1/(1+$B$21)^H24</f>
        <v>0.80833784409558196</v>
      </c>
      <c r="I25" s="73">
        <f>1/(1+$B$21)^I24</f>
        <v>0.75299232387367399</v>
      </c>
      <c r="J25" s="73">
        <f>1/(1+$B$21)^J24</f>
        <v>0.70143621748536045</v>
      </c>
    </row>
    <row r="26" spans="1:12" ht="15.9" thickBot="1">
      <c r="A26" s="29" t="s">
        <v>992</v>
      </c>
      <c r="B26" s="156">
        <f>B24-B25</f>
        <v>228253.40196060881</v>
      </c>
      <c r="C26" s="223" t="s">
        <v>615</v>
      </c>
      <c r="D26" s="224"/>
      <c r="E26" s="225"/>
      <c r="F26" s="72">
        <f>F21*F25</f>
        <v>14721.690002395428</v>
      </c>
      <c r="G26" s="72">
        <f>G21*G25</f>
        <v>15082.83015349561</v>
      </c>
      <c r="H26" s="72">
        <f>H21*H25</f>
        <v>14991.761638512704</v>
      </c>
      <c r="I26" s="72">
        <f>I21*I25</f>
        <v>20720.987037042007</v>
      </c>
      <c r="J26" s="72">
        <f>J21*J25</f>
        <v>18289.847791411936</v>
      </c>
    </row>
    <row r="27" spans="1:12" ht="15.9" thickTop="1">
      <c r="A27" s="29" t="s">
        <v>903</v>
      </c>
      <c r="B27" s="150">
        <f>B23/B26</f>
        <v>5.2294919221663821E-2</v>
      </c>
    </row>
    <row r="28" spans="1:12">
      <c r="G28" s="218" t="s">
        <v>612</v>
      </c>
      <c r="H28" s="219"/>
      <c r="I28" s="220"/>
      <c r="J28" s="68" t="s">
        <v>893</v>
      </c>
    </row>
    <row r="29" spans="1:12">
      <c r="F29" s="29" t="s">
        <v>609</v>
      </c>
      <c r="G29" s="212" t="s">
        <v>993</v>
      </c>
      <c r="H29" s="213"/>
      <c r="I29" s="213"/>
      <c r="J29" s="186">
        <v>2.1999999999999999E-2</v>
      </c>
      <c r="K29" s="29" t="s">
        <v>994</v>
      </c>
      <c r="L29" s="71" t="s">
        <v>614</v>
      </c>
    </row>
    <row r="30" spans="1:12">
      <c r="B30" s="191">
        <v>45015</v>
      </c>
      <c r="G30" s="221" t="s">
        <v>613</v>
      </c>
      <c r="H30" s="222"/>
      <c r="I30" s="213"/>
      <c r="J30" s="70">
        <f>J26*(1+J29)/(B21-J29)</f>
        <v>362950.34461150394</v>
      </c>
    </row>
    <row r="31" spans="1:12">
      <c r="B31" s="75" t="s">
        <v>895</v>
      </c>
      <c r="G31" s="223" t="s">
        <v>606</v>
      </c>
      <c r="H31" s="224"/>
      <c r="I31" s="225"/>
      <c r="J31" s="70">
        <f>J30*J25</f>
        <v>254586.5168593014</v>
      </c>
      <c r="K31" s="76">
        <f>-PV($B$21,J24,,J30)</f>
        <v>254586.5168593014</v>
      </c>
    </row>
    <row r="32" spans="1:12">
      <c r="B32" s="189">
        <f>'BABA Valuation'!E19</f>
        <v>228699.51999999999</v>
      </c>
      <c r="C32" s="46">
        <f>C36-B32</f>
        <v>109694.11348215913</v>
      </c>
    </row>
    <row r="33" spans="1:10">
      <c r="G33" s="218" t="s">
        <v>612</v>
      </c>
      <c r="H33" s="219"/>
      <c r="I33" s="220"/>
      <c r="J33" s="68" t="s">
        <v>893</v>
      </c>
    </row>
    <row r="34" spans="1:10">
      <c r="G34" s="212" t="s">
        <v>598</v>
      </c>
      <c r="H34" s="213"/>
      <c r="I34" s="213"/>
      <c r="J34" s="35">
        <f>'BABA Valuation'!E66</f>
        <v>10.17</v>
      </c>
    </row>
    <row r="35" spans="1:10">
      <c r="B35" s="67" t="s">
        <v>610</v>
      </c>
      <c r="C35" s="67" t="s">
        <v>609</v>
      </c>
      <c r="D35" s="67" t="s">
        <v>598</v>
      </c>
      <c r="E35" s="155" t="s">
        <v>580</v>
      </c>
      <c r="G35" s="66" t="s">
        <v>608</v>
      </c>
      <c r="H35" s="65"/>
      <c r="I35" s="64"/>
      <c r="J35" s="63">
        <f>(J9+J13)*J34</f>
        <v>405641.27895590861</v>
      </c>
    </row>
    <row r="36" spans="1:10">
      <c r="B36" s="51" t="s">
        <v>607</v>
      </c>
      <c r="C36" s="62">
        <f>SUM(F26:J26,J31)</f>
        <v>338393.63348215912</v>
      </c>
      <c r="D36" s="62">
        <f>SUM(F26:J26,J36)</f>
        <v>368338.60098961415</v>
      </c>
      <c r="E36" s="154">
        <f t="shared" ref="E36:E40" si="5">AVERAGE(C36:D36)</f>
        <v>353366.11723588663</v>
      </c>
      <c r="G36" s="61" t="s">
        <v>606</v>
      </c>
      <c r="H36" s="60"/>
      <c r="I36" s="59"/>
      <c r="J36" s="58">
        <f>J35/(1+$B$21)^5</f>
        <v>284531.48436675646</v>
      </c>
    </row>
    <row r="37" spans="1:10">
      <c r="B37" s="55" t="s">
        <v>605</v>
      </c>
      <c r="C37" s="187">
        <f>'BABA Forecast'!F85</f>
        <v>27009.568039391201</v>
      </c>
      <c r="D37" s="187">
        <f>C37</f>
        <v>27009.568039391201</v>
      </c>
      <c r="E37" s="188">
        <f>AVERAGE(C37:D37)</f>
        <v>27009.568039391201</v>
      </c>
    </row>
    <row r="38" spans="1:10">
      <c r="B38" s="55" t="s">
        <v>604</v>
      </c>
      <c r="C38" s="187">
        <f>'BABA Balance Sheet'!E98</f>
        <v>91753.01</v>
      </c>
      <c r="D38" s="187">
        <f>C38</f>
        <v>91753.01</v>
      </c>
      <c r="E38" s="188">
        <f t="shared" si="5"/>
        <v>91753.01</v>
      </c>
    </row>
    <row r="39" spans="1:10">
      <c r="B39" s="51" t="s">
        <v>577</v>
      </c>
      <c r="C39" s="56">
        <f>C36+C37-C38</f>
        <v>273650.1915215503</v>
      </c>
      <c r="D39" s="56">
        <f>D36+D37-D38</f>
        <v>303595.15902900533</v>
      </c>
      <c r="E39" s="154">
        <f t="shared" si="5"/>
        <v>288622.67527527781</v>
      </c>
      <c r="G39" s="207" t="s">
        <v>603</v>
      </c>
      <c r="H39" s="207"/>
      <c r="I39" s="207"/>
      <c r="J39" s="29" t="s">
        <v>602</v>
      </c>
    </row>
    <row r="40" spans="1:10">
      <c r="B40" s="55" t="s">
        <v>583</v>
      </c>
      <c r="C40" s="158">
        <f>F2/1000000</f>
        <v>2543.424</v>
      </c>
      <c r="D40" s="50">
        <f>C40</f>
        <v>2543.424</v>
      </c>
      <c r="E40" s="55">
        <f t="shared" si="5"/>
        <v>2543.424</v>
      </c>
      <c r="G40" s="207" t="s">
        <v>601</v>
      </c>
      <c r="H40" s="207"/>
      <c r="I40" s="47">
        <f>C36</f>
        <v>338393.63348215912</v>
      </c>
      <c r="J40" s="46">
        <f t="shared" ref="J40:J47" si="6">$I$47-I40</f>
        <v>-109694.11348215913</v>
      </c>
    </row>
    <row r="41" spans="1:10">
      <c r="B41" s="51" t="s">
        <v>581</v>
      </c>
      <c r="C41" s="56">
        <f>C39/C40</f>
        <v>107.59125946816194</v>
      </c>
      <c r="D41" s="56">
        <f>D39/D40</f>
        <v>119.36474572426985</v>
      </c>
      <c r="E41" s="51">
        <f>AVERAGE(C41:D41)</f>
        <v>113.4780025962159</v>
      </c>
      <c r="G41" s="207" t="s">
        <v>600</v>
      </c>
      <c r="H41" s="207"/>
      <c r="I41" s="47">
        <f>D36</f>
        <v>368338.60098961415</v>
      </c>
      <c r="J41" s="46">
        <f t="shared" si="6"/>
        <v>-139639.08098961416</v>
      </c>
    </row>
    <row r="42" spans="1:10">
      <c r="B42" s="55" t="s">
        <v>578</v>
      </c>
      <c r="C42" s="54">
        <f>E2</f>
        <v>74.67</v>
      </c>
      <c r="D42" s="54">
        <f>E2</f>
        <v>74.67</v>
      </c>
      <c r="E42" s="55">
        <f>AVERAGE(C42:D42)</f>
        <v>74.67</v>
      </c>
      <c r="G42" s="207" t="s">
        <v>599</v>
      </c>
      <c r="H42" s="207"/>
      <c r="I42" s="47">
        <f>F71</f>
        <v>639763.21966920397</v>
      </c>
      <c r="J42" s="46">
        <f t="shared" si="6"/>
        <v>-411063.69966920395</v>
      </c>
    </row>
    <row r="43" spans="1:10">
      <c r="B43" s="51" t="s">
        <v>576</v>
      </c>
      <c r="C43" s="159">
        <f>C41/C42-1</f>
        <v>0.440890042428846</v>
      </c>
      <c r="D43" s="52">
        <f>D41/D42-1</f>
        <v>0.59856362293116172</v>
      </c>
      <c r="E43" s="153">
        <f>AVERAGE(C43:D43)</f>
        <v>0.51972683268000386</v>
      </c>
      <c r="G43" s="207" t="s">
        <v>598</v>
      </c>
      <c r="H43" s="207"/>
      <c r="I43" s="47">
        <f>C63</f>
        <v>1747422.9161337763</v>
      </c>
      <c r="J43" s="46">
        <f t="shared" si="6"/>
        <v>-1518723.3961337763</v>
      </c>
    </row>
    <row r="44" spans="1:10">
      <c r="B44" s="51" t="s">
        <v>894</v>
      </c>
      <c r="C44" s="57">
        <f>C41-C42</f>
        <v>32.921259468161935</v>
      </c>
      <c r="D44" s="57">
        <f>D41-D42</f>
        <v>44.69474572426985</v>
      </c>
      <c r="E44" s="157">
        <f>AVERAGE(C44:D44)</f>
        <v>38.808002596215893</v>
      </c>
      <c r="G44" s="207" t="s">
        <v>597</v>
      </c>
      <c r="H44" s="207"/>
      <c r="I44" s="47">
        <f>D63</f>
        <v>320279.03084633488</v>
      </c>
      <c r="J44" s="46">
        <f t="shared" si="6"/>
        <v>-91579.510846334888</v>
      </c>
    </row>
    <row r="45" spans="1:10">
      <c r="B45" s="49" t="s">
        <v>574</v>
      </c>
      <c r="C45" s="48" t="s">
        <v>902</v>
      </c>
      <c r="D45" s="48" t="s">
        <v>902</v>
      </c>
      <c r="E45" s="48" t="s">
        <v>902</v>
      </c>
      <c r="G45" s="207" t="s">
        <v>596</v>
      </c>
      <c r="H45" s="207"/>
      <c r="I45" s="190">
        <f>E63</f>
        <v>812010.96937779919</v>
      </c>
      <c r="J45" s="46">
        <f t="shared" si="6"/>
        <v>-583311.44937779917</v>
      </c>
    </row>
    <row r="46" spans="1:10">
      <c r="G46" s="207" t="s">
        <v>595</v>
      </c>
      <c r="H46" s="207"/>
      <c r="I46" s="190">
        <f>F63</f>
        <v>467515.46996060881</v>
      </c>
      <c r="J46" s="46">
        <f t="shared" si="6"/>
        <v>-238815.94996060882</v>
      </c>
    </row>
    <row r="47" spans="1:10">
      <c r="G47" s="207" t="s">
        <v>594</v>
      </c>
      <c r="H47" s="207"/>
      <c r="I47" s="47">
        <f>B32</f>
        <v>228699.51999999999</v>
      </c>
      <c r="J47" s="46">
        <f t="shared" si="6"/>
        <v>0</v>
      </c>
    </row>
    <row r="48" spans="1:10">
      <c r="A48" s="45" t="s">
        <v>593</v>
      </c>
    </row>
    <row r="49" spans="1:9" ht="46.8">
      <c r="A49" s="44" t="s">
        <v>592</v>
      </c>
      <c r="B49" s="44" t="s">
        <v>172</v>
      </c>
      <c r="C49" s="44" t="s">
        <v>591</v>
      </c>
      <c r="D49" s="44" t="s">
        <v>590</v>
      </c>
      <c r="E49" s="44" t="s">
        <v>589</v>
      </c>
      <c r="F49" s="44" t="s">
        <v>209</v>
      </c>
    </row>
    <row r="50" spans="1:9">
      <c r="A50" s="40" t="s">
        <v>999</v>
      </c>
      <c r="B50" s="43" t="str">
        <f>B86</f>
        <v>Alibaba</v>
      </c>
      <c r="C50" s="42">
        <f>C86</f>
        <v>10.17</v>
      </c>
      <c r="D50" s="42">
        <f t="shared" ref="D50" si="7">D86</f>
        <v>1.0972888746318379</v>
      </c>
      <c r="E50" s="42">
        <f>E86</f>
        <v>11.2</v>
      </c>
      <c r="F50" s="42">
        <f>F86</f>
        <v>1.82</v>
      </c>
      <c r="H50" s="156"/>
    </row>
    <row r="52" spans="1:9">
      <c r="A52" s="41" t="s">
        <v>892</v>
      </c>
      <c r="B52" s="41" t="s">
        <v>1002</v>
      </c>
      <c r="C52" s="32">
        <v>17.59</v>
      </c>
      <c r="D52" s="32">
        <v>4.25</v>
      </c>
      <c r="E52" s="32">
        <v>15.03</v>
      </c>
      <c r="F52" s="32">
        <v>3.71</v>
      </c>
    </row>
    <row r="53" spans="1:9">
      <c r="A53" s="41" t="s">
        <v>1009</v>
      </c>
      <c r="B53" s="41" t="s">
        <v>1003</v>
      </c>
      <c r="C53" s="32">
        <v>16.239999999999998</v>
      </c>
      <c r="D53" s="32">
        <v>2.38</v>
      </c>
      <c r="E53" s="32">
        <v>76.34</v>
      </c>
      <c r="F53" s="32">
        <v>5.89</v>
      </c>
    </row>
    <row r="54" spans="1:9">
      <c r="A54" s="41" t="s">
        <v>1010</v>
      </c>
      <c r="B54" s="41" t="s">
        <v>1004</v>
      </c>
      <c r="C54" s="32">
        <v>18.690000000000001</v>
      </c>
      <c r="D54" s="32">
        <v>0.22</v>
      </c>
      <c r="E54" s="32">
        <v>29.64</v>
      </c>
      <c r="F54" s="32">
        <v>2.86</v>
      </c>
    </row>
    <row r="55" spans="1:9">
      <c r="A55" s="41" t="s">
        <v>1011</v>
      </c>
      <c r="B55" s="41" t="s">
        <v>1005</v>
      </c>
      <c r="C55" s="32">
        <v>257.57</v>
      </c>
      <c r="D55" s="32">
        <v>2.2599999999999998</v>
      </c>
      <c r="E55" s="32">
        <v>77.709999999999994</v>
      </c>
      <c r="F55" s="32">
        <v>7.34</v>
      </c>
    </row>
    <row r="56" spans="1:9">
      <c r="A56" s="41" t="s">
        <v>1012</v>
      </c>
      <c r="B56" s="41" t="s">
        <v>1006</v>
      </c>
      <c r="C56" s="32">
        <v>18.64</v>
      </c>
      <c r="D56" s="32">
        <v>4.05</v>
      </c>
      <c r="E56" s="32">
        <v>30.35</v>
      </c>
      <c r="F56" s="32">
        <v>6.3</v>
      </c>
    </row>
    <row r="57" spans="1:9">
      <c r="A57" s="41" t="s">
        <v>1013</v>
      </c>
      <c r="B57" s="41" t="s">
        <v>1007</v>
      </c>
      <c r="C57" s="32">
        <v>5.55</v>
      </c>
      <c r="D57" s="32">
        <v>1.57</v>
      </c>
      <c r="E57" s="32">
        <v>14.46</v>
      </c>
      <c r="F57" s="32">
        <v>1.23</v>
      </c>
    </row>
    <row r="58" spans="1:9">
      <c r="A58" s="41" t="s">
        <v>1014</v>
      </c>
      <c r="B58" s="41" t="s">
        <v>1008</v>
      </c>
      <c r="C58" s="32">
        <v>163.38</v>
      </c>
      <c r="D58" s="32">
        <v>3.72</v>
      </c>
      <c r="E58" s="32">
        <v>16.170000000000002</v>
      </c>
      <c r="F58" s="32">
        <v>1.37</v>
      </c>
    </row>
    <row r="59" spans="1:9">
      <c r="H59" s="208" t="s">
        <v>621</v>
      </c>
      <c r="I59" s="208"/>
    </row>
    <row r="60" spans="1:9">
      <c r="A60" s="40" t="s">
        <v>999</v>
      </c>
      <c r="B60" s="31" t="s">
        <v>579</v>
      </c>
      <c r="C60" s="35">
        <f>MEDIAN(C52:C58)</f>
        <v>18.64</v>
      </c>
      <c r="D60" s="35">
        <f>MEDIAN(D52:D58)</f>
        <v>2.38</v>
      </c>
      <c r="E60" s="35">
        <f>MEDIAN(E52:E58)</f>
        <v>29.64</v>
      </c>
      <c r="F60" s="35">
        <f>MEDIAN(F52:F58)</f>
        <v>3.71</v>
      </c>
      <c r="H60" s="31" t="s">
        <v>23</v>
      </c>
      <c r="I60" s="39">
        <f>'BABA Forecast'!F39</f>
        <v>24578.950313339301</v>
      </c>
    </row>
    <row r="61" spans="1:9">
      <c r="A61" s="40" t="s">
        <v>999</v>
      </c>
      <c r="B61" s="31" t="s">
        <v>580</v>
      </c>
      <c r="C61" s="35">
        <f>AVERAGE(C52:C58)</f>
        <v>71.094285714285704</v>
      </c>
      <c r="D61" s="35">
        <f>AVERAGE(D52:D58)</f>
        <v>2.6357142857142857</v>
      </c>
      <c r="E61" s="35">
        <f>AVERAGE(E52:E58)</f>
        <v>37.1</v>
      </c>
      <c r="F61" s="35">
        <f>AVERAGE(F52:F58)</f>
        <v>4.0999999999999996</v>
      </c>
      <c r="H61" s="31" t="s">
        <v>587</v>
      </c>
      <c r="I61" s="39">
        <f>E7</f>
        <v>121515.079453894</v>
      </c>
    </row>
    <row r="62" spans="1:9">
      <c r="H62" s="31" t="s">
        <v>34</v>
      </c>
      <c r="I62" s="39">
        <f>'BABA Forecast'!F72</f>
        <v>20141.981871083299</v>
      </c>
    </row>
    <row r="63" spans="1:9">
      <c r="B63" s="31" t="s">
        <v>97</v>
      </c>
      <c r="C63" s="38">
        <f>I60*C61</f>
        <v>1747422.9161337763</v>
      </c>
      <c r="D63" s="38">
        <f>I61*D61</f>
        <v>320279.03084633488</v>
      </c>
      <c r="E63" s="37">
        <f>E64+C38-C37</f>
        <v>812010.96937779919</v>
      </c>
      <c r="F63" s="37">
        <f>F64+C38-C37</f>
        <v>467515.46996060881</v>
      </c>
      <c r="H63" s="31" t="s">
        <v>586</v>
      </c>
      <c r="I63" s="39">
        <f>'BABA Balance Sheet'!E177</f>
        <v>98237.08</v>
      </c>
    </row>
    <row r="64" spans="1:9">
      <c r="B64" s="31" t="s">
        <v>577</v>
      </c>
      <c r="C64" s="37">
        <f>C63+C37-C38</f>
        <v>1682679.4741731675</v>
      </c>
      <c r="D64" s="37">
        <f>D63+C37-C38</f>
        <v>255535.58888572606</v>
      </c>
      <c r="E64" s="38">
        <f>E61*I62</f>
        <v>747267.52741719037</v>
      </c>
      <c r="F64" s="38">
        <f>F61*I63</f>
        <v>402772.02799999999</v>
      </c>
    </row>
    <row r="65" spans="1:9">
      <c r="B65" s="31" t="s">
        <v>575</v>
      </c>
      <c r="C65" s="37">
        <f>C64+$C$38</f>
        <v>1774432.4841731675</v>
      </c>
      <c r="D65" s="37">
        <f>D64+$C$38</f>
        <v>347288.59888572607</v>
      </c>
      <c r="E65" s="37">
        <f>E64+$C$38</f>
        <v>839020.53741719038</v>
      </c>
      <c r="F65" s="37">
        <f>F64+$C$38</f>
        <v>494525.038</v>
      </c>
      <c r="H65" s="36" t="s">
        <v>585</v>
      </c>
    </row>
    <row r="66" spans="1:9">
      <c r="H66" s="36" t="s">
        <v>584</v>
      </c>
    </row>
    <row r="67" spans="1:9">
      <c r="B67" s="31" t="s">
        <v>583</v>
      </c>
      <c r="C67" s="32">
        <f>$C$40</f>
        <v>2543.424</v>
      </c>
      <c r="D67" s="32">
        <f>$C$40</f>
        <v>2543.424</v>
      </c>
      <c r="E67" s="32">
        <f>$C$40</f>
        <v>2543.424</v>
      </c>
      <c r="F67" s="32">
        <f>$C$40</f>
        <v>2543.424</v>
      </c>
      <c r="H67" s="36" t="s">
        <v>582</v>
      </c>
    </row>
    <row r="68" spans="1:9">
      <c r="B68" s="31" t="s">
        <v>581</v>
      </c>
      <c r="C68" s="149">
        <f>C64/C67</f>
        <v>661.58040270641766</v>
      </c>
      <c r="D68" s="149">
        <f>D64/D67</f>
        <v>100.46912700584961</v>
      </c>
      <c r="E68" s="149">
        <f>E64/E67</f>
        <v>293.80375722537428</v>
      </c>
      <c r="F68" s="149">
        <f>F64/F67</f>
        <v>158.35819273546213</v>
      </c>
    </row>
    <row r="69" spans="1:9">
      <c r="D69" s="147">
        <f>D42-D68</f>
        <v>-25.799127005849613</v>
      </c>
    </row>
    <row r="70" spans="1:9">
      <c r="B70" s="31" t="s">
        <v>580</v>
      </c>
      <c r="C70" s="32">
        <f>AVERAGE(C68:F68)</f>
        <v>303.55286991827592</v>
      </c>
      <c r="E70" s="31" t="s">
        <v>579</v>
      </c>
    </row>
    <row r="71" spans="1:9">
      <c r="B71" s="31" t="s">
        <v>579</v>
      </c>
      <c r="C71" s="32">
        <f>MEDIAN(C68:F68)</f>
        <v>226.0809749804182</v>
      </c>
      <c r="E71" s="31" t="s">
        <v>97</v>
      </c>
      <c r="F71" s="32">
        <f>MEDIAN(C63:F63)</f>
        <v>639763.21966920397</v>
      </c>
    </row>
    <row r="72" spans="1:9">
      <c r="B72" s="31" t="s">
        <v>578</v>
      </c>
      <c r="C72" s="34">
        <f>E2</f>
        <v>74.67</v>
      </c>
      <c r="E72" s="31" t="s">
        <v>577</v>
      </c>
      <c r="F72" s="32">
        <f>MEDIAN(C64:F64)</f>
        <v>575019.77770859515</v>
      </c>
    </row>
    <row r="73" spans="1:9">
      <c r="B73" s="31" t="s">
        <v>576</v>
      </c>
      <c r="C73" s="33">
        <f>C71/C72-1</f>
        <v>2.0277350338880167</v>
      </c>
      <c r="E73" s="31" t="s">
        <v>575</v>
      </c>
      <c r="F73" s="32">
        <f>MEDIAN(C65:F65)</f>
        <v>666772.78770859516</v>
      </c>
    </row>
    <row r="74" spans="1:9">
      <c r="B74" s="31" t="s">
        <v>574</v>
      </c>
      <c r="C74" s="30" t="s">
        <v>997</v>
      </c>
    </row>
    <row r="76" spans="1:9" ht="23.1">
      <c r="A76" s="148" t="s">
        <v>900</v>
      </c>
    </row>
    <row r="77" spans="1:9" ht="46.8">
      <c r="A77" s="44" t="s">
        <v>592</v>
      </c>
      <c r="B77" s="44" t="s">
        <v>172</v>
      </c>
      <c r="C77" s="44" t="s">
        <v>591</v>
      </c>
      <c r="D77" s="44" t="s">
        <v>590</v>
      </c>
      <c r="E77" s="44" t="s">
        <v>589</v>
      </c>
      <c r="F77" s="44" t="s">
        <v>209</v>
      </c>
    </row>
    <row r="78" spans="1:9">
      <c r="A78" s="41" t="s">
        <v>892</v>
      </c>
      <c r="B78" s="41" t="s">
        <v>1002</v>
      </c>
      <c r="C78" s="32">
        <v>17.59</v>
      </c>
      <c r="D78" s="32">
        <v>4.25</v>
      </c>
      <c r="E78" s="32">
        <v>15.03</v>
      </c>
      <c r="F78" s="32">
        <v>3.71</v>
      </c>
      <c r="I78" s="194"/>
    </row>
    <row r="79" spans="1:9">
      <c r="A79" s="41" t="s">
        <v>1009</v>
      </c>
      <c r="B79" s="41" t="s">
        <v>1003</v>
      </c>
      <c r="C79" s="32">
        <v>16.239999999999998</v>
      </c>
      <c r="D79" s="32">
        <v>2.38</v>
      </c>
      <c r="E79" s="32">
        <v>76.34</v>
      </c>
      <c r="F79" s="32">
        <v>5.89</v>
      </c>
      <c r="I79" s="194"/>
    </row>
    <row r="80" spans="1:9">
      <c r="A80" s="41" t="s">
        <v>1010</v>
      </c>
      <c r="B80" s="41" t="s">
        <v>1004</v>
      </c>
      <c r="C80" s="32">
        <v>18.690000000000001</v>
      </c>
      <c r="D80" s="32">
        <v>0.22</v>
      </c>
      <c r="E80" s="32">
        <v>29.64</v>
      </c>
      <c r="F80" s="32">
        <v>2.86</v>
      </c>
      <c r="I80" s="194"/>
    </row>
    <row r="81" spans="1:9">
      <c r="A81" s="41" t="s">
        <v>1011</v>
      </c>
      <c r="B81" s="41" t="s">
        <v>1005</v>
      </c>
      <c r="C81" s="32">
        <v>257.57</v>
      </c>
      <c r="D81" s="32">
        <v>2.2599999999999998</v>
      </c>
      <c r="E81" s="32">
        <v>77.709999999999994</v>
      </c>
      <c r="F81" s="32">
        <v>7.34</v>
      </c>
      <c r="I81" s="194"/>
    </row>
    <row r="82" spans="1:9">
      <c r="A82" s="41" t="s">
        <v>1012</v>
      </c>
      <c r="B82" s="41" t="s">
        <v>1006</v>
      </c>
      <c r="C82" s="32">
        <v>18.64</v>
      </c>
      <c r="D82" s="32">
        <v>4.05</v>
      </c>
      <c r="E82" s="32">
        <v>30.35</v>
      </c>
      <c r="F82" s="32">
        <v>6.3</v>
      </c>
      <c r="I82" s="194"/>
    </row>
    <row r="83" spans="1:9">
      <c r="A83" s="41" t="s">
        <v>1013</v>
      </c>
      <c r="B83" s="41" t="s">
        <v>1007</v>
      </c>
      <c r="C83" s="32">
        <v>5.55</v>
      </c>
      <c r="D83" s="32">
        <v>1.57</v>
      </c>
      <c r="E83" s="32">
        <v>14.46</v>
      </c>
      <c r="F83" s="32">
        <v>1.23</v>
      </c>
      <c r="I83" s="194"/>
    </row>
    <row r="84" spans="1:9">
      <c r="A84" s="41" t="s">
        <v>1014</v>
      </c>
      <c r="B84" s="41" t="s">
        <v>1008</v>
      </c>
      <c r="C84" s="32">
        <v>163.38</v>
      </c>
      <c r="D84" s="32">
        <v>3.72</v>
      </c>
      <c r="E84" s="32">
        <v>16.170000000000002</v>
      </c>
      <c r="F84" s="32">
        <v>1.37</v>
      </c>
      <c r="I84" s="194"/>
    </row>
    <row r="85" spans="1:9">
      <c r="I85" s="194"/>
    </row>
    <row r="86" spans="1:9">
      <c r="A86" s="40" t="s">
        <v>999</v>
      </c>
      <c r="B86" s="43" t="s">
        <v>998</v>
      </c>
      <c r="C86" s="42">
        <f>'BABA Valuation'!E66</f>
        <v>10.17</v>
      </c>
      <c r="D86" s="42">
        <f>'BABA Forecast'!G99/'BABA Forecast'!G10</f>
        <v>1.0972888746318379</v>
      </c>
      <c r="E86" s="42">
        <f>11.2</f>
        <v>11.2</v>
      </c>
      <c r="F86" s="42">
        <f>'BABA Valuation'!E38</f>
        <v>1.82</v>
      </c>
    </row>
    <row r="87" spans="1:9">
      <c r="C87" s="29" t="s">
        <v>1000</v>
      </c>
      <c r="D87" s="29" t="s">
        <v>1001</v>
      </c>
      <c r="F87" s="29" t="s">
        <v>1000</v>
      </c>
    </row>
    <row r="89" spans="1:9">
      <c r="B89" s="31" t="s">
        <v>580</v>
      </c>
      <c r="C89" s="32">
        <f>AVERAGE(C78:C84)</f>
        <v>71.094285714285704</v>
      </c>
      <c r="D89" s="32">
        <f>AVERAGE(D78:D84)</f>
        <v>2.6357142857142857</v>
      </c>
      <c r="E89" s="32">
        <f>AVERAGE(E78:E84)</f>
        <v>37.1</v>
      </c>
      <c r="F89" s="32">
        <f>AVERAGE(F78:F84)</f>
        <v>4.0999999999999996</v>
      </c>
    </row>
    <row r="90" spans="1:9">
      <c r="B90" s="31" t="s">
        <v>899</v>
      </c>
      <c r="C90" s="151">
        <f>C86/C89</f>
        <v>0.14304947152674519</v>
      </c>
      <c r="D90" s="32">
        <f>D86/D89</f>
        <v>0.41631556219094124</v>
      </c>
      <c r="E90" s="32">
        <f>E86/E89</f>
        <v>0.30188679245283018</v>
      </c>
      <c r="F90" s="32">
        <f>F86/F89</f>
        <v>0.44390243902439031</v>
      </c>
    </row>
    <row r="91" spans="1:9">
      <c r="B91" s="143" t="s">
        <v>901</v>
      </c>
      <c r="C91" s="149">
        <f>$E$2/C90</f>
        <v>521.98724820901805</v>
      </c>
      <c r="D91" s="149">
        <f>$E$2/D90</f>
        <v>179.35913710992372</v>
      </c>
      <c r="E91" s="149">
        <f>$E$2/E90</f>
        <v>247.34437500000001</v>
      </c>
      <c r="F91" s="149">
        <f>$E$2/F90</f>
        <v>168.21263736263734</v>
      </c>
    </row>
    <row r="93" spans="1:9">
      <c r="B93" s="31" t="s">
        <v>580</v>
      </c>
      <c r="C93" s="32">
        <f>AVERAGE(C91:F91)</f>
        <v>279.22584942039475</v>
      </c>
    </row>
    <row r="94" spans="1:9">
      <c r="C94" s="150">
        <f>C93/E2-1</f>
        <v>2.7394649714797743</v>
      </c>
    </row>
  </sheetData>
  <mergeCells count="24">
    <mergeCell ref="C5:E5"/>
    <mergeCell ref="F5:J5"/>
    <mergeCell ref="G34:I34"/>
    <mergeCell ref="D20:E20"/>
    <mergeCell ref="D21:E21"/>
    <mergeCell ref="C23:E23"/>
    <mergeCell ref="C24:E24"/>
    <mergeCell ref="C25:E25"/>
    <mergeCell ref="C26:E26"/>
    <mergeCell ref="G33:I33"/>
    <mergeCell ref="G28:I28"/>
    <mergeCell ref="G29:I29"/>
    <mergeCell ref="G30:I30"/>
    <mergeCell ref="G31:I31"/>
    <mergeCell ref="G42:H42"/>
    <mergeCell ref="G43:H43"/>
    <mergeCell ref="G44:H44"/>
    <mergeCell ref="G39:I39"/>
    <mergeCell ref="H59:I59"/>
    <mergeCell ref="G45:H45"/>
    <mergeCell ref="G46:H46"/>
    <mergeCell ref="G47:H47"/>
    <mergeCell ref="G40:H40"/>
    <mergeCell ref="G41:H41"/>
  </mergeCells>
  <hyperlinks>
    <hyperlink ref="L29" r:id="rId1" xr:uid="{7C7ADFA6-8655-4738-9D56-6CFA8A436222}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5B5E-A394-47AE-949D-27ED96D25E87}">
  <dimension ref="A1:L94"/>
  <sheetViews>
    <sheetView showGridLines="0" zoomScale="77" zoomScaleNormal="100" workbookViewId="0">
      <selection activeCell="D42" sqref="D42"/>
    </sheetView>
  </sheetViews>
  <sheetFormatPr baseColWidth="10" defaultColWidth="8.89453125" defaultRowHeight="15.6"/>
  <cols>
    <col min="1" max="1" width="8.89453125" style="29"/>
    <col min="2" max="2" width="42.5234375" style="29" customWidth="1"/>
    <col min="3" max="3" width="15.15625" style="29" bestFit="1" customWidth="1"/>
    <col min="4" max="4" width="17.47265625" style="29" bestFit="1" customWidth="1"/>
    <col min="5" max="5" width="13.47265625" style="29" bestFit="1" customWidth="1"/>
    <col min="6" max="6" width="17.9453125" style="29" customWidth="1"/>
    <col min="7" max="7" width="15.41796875" style="29" customWidth="1"/>
    <col min="8" max="10" width="15.15625" style="29" bestFit="1" customWidth="1"/>
    <col min="11" max="11" width="13.05078125" style="29" bestFit="1" customWidth="1"/>
    <col min="12" max="16384" width="8.89453125" style="29"/>
  </cols>
  <sheetData>
    <row r="1" spans="1:11">
      <c r="C1" s="143" t="s">
        <v>897</v>
      </c>
      <c r="D1" s="143" t="s">
        <v>896</v>
      </c>
      <c r="E1" s="143" t="s">
        <v>898</v>
      </c>
      <c r="F1" s="143" t="s">
        <v>996</v>
      </c>
    </row>
    <row r="2" spans="1:11">
      <c r="B2" s="146" t="e" vm="1">
        <v>#VALUE!</v>
      </c>
      <c r="C2" s="144" cm="1">
        <f t="array" ref="C2">_FV(B2,"Acciones en circulación",TRUE)</f>
        <v>2543424000</v>
      </c>
      <c r="D2" s="32" cm="1">
        <f t="array" ref="D2">_FV(B2,"Beta")</f>
        <v>0.61240000000000006</v>
      </c>
      <c r="E2" s="145" cm="1">
        <f t="array" ref="E2">_FV(B2,"Precio")</f>
        <v>74.67</v>
      </c>
      <c r="F2" s="156" cm="1">
        <f t="array" ref="F2">_FV(B2,"Acciones en circulación",TRUE)</f>
        <v>2543424000</v>
      </c>
    </row>
    <row r="4" spans="1:11">
      <c r="A4" s="92" t="s">
        <v>162</v>
      </c>
      <c r="B4" s="92" t="s">
        <v>161</v>
      </c>
    </row>
    <row r="5" spans="1:11">
      <c r="B5" s="91" t="s">
        <v>640</v>
      </c>
      <c r="C5" s="209" t="s">
        <v>639</v>
      </c>
      <c r="D5" s="210"/>
      <c r="E5" s="211"/>
      <c r="F5" s="209" t="s">
        <v>638</v>
      </c>
      <c r="G5" s="210"/>
      <c r="H5" s="210"/>
      <c r="I5" s="210"/>
      <c r="J5" s="211"/>
    </row>
    <row r="6" spans="1:11">
      <c r="B6" s="69" t="s">
        <v>637</v>
      </c>
      <c r="C6" s="75" t="s">
        <v>636</v>
      </c>
      <c r="D6" s="75" t="s">
        <v>588</v>
      </c>
      <c r="E6" s="75" t="s">
        <v>621</v>
      </c>
      <c r="F6" s="75" t="s">
        <v>620</v>
      </c>
      <c r="G6" s="75" t="s">
        <v>619</v>
      </c>
      <c r="H6" s="75" t="s">
        <v>618</v>
      </c>
      <c r="I6" s="68" t="s">
        <v>611</v>
      </c>
      <c r="J6" s="68" t="s">
        <v>893</v>
      </c>
    </row>
    <row r="7" spans="1:11">
      <c r="B7" s="51" t="s">
        <v>635</v>
      </c>
      <c r="C7" s="70">
        <f>'BABA Forecast'!D10</f>
        <v>100336.979632945</v>
      </c>
      <c r="D7" s="70">
        <f>'BABA Forecast'!E10</f>
        <v>119329.397940913</v>
      </c>
      <c r="E7" s="70">
        <f>'BABA Forecast'!F10</f>
        <v>121515.079453894</v>
      </c>
      <c r="F7" s="86">
        <f>'BABA Forecast'!G10*$K$7</f>
        <v>126844.78712273369</v>
      </c>
      <c r="G7" s="86">
        <f>'BABA Forecast'!H10*$K$7</f>
        <v>138811.63773346558</v>
      </c>
      <c r="H7" s="86">
        <f>'BABA Forecast'!I10*$K$7</f>
        <v>151093.68839609483</v>
      </c>
      <c r="I7" s="86">
        <f>'BABA Forecast'!J10*$K$7</f>
        <v>166520.65237011787</v>
      </c>
      <c r="J7" s="86">
        <f>'BABA Forecast'!K10*$K$7</f>
        <v>171728.1012197852</v>
      </c>
      <c r="K7" s="192">
        <f>95%</f>
        <v>0.95</v>
      </c>
    </row>
    <row r="8" spans="1:11">
      <c r="B8" s="55" t="s">
        <v>634</v>
      </c>
      <c r="D8" s="85">
        <f>D7/C7-1</f>
        <v>0.18928632671071499</v>
      </c>
      <c r="E8" s="84">
        <f t="shared" ref="E8:H8" si="0">E7/D7-1</f>
        <v>1.8316370908560753E-2</v>
      </c>
      <c r="F8" s="85">
        <f t="shared" si="0"/>
        <v>4.3860463185245502E-2</v>
      </c>
      <c r="G8" s="85">
        <f t="shared" si="0"/>
        <v>9.4342470685475632E-2</v>
      </c>
      <c r="H8" s="85">
        <f t="shared" si="0"/>
        <v>8.8479978070802767E-2</v>
      </c>
      <c r="I8" s="85">
        <f>I7/H7-1</f>
        <v>0.10210197485934014</v>
      </c>
      <c r="J8" s="84">
        <f>J7/I7-1</f>
        <v>3.1272090131456931E-2</v>
      </c>
    </row>
    <row r="9" spans="1:11">
      <c r="B9" s="51" t="s">
        <v>29</v>
      </c>
      <c r="C9" s="70">
        <f>'BABA Forecast'!D46</f>
        <v>23843.5821396598</v>
      </c>
      <c r="D9" s="70">
        <f>'BABA Forecast'!E46</f>
        <v>18240.403983885401</v>
      </c>
      <c r="E9" s="70">
        <f>'BABA Forecast'!F46</f>
        <v>20690.32564906</v>
      </c>
      <c r="F9" s="86">
        <f>'BABA Forecast'!G46*$K$9</f>
        <v>22331.155348310163</v>
      </c>
      <c r="G9" s="86">
        <f>'BABA Forecast'!H46*$K$9</f>
        <v>24204.660151563941</v>
      </c>
      <c r="H9" s="86">
        <f>'BABA Forecast'!I46*$K$9</f>
        <v>24996.001048637529</v>
      </c>
      <c r="I9" s="86">
        <f>'BABA Forecast'!J46*$K$9</f>
        <v>30519.454314010738</v>
      </c>
      <c r="J9" s="86">
        <f>'BABA Forecast'!K46*$K$9</f>
        <v>33269.003189346455</v>
      </c>
      <c r="K9" s="192">
        <f>95%</f>
        <v>0.95</v>
      </c>
    </row>
    <row r="10" spans="1:11">
      <c r="B10" s="55" t="s">
        <v>633</v>
      </c>
      <c r="C10" s="85">
        <f t="shared" ref="C10:J10" si="1">C9/C7</f>
        <v>0.23763503971202771</v>
      </c>
      <c r="D10" s="85">
        <f t="shared" si="1"/>
        <v>0.15285758831128352</v>
      </c>
      <c r="E10" s="84">
        <f t="shared" si="1"/>
        <v>0.17026961379645439</v>
      </c>
      <c r="F10" s="85">
        <f t="shared" si="1"/>
        <v>0.17605102941047765</v>
      </c>
      <c r="G10" s="85">
        <f t="shared" si="1"/>
        <v>0.17437053943589148</v>
      </c>
      <c r="H10" s="85">
        <f t="shared" si="1"/>
        <v>0.16543378690385835</v>
      </c>
      <c r="I10" s="85">
        <f t="shared" si="1"/>
        <v>0.18327729251370298</v>
      </c>
      <c r="J10" s="84">
        <f t="shared" si="1"/>
        <v>0.19373068794819617</v>
      </c>
    </row>
    <row r="11" spans="1:11">
      <c r="B11" s="51" t="s">
        <v>33</v>
      </c>
      <c r="C11" s="90">
        <f>'BABA Forecast'!D70</f>
        <v>0.15289999999999998</v>
      </c>
      <c r="D11" s="90">
        <f>'BABA Forecast'!E70</f>
        <v>0.45029389999999997</v>
      </c>
      <c r="E11" s="90">
        <f>'BABA Forecast'!F70</f>
        <v>0.15989020000000001</v>
      </c>
      <c r="F11" s="89">
        <f>'BABA Forecast'!G70*$K$11</f>
        <v>0.20218750000000002</v>
      </c>
      <c r="G11" s="89">
        <f>'BABA Forecast'!H70*$K$11</f>
        <v>0.19071425</v>
      </c>
      <c r="H11" s="89">
        <f>'BABA Forecast'!I70*$K$11</f>
        <v>0.17100000000000001</v>
      </c>
      <c r="I11" s="89">
        <f>'BABA Forecast'!J70*$K$11</f>
        <v>0.2</v>
      </c>
      <c r="J11" s="89">
        <f>'BABA Forecast'!K70*$K$11</f>
        <v>0.2</v>
      </c>
      <c r="K11" s="192">
        <f>125%</f>
        <v>1.25</v>
      </c>
    </row>
    <row r="12" spans="1:11">
      <c r="B12" s="55"/>
      <c r="E12" s="88"/>
      <c r="J12" s="87"/>
    </row>
    <row r="13" spans="1:11">
      <c r="B13" s="51" t="s">
        <v>632</v>
      </c>
      <c r="C13" s="70">
        <f>'BABA Forecast'!D41</f>
        <v>5429.7224709042102</v>
      </c>
      <c r="D13" s="70">
        <f>'BABA Forecast'!E41</f>
        <v>5519.10810205909</v>
      </c>
      <c r="E13" s="70">
        <f>'BABA Forecast'!F41</f>
        <v>6959.0700537153098</v>
      </c>
      <c r="F13" s="86">
        <f>'BABA Forecast'!G41*$K$13</f>
        <v>4528.5782229185315</v>
      </c>
      <c r="G13" s="86">
        <f>'BABA Forecast'!H41*$K$13</f>
        <v>4733.6171600828156</v>
      </c>
      <c r="H13" s="86">
        <f>'BABA Forecast'!I41*$K$13</f>
        <v>4888.9354053827246</v>
      </c>
      <c r="I13" s="86">
        <f>'BABA Forecast'!J41*$K$13</f>
        <v>6944.4066132777516</v>
      </c>
      <c r="J13" s="86">
        <f>'BABA Forecast'!K41*$K$13</f>
        <v>4379.4552931960588</v>
      </c>
      <c r="K13" s="192">
        <f>90%</f>
        <v>0.9</v>
      </c>
    </row>
    <row r="14" spans="1:11">
      <c r="B14" s="55" t="s">
        <v>628</v>
      </c>
      <c r="C14" s="85">
        <f t="shared" ref="C14:H14" si="2">C13/C7</f>
        <v>5.4114868623386346E-2</v>
      </c>
      <c r="D14" s="85">
        <f t="shared" si="2"/>
        <v>4.6251034508629003E-2</v>
      </c>
      <c r="E14" s="84">
        <f t="shared" si="2"/>
        <v>5.7269189017448353E-2</v>
      </c>
      <c r="F14" s="85">
        <f t="shared" si="2"/>
        <v>3.5701729063069232E-2</v>
      </c>
      <c r="G14" s="85">
        <f t="shared" si="2"/>
        <v>3.4101010818501462E-2</v>
      </c>
      <c r="H14" s="85">
        <f t="shared" si="2"/>
        <v>3.2356979681151816E-2</v>
      </c>
      <c r="I14" s="85">
        <v>0.04</v>
      </c>
      <c r="J14" s="84">
        <v>0.04</v>
      </c>
    </row>
    <row r="15" spans="1:11">
      <c r="B15" s="51" t="s">
        <v>631</v>
      </c>
      <c r="C15" s="70">
        <f>'BABA Forecast'!D104</f>
        <v>5798.1759176365304</v>
      </c>
      <c r="D15" s="70">
        <f>'BABA Forecast'!E104</f>
        <v>7457.0557296329498</v>
      </c>
      <c r="E15" s="70">
        <f>'BABA Forecast'!F104</f>
        <v>4802.2045658012503</v>
      </c>
      <c r="F15" s="86">
        <f>'BABA Forecast'!G104*$K$15</f>
        <v>7408.5376447795461</v>
      </c>
      <c r="G15" s="86">
        <f>'BABA Forecast'!H104*$K$15</f>
        <v>7999.2743894080168</v>
      </c>
      <c r="H15" s="86">
        <f>'BABA Forecast'!I104*$K$15</f>
        <v>8140.6826622649996</v>
      </c>
      <c r="I15" s="86">
        <f>'BABA Forecast'!J104*$K$15</f>
        <v>5484.7743677260496</v>
      </c>
      <c r="J15" s="86">
        <f>'BABA Forecast'!K104*$K$15</f>
        <v>6611.8019807520122</v>
      </c>
      <c r="K15" s="193">
        <v>1.1000000000000001</v>
      </c>
    </row>
    <row r="16" spans="1:11">
      <c r="B16" s="55" t="s">
        <v>628</v>
      </c>
      <c r="C16" s="85">
        <f t="shared" ref="C16:J16" si="3">C15/C7</f>
        <v>5.7787028659299369E-2</v>
      </c>
      <c r="D16" s="85">
        <f t="shared" si="3"/>
        <v>6.2491354672931279E-2</v>
      </c>
      <c r="E16" s="84">
        <f t="shared" si="3"/>
        <v>3.9519412630786559E-2</v>
      </c>
      <c r="F16" s="85">
        <f t="shared" si="3"/>
        <v>5.8406323293452515E-2</v>
      </c>
      <c r="G16" s="85">
        <f t="shared" si="3"/>
        <v>5.7626828124941153E-2</v>
      </c>
      <c r="H16" s="85">
        <f t="shared" si="3"/>
        <v>5.3878376712361759E-2</v>
      </c>
      <c r="I16" s="85">
        <f t="shared" si="3"/>
        <v>3.2937502283712485E-2</v>
      </c>
      <c r="J16" s="84">
        <f t="shared" si="3"/>
        <v>3.8501572740794104E-2</v>
      </c>
    </row>
    <row r="17" spans="1:12">
      <c r="B17" s="51" t="s">
        <v>630</v>
      </c>
      <c r="C17" s="83">
        <f>'BABA Cash Flow'!C31</f>
        <v>7450.95</v>
      </c>
      <c r="D17" s="83">
        <f>'BABA Cash Flow'!D31</f>
        <v>-2827.91</v>
      </c>
      <c r="E17" s="83">
        <f>'BABA Cash Flow'!E31</f>
        <v>1968.8</v>
      </c>
      <c r="F17" s="82">
        <f>AVERAGE(C17:E17)*$K$17</f>
        <v>2856.4640000000004</v>
      </c>
      <c r="G17" s="82">
        <f>$F$17</f>
        <v>2856.4640000000004</v>
      </c>
      <c r="H17" s="82">
        <f>$F$17</f>
        <v>2856.4640000000004</v>
      </c>
      <c r="I17" s="82">
        <f>$F$17</f>
        <v>2856.4640000000004</v>
      </c>
      <c r="J17" s="82">
        <f>$F$17</f>
        <v>2856.4640000000004</v>
      </c>
      <c r="K17" s="192">
        <f>130%</f>
        <v>1.3</v>
      </c>
      <c r="L17" s="29" t="s">
        <v>629</v>
      </c>
    </row>
    <row r="18" spans="1:12">
      <c r="B18" s="81" t="s">
        <v>628</v>
      </c>
      <c r="C18" s="80">
        <f t="shared" ref="C18:J18" si="4">C17/C7</f>
        <v>7.4259261413461244E-2</v>
      </c>
      <c r="D18" s="80">
        <f t="shared" si="4"/>
        <v>-2.3698351360159083E-2</v>
      </c>
      <c r="E18" s="79">
        <f t="shared" si="4"/>
        <v>1.6202104371309853E-2</v>
      </c>
      <c r="F18" s="80">
        <f t="shared" si="4"/>
        <v>2.251936453041713E-2</v>
      </c>
      <c r="G18" s="80">
        <f>G17/G7</f>
        <v>2.0577986447251218E-2</v>
      </c>
      <c r="H18" s="80">
        <f t="shared" si="4"/>
        <v>1.8905250314041763E-2</v>
      </c>
      <c r="I18" s="80">
        <f t="shared" si="4"/>
        <v>1.7153812210938663E-2</v>
      </c>
      <c r="J18" s="79">
        <f t="shared" si="4"/>
        <v>1.663364341485481E-2</v>
      </c>
    </row>
    <row r="20" spans="1:12">
      <c r="B20" s="75" t="s">
        <v>627</v>
      </c>
      <c r="D20" s="214" t="s">
        <v>626</v>
      </c>
      <c r="E20" s="215"/>
    </row>
    <row r="21" spans="1:12">
      <c r="B21" s="78">
        <f>WACC!B28</f>
        <v>7.350077612636198E-2</v>
      </c>
      <c r="D21" s="216" t="s">
        <v>625</v>
      </c>
      <c r="E21" s="217"/>
      <c r="F21" s="77">
        <f>F9*(1-F11)+F13-F15-F17</f>
        <v>12079.651454462688</v>
      </c>
      <c r="G21" s="77">
        <f>G9*(1-G11)+G13-G15-G17</f>
        <v>13466.365314928338</v>
      </c>
      <c r="H21" s="77">
        <f>H9*(1-H11)+H13-H15-H17</f>
        <v>14613.473612438236</v>
      </c>
      <c r="I21" s="77">
        <f>I9*(1-I11)+I13-I15-I17</f>
        <v>23018.731696760296</v>
      </c>
      <c r="J21" s="77">
        <f>J9*(1-J11)+J13-J15-J17</f>
        <v>21526.391863921213</v>
      </c>
      <c r="L21" s="45" t="s">
        <v>624</v>
      </c>
    </row>
    <row r="22" spans="1:12">
      <c r="A22" s="75" t="s">
        <v>903</v>
      </c>
      <c r="B22" s="160">
        <f>B27</f>
        <v>5.2294919221663821E-2</v>
      </c>
      <c r="D22" s="29" t="s">
        <v>623</v>
      </c>
      <c r="F22" s="76">
        <f>-PV($B$21,F24,,F21)</f>
        <v>11252.578221742049</v>
      </c>
      <c r="G22" s="76">
        <f>-PV($B$21,G24,,G21)</f>
        <v>11685.456048823156</v>
      </c>
      <c r="H22" s="76">
        <f>-PV($B$21,H24,,H21)</f>
        <v>11812.623754626</v>
      </c>
      <c r="I22" s="76">
        <f>-PV($B$21,I24,,I21)</f>
        <v>17332.928272968136</v>
      </c>
      <c r="J22" s="76">
        <f>-PV($B$21,J24,,J21)</f>
        <v>15099.390885136534</v>
      </c>
    </row>
    <row r="23" spans="1:12">
      <c r="A23" s="29" t="s">
        <v>989</v>
      </c>
      <c r="B23" s="156">
        <f>'BABA Income Statement'!E41*(1-WACC!B17)</f>
        <v>11936.4932176</v>
      </c>
      <c r="C23" s="218" t="s">
        <v>622</v>
      </c>
      <c r="D23" s="219"/>
      <c r="E23" s="220"/>
      <c r="F23" s="75" t="s">
        <v>620</v>
      </c>
      <c r="G23" s="75" t="s">
        <v>619</v>
      </c>
      <c r="H23" s="75" t="s">
        <v>618</v>
      </c>
      <c r="I23" s="68" t="s">
        <v>611</v>
      </c>
      <c r="J23" s="68" t="s">
        <v>893</v>
      </c>
    </row>
    <row r="24" spans="1:12">
      <c r="A24" s="29" t="s">
        <v>990</v>
      </c>
      <c r="B24" s="156">
        <f>'BABA Balance Sheet'!E117</f>
        <v>255262.97</v>
      </c>
      <c r="C24" s="212" t="s">
        <v>617</v>
      </c>
      <c r="D24" s="213"/>
      <c r="E24" s="213"/>
      <c r="F24" s="74">
        <v>1</v>
      </c>
      <c r="G24" s="74">
        <v>2</v>
      </c>
      <c r="H24" s="74">
        <v>3</v>
      </c>
      <c r="I24" s="74">
        <v>4</v>
      </c>
      <c r="J24" s="74">
        <v>5</v>
      </c>
    </row>
    <row r="25" spans="1:12">
      <c r="A25" s="29" t="s">
        <v>991</v>
      </c>
      <c r="B25" s="156">
        <f>C37</f>
        <v>27009.568039391201</v>
      </c>
      <c r="C25" s="221" t="s">
        <v>616</v>
      </c>
      <c r="D25" s="222"/>
      <c r="E25" s="213"/>
      <c r="F25" s="73">
        <f>1/(1+$B$21)^F24</f>
        <v>0.93153169726473473</v>
      </c>
      <c r="G25" s="73">
        <f>1/(1+$B$21)^G24</f>
        <v>0.86775130300891745</v>
      </c>
      <c r="H25" s="73">
        <f>1/(1+$B$21)^H24</f>
        <v>0.80833784409558196</v>
      </c>
      <c r="I25" s="73">
        <f>1/(1+$B$21)^I24</f>
        <v>0.75299232387367399</v>
      </c>
      <c r="J25" s="73">
        <f>1/(1+$B$21)^J24</f>
        <v>0.70143621748536045</v>
      </c>
    </row>
    <row r="26" spans="1:12" ht="15.9" thickBot="1">
      <c r="A26" s="29" t="s">
        <v>992</v>
      </c>
      <c r="B26" s="156">
        <f>B24-B25</f>
        <v>228253.40196060881</v>
      </c>
      <c r="C26" s="223" t="s">
        <v>615</v>
      </c>
      <c r="D26" s="224"/>
      <c r="E26" s="225"/>
      <c r="F26" s="72">
        <f>F21*F25</f>
        <v>11252.578221742049</v>
      </c>
      <c r="G26" s="72">
        <f>G21*G25</f>
        <v>11685.456048823156</v>
      </c>
      <c r="H26" s="72">
        <f>H21*H25</f>
        <v>11812.623754626</v>
      </c>
      <c r="I26" s="72">
        <f>I21*I25</f>
        <v>17332.928272968133</v>
      </c>
      <c r="J26" s="72">
        <f>J21*J25</f>
        <v>15099.390885136534</v>
      </c>
    </row>
    <row r="27" spans="1:12" ht="15.9" thickTop="1">
      <c r="A27" s="29" t="s">
        <v>903</v>
      </c>
      <c r="B27" s="150">
        <f>B23/B26</f>
        <v>5.2294919221663821E-2</v>
      </c>
    </row>
    <row r="28" spans="1:12">
      <c r="G28" s="218" t="s">
        <v>612</v>
      </c>
      <c r="H28" s="219"/>
      <c r="I28" s="220"/>
      <c r="J28" s="68" t="s">
        <v>893</v>
      </c>
    </row>
    <row r="29" spans="1:12">
      <c r="F29" s="29" t="s">
        <v>609</v>
      </c>
      <c r="G29" s="212" t="s">
        <v>993</v>
      </c>
      <c r="H29" s="213"/>
      <c r="I29" s="213"/>
      <c r="J29" s="186">
        <v>1.7999999999999999E-2</v>
      </c>
      <c r="K29" s="29" t="s">
        <v>994</v>
      </c>
      <c r="L29" s="71" t="s">
        <v>614</v>
      </c>
    </row>
    <row r="30" spans="1:12">
      <c r="B30" s="191">
        <v>45015</v>
      </c>
      <c r="G30" s="221" t="s">
        <v>613</v>
      </c>
      <c r="H30" s="222"/>
      <c r="I30" s="213"/>
      <c r="J30" s="70">
        <f>J26*(1+J29)/(B21-J29)</f>
        <v>276954.3237750855</v>
      </c>
    </row>
    <row r="31" spans="1:12">
      <c r="B31" s="75" t="s">
        <v>895</v>
      </c>
      <c r="G31" s="223" t="s">
        <v>606</v>
      </c>
      <c r="H31" s="224"/>
      <c r="I31" s="225"/>
      <c r="J31" s="70">
        <f>J30*J25</f>
        <v>194265.79328501181</v>
      </c>
      <c r="K31" s="76">
        <f>-PV($B$21,J24,,J30)</f>
        <v>194265.79328501181</v>
      </c>
    </row>
    <row r="32" spans="1:12">
      <c r="B32" s="189">
        <f>'BABA Valuation'!E19</f>
        <v>228699.51999999999</v>
      </c>
      <c r="C32" s="46">
        <f>C36-B32</f>
        <v>32749.250468307699</v>
      </c>
    </row>
    <row r="33" spans="1:10">
      <c r="G33" s="218" t="s">
        <v>612</v>
      </c>
      <c r="H33" s="219"/>
      <c r="I33" s="220"/>
      <c r="J33" s="68" t="s">
        <v>893</v>
      </c>
    </row>
    <row r="34" spans="1:10">
      <c r="G34" s="212" t="s">
        <v>598</v>
      </c>
      <c r="H34" s="213"/>
      <c r="I34" s="213"/>
      <c r="J34" s="35">
        <f>'BABA Valuation'!E66</f>
        <v>10.17</v>
      </c>
    </row>
    <row r="35" spans="1:10">
      <c r="B35" s="67" t="s">
        <v>610</v>
      </c>
      <c r="C35" s="67" t="s">
        <v>609</v>
      </c>
      <c r="D35" s="67" t="s">
        <v>598</v>
      </c>
      <c r="E35" s="155" t="s">
        <v>580</v>
      </c>
      <c r="G35" s="66" t="s">
        <v>608</v>
      </c>
      <c r="H35" s="65"/>
      <c r="I35" s="64"/>
      <c r="J35" s="63">
        <f>(J9+J13)*J34</f>
        <v>382884.82276745734</v>
      </c>
    </row>
    <row r="36" spans="1:10">
      <c r="B36" s="51" t="s">
        <v>607</v>
      </c>
      <c r="C36" s="62">
        <f>SUM(F26:J26,J31)</f>
        <v>261448.77046830769</v>
      </c>
      <c r="D36" s="62">
        <f>SUM(F26:J26,J36)</f>
        <v>335752.25899785379</v>
      </c>
      <c r="E36" s="154">
        <f t="shared" ref="E36:E40" si="5">AVERAGE(C36:D36)</f>
        <v>298600.51473308075</v>
      </c>
      <c r="G36" s="61" t="s">
        <v>606</v>
      </c>
      <c r="H36" s="60"/>
      <c r="I36" s="59"/>
      <c r="J36" s="58">
        <f>J35/(1+$B$21)^5</f>
        <v>268569.28181455791</v>
      </c>
    </row>
    <row r="37" spans="1:10">
      <c r="B37" s="55" t="s">
        <v>605</v>
      </c>
      <c r="C37" s="187">
        <f>'BABA Forecast'!F85</f>
        <v>27009.568039391201</v>
      </c>
      <c r="D37" s="187">
        <f>C37</f>
        <v>27009.568039391201</v>
      </c>
      <c r="E37" s="188">
        <f>AVERAGE(C37:D37)</f>
        <v>27009.568039391201</v>
      </c>
    </row>
    <row r="38" spans="1:10">
      <c r="B38" s="55" t="s">
        <v>604</v>
      </c>
      <c r="C38" s="187">
        <f>'BABA Balance Sheet'!E98</f>
        <v>91753.01</v>
      </c>
      <c r="D38" s="187">
        <f>C38</f>
        <v>91753.01</v>
      </c>
      <c r="E38" s="188">
        <f t="shared" si="5"/>
        <v>91753.01</v>
      </c>
    </row>
    <row r="39" spans="1:10">
      <c r="B39" s="51" t="s">
        <v>577</v>
      </c>
      <c r="C39" s="56">
        <f>C36+C37-C38</f>
        <v>196705.3285076989</v>
      </c>
      <c r="D39" s="56">
        <f>D36+D37-D38</f>
        <v>271008.81703724497</v>
      </c>
      <c r="E39" s="154">
        <f t="shared" si="5"/>
        <v>233857.07277247193</v>
      </c>
      <c r="G39" s="207" t="s">
        <v>603</v>
      </c>
      <c r="H39" s="207"/>
      <c r="I39" s="207"/>
      <c r="J39" s="29" t="s">
        <v>602</v>
      </c>
    </row>
    <row r="40" spans="1:10">
      <c r="B40" s="55" t="s">
        <v>583</v>
      </c>
      <c r="C40" s="158">
        <f>F2/1000000</f>
        <v>2543.424</v>
      </c>
      <c r="D40" s="50">
        <f>C40</f>
        <v>2543.424</v>
      </c>
      <c r="E40" s="55">
        <f t="shared" si="5"/>
        <v>2543.424</v>
      </c>
      <c r="G40" s="207" t="s">
        <v>601</v>
      </c>
      <c r="H40" s="207"/>
      <c r="I40" s="47">
        <f>C36</f>
        <v>261448.77046830769</v>
      </c>
      <c r="J40" s="46">
        <f t="shared" ref="J40:J47" si="6">$I$47-I40</f>
        <v>-32749.250468307699</v>
      </c>
    </row>
    <row r="41" spans="1:10">
      <c r="B41" s="51" t="s">
        <v>581</v>
      </c>
      <c r="C41" s="56">
        <f>C39/C40</f>
        <v>77.338787598017049</v>
      </c>
      <c r="D41" s="56">
        <f>D39/D40</f>
        <v>106.55274819976731</v>
      </c>
      <c r="E41" s="51">
        <f>AVERAGE(C41:D41)</f>
        <v>91.945767898892171</v>
      </c>
      <c r="G41" s="207" t="s">
        <v>600</v>
      </c>
      <c r="H41" s="207"/>
      <c r="I41" s="47">
        <f>D36</f>
        <v>335752.25899785379</v>
      </c>
      <c r="J41" s="46">
        <f t="shared" si="6"/>
        <v>-107052.7389978538</v>
      </c>
    </row>
    <row r="42" spans="1:10">
      <c r="B42" s="55" t="s">
        <v>578</v>
      </c>
      <c r="C42" s="54">
        <f>E2</f>
        <v>74.67</v>
      </c>
      <c r="D42" s="54">
        <f>E2</f>
        <v>74.67</v>
      </c>
      <c r="E42" s="55">
        <f>AVERAGE(C42:D42)</f>
        <v>74.67</v>
      </c>
      <c r="G42" s="207" t="s">
        <v>599</v>
      </c>
      <c r="H42" s="207"/>
      <c r="I42" s="47">
        <f>F71</f>
        <v>639763.21966920397</v>
      </c>
      <c r="J42" s="46">
        <f t="shared" si="6"/>
        <v>-411063.69966920395</v>
      </c>
    </row>
    <row r="43" spans="1:10">
      <c r="B43" s="51" t="s">
        <v>576</v>
      </c>
      <c r="C43" s="159">
        <f>C41/C42-1</f>
        <v>3.5741095460252392E-2</v>
      </c>
      <c r="D43" s="52">
        <f>D41/D42-1</f>
        <v>0.42698203026338954</v>
      </c>
      <c r="E43" s="153">
        <f>AVERAGE(C43:D43)</f>
        <v>0.23136156286182097</v>
      </c>
      <c r="G43" s="207" t="s">
        <v>598</v>
      </c>
      <c r="H43" s="207"/>
      <c r="I43" s="47">
        <f>C63</f>
        <v>1747422.9161337763</v>
      </c>
      <c r="J43" s="46">
        <f t="shared" si="6"/>
        <v>-1518723.3961337763</v>
      </c>
    </row>
    <row r="44" spans="1:10">
      <c r="B44" s="51" t="s">
        <v>894</v>
      </c>
      <c r="C44" s="57">
        <f>C41-C42</f>
        <v>2.6687875980170475</v>
      </c>
      <c r="D44" s="57">
        <f>D41-D42</f>
        <v>31.882748199767306</v>
      </c>
      <c r="E44" s="157">
        <f>AVERAGE(C44:D44)</f>
        <v>17.275767898892177</v>
      </c>
      <c r="G44" s="207" t="s">
        <v>597</v>
      </c>
      <c r="H44" s="207"/>
      <c r="I44" s="47">
        <f>D63</f>
        <v>320279.03084633488</v>
      </c>
      <c r="J44" s="46">
        <f t="shared" si="6"/>
        <v>-91579.510846334888</v>
      </c>
    </row>
    <row r="45" spans="1:10">
      <c r="B45" s="49" t="s">
        <v>574</v>
      </c>
      <c r="C45" s="48" t="s">
        <v>902</v>
      </c>
      <c r="D45" s="48" t="s">
        <v>902</v>
      </c>
      <c r="E45" s="48" t="s">
        <v>902</v>
      </c>
      <c r="G45" s="207" t="s">
        <v>596</v>
      </c>
      <c r="H45" s="207"/>
      <c r="I45" s="190">
        <f>E63</f>
        <v>812010.96937779919</v>
      </c>
      <c r="J45" s="46">
        <f t="shared" si="6"/>
        <v>-583311.44937779917</v>
      </c>
    </row>
    <row r="46" spans="1:10">
      <c r="G46" s="207" t="s">
        <v>595</v>
      </c>
      <c r="H46" s="207"/>
      <c r="I46" s="190">
        <f>F63</f>
        <v>467515.46996060881</v>
      </c>
      <c r="J46" s="46">
        <f t="shared" si="6"/>
        <v>-238815.94996060882</v>
      </c>
    </row>
    <row r="47" spans="1:10">
      <c r="G47" s="207" t="s">
        <v>594</v>
      </c>
      <c r="H47" s="207"/>
      <c r="I47" s="47">
        <f>B32</f>
        <v>228699.51999999999</v>
      </c>
      <c r="J47" s="46">
        <f t="shared" si="6"/>
        <v>0</v>
      </c>
    </row>
    <row r="48" spans="1:10">
      <c r="A48" s="45" t="s">
        <v>593</v>
      </c>
    </row>
    <row r="49" spans="1:9" ht="46.8">
      <c r="A49" s="44" t="s">
        <v>592</v>
      </c>
      <c r="B49" s="44" t="s">
        <v>172</v>
      </c>
      <c r="C49" s="44" t="s">
        <v>591</v>
      </c>
      <c r="D49" s="44" t="s">
        <v>590</v>
      </c>
      <c r="E49" s="44" t="s">
        <v>589</v>
      </c>
      <c r="F49" s="44" t="s">
        <v>209</v>
      </c>
    </row>
    <row r="50" spans="1:9">
      <c r="A50" s="40" t="s">
        <v>999</v>
      </c>
      <c r="B50" s="43" t="str">
        <f>B86</f>
        <v>Alibaba</v>
      </c>
      <c r="C50" s="42">
        <f>C86</f>
        <v>10.17</v>
      </c>
      <c r="D50" s="42">
        <f t="shared" ref="D50" si="7">D86</f>
        <v>1.0972888746318379</v>
      </c>
      <c r="E50" s="42">
        <f>E86</f>
        <v>11.2</v>
      </c>
      <c r="F50" s="42">
        <f>F86</f>
        <v>1.82</v>
      </c>
      <c r="H50" s="156"/>
    </row>
    <row r="52" spans="1:9">
      <c r="A52" s="41" t="s">
        <v>892</v>
      </c>
      <c r="B52" s="41" t="s">
        <v>1002</v>
      </c>
      <c r="C52" s="32">
        <v>17.59</v>
      </c>
      <c r="D52" s="32">
        <v>4.25</v>
      </c>
      <c r="E52" s="32">
        <v>15.03</v>
      </c>
      <c r="F52" s="32">
        <v>3.71</v>
      </c>
    </row>
    <row r="53" spans="1:9">
      <c r="A53" s="41" t="s">
        <v>1009</v>
      </c>
      <c r="B53" s="41" t="s">
        <v>1003</v>
      </c>
      <c r="C53" s="32">
        <v>16.239999999999998</v>
      </c>
      <c r="D53" s="32">
        <v>2.38</v>
      </c>
      <c r="E53" s="32">
        <v>76.34</v>
      </c>
      <c r="F53" s="32">
        <v>5.89</v>
      </c>
    </row>
    <row r="54" spans="1:9">
      <c r="A54" s="41" t="s">
        <v>1010</v>
      </c>
      <c r="B54" s="41" t="s">
        <v>1004</v>
      </c>
      <c r="C54" s="32">
        <v>18.690000000000001</v>
      </c>
      <c r="D54" s="32">
        <v>0.22</v>
      </c>
      <c r="E54" s="32">
        <v>29.64</v>
      </c>
      <c r="F54" s="32">
        <v>2.86</v>
      </c>
    </row>
    <row r="55" spans="1:9">
      <c r="A55" s="41" t="s">
        <v>1011</v>
      </c>
      <c r="B55" s="41" t="s">
        <v>1005</v>
      </c>
      <c r="C55" s="32">
        <v>257.57</v>
      </c>
      <c r="D55" s="32">
        <v>2.2599999999999998</v>
      </c>
      <c r="E55" s="32">
        <v>77.709999999999994</v>
      </c>
      <c r="F55" s="32">
        <v>7.34</v>
      </c>
    </row>
    <row r="56" spans="1:9">
      <c r="A56" s="41" t="s">
        <v>1012</v>
      </c>
      <c r="B56" s="41" t="s">
        <v>1006</v>
      </c>
      <c r="C56" s="32">
        <v>18.64</v>
      </c>
      <c r="D56" s="32">
        <v>4.05</v>
      </c>
      <c r="E56" s="32">
        <v>30.35</v>
      </c>
      <c r="F56" s="32">
        <v>6.3</v>
      </c>
    </row>
    <row r="57" spans="1:9">
      <c r="A57" s="41" t="s">
        <v>1013</v>
      </c>
      <c r="B57" s="41" t="s">
        <v>1007</v>
      </c>
      <c r="C57" s="32">
        <v>5.55</v>
      </c>
      <c r="D57" s="32">
        <v>1.57</v>
      </c>
      <c r="E57" s="32">
        <v>14.46</v>
      </c>
      <c r="F57" s="32">
        <v>1.23</v>
      </c>
    </row>
    <row r="58" spans="1:9">
      <c r="A58" s="41" t="s">
        <v>1014</v>
      </c>
      <c r="B58" s="41" t="s">
        <v>1008</v>
      </c>
      <c r="C58" s="32">
        <v>163.38</v>
      </c>
      <c r="D58" s="32">
        <v>3.72</v>
      </c>
      <c r="E58" s="32">
        <v>16.170000000000002</v>
      </c>
      <c r="F58" s="32">
        <v>1.37</v>
      </c>
    </row>
    <row r="59" spans="1:9">
      <c r="H59" s="208" t="s">
        <v>621</v>
      </c>
      <c r="I59" s="208"/>
    </row>
    <row r="60" spans="1:9">
      <c r="A60" s="40" t="s">
        <v>999</v>
      </c>
      <c r="B60" s="31" t="s">
        <v>579</v>
      </c>
      <c r="C60" s="35">
        <f>MEDIAN(C52:C58)</f>
        <v>18.64</v>
      </c>
      <c r="D60" s="35">
        <f>MEDIAN(D52:D58)</f>
        <v>2.38</v>
      </c>
      <c r="E60" s="35">
        <f>MEDIAN(E52:E58)</f>
        <v>29.64</v>
      </c>
      <c r="F60" s="35">
        <f>MEDIAN(F52:F58)</f>
        <v>3.71</v>
      </c>
      <c r="H60" s="31" t="s">
        <v>23</v>
      </c>
      <c r="I60" s="39">
        <f>'BABA Forecast'!F39</f>
        <v>24578.950313339301</v>
      </c>
    </row>
    <row r="61" spans="1:9">
      <c r="A61" s="40" t="s">
        <v>999</v>
      </c>
      <c r="B61" s="31" t="s">
        <v>580</v>
      </c>
      <c r="C61" s="35">
        <f>AVERAGE(C52:C58)</f>
        <v>71.094285714285704</v>
      </c>
      <c r="D61" s="35">
        <f>AVERAGE(D52:D58)</f>
        <v>2.6357142857142857</v>
      </c>
      <c r="E61" s="35">
        <f>AVERAGE(E52:E58)</f>
        <v>37.1</v>
      </c>
      <c r="F61" s="35">
        <f>AVERAGE(F52:F58)</f>
        <v>4.0999999999999996</v>
      </c>
      <c r="H61" s="31" t="s">
        <v>587</v>
      </c>
      <c r="I61" s="39">
        <f>E7</f>
        <v>121515.079453894</v>
      </c>
    </row>
    <row r="62" spans="1:9">
      <c r="H62" s="31" t="s">
        <v>34</v>
      </c>
      <c r="I62" s="39">
        <f>'BABA Forecast'!F72</f>
        <v>20141.981871083299</v>
      </c>
    </row>
    <row r="63" spans="1:9">
      <c r="B63" s="31" t="s">
        <v>97</v>
      </c>
      <c r="C63" s="38">
        <f>I60*C61</f>
        <v>1747422.9161337763</v>
      </c>
      <c r="D63" s="38">
        <f>I61*D61</f>
        <v>320279.03084633488</v>
      </c>
      <c r="E63" s="37">
        <f>E64+C38-C37</f>
        <v>812010.96937779919</v>
      </c>
      <c r="F63" s="37">
        <f>F64+C38-C37</f>
        <v>467515.46996060881</v>
      </c>
      <c r="H63" s="31" t="s">
        <v>586</v>
      </c>
      <c r="I63" s="39">
        <f>'BABA Balance Sheet'!E177</f>
        <v>98237.08</v>
      </c>
    </row>
    <row r="64" spans="1:9">
      <c r="B64" s="31" t="s">
        <v>577</v>
      </c>
      <c r="C64" s="37">
        <f>C63+C37-C38</f>
        <v>1682679.4741731675</v>
      </c>
      <c r="D64" s="37">
        <f>D63+C37-C38</f>
        <v>255535.58888572606</v>
      </c>
      <c r="E64" s="38">
        <f>E61*I62</f>
        <v>747267.52741719037</v>
      </c>
      <c r="F64" s="38">
        <f>F61*I63</f>
        <v>402772.02799999999</v>
      </c>
    </row>
    <row r="65" spans="1:8">
      <c r="B65" s="31" t="s">
        <v>575</v>
      </c>
      <c r="C65" s="37">
        <f>C64+$C$38</f>
        <v>1774432.4841731675</v>
      </c>
      <c r="D65" s="37">
        <f>D64+$C$38</f>
        <v>347288.59888572607</v>
      </c>
      <c r="E65" s="37">
        <f>E64+$C$38</f>
        <v>839020.53741719038</v>
      </c>
      <c r="F65" s="37">
        <f>F64+$C$38</f>
        <v>494525.038</v>
      </c>
      <c r="H65" s="36" t="s">
        <v>585</v>
      </c>
    </row>
    <row r="66" spans="1:8">
      <c r="H66" s="36" t="s">
        <v>584</v>
      </c>
    </row>
    <row r="67" spans="1:8">
      <c r="B67" s="31" t="s">
        <v>583</v>
      </c>
      <c r="C67" s="32">
        <f>$C$40</f>
        <v>2543.424</v>
      </c>
      <c r="D67" s="32">
        <f>$C$40</f>
        <v>2543.424</v>
      </c>
      <c r="E67" s="32">
        <f>$C$40</f>
        <v>2543.424</v>
      </c>
      <c r="F67" s="32">
        <f>$C$40</f>
        <v>2543.424</v>
      </c>
      <c r="H67" s="36" t="s">
        <v>582</v>
      </c>
    </row>
    <row r="68" spans="1:8">
      <c r="B68" s="31" t="s">
        <v>581</v>
      </c>
      <c r="C68" s="149">
        <f>C64/C67</f>
        <v>661.58040270641766</v>
      </c>
      <c r="D68" s="149">
        <f>D64/D67</f>
        <v>100.46912700584961</v>
      </c>
      <c r="E68" s="149">
        <f>E64/E67</f>
        <v>293.80375722537428</v>
      </c>
      <c r="F68" s="149">
        <f>F64/F67</f>
        <v>158.35819273546213</v>
      </c>
    </row>
    <row r="69" spans="1:8">
      <c r="D69" s="147">
        <f>D42-D68</f>
        <v>-25.799127005849613</v>
      </c>
    </row>
    <row r="70" spans="1:8">
      <c r="B70" s="31" t="s">
        <v>580</v>
      </c>
      <c r="C70" s="32">
        <f>AVERAGE(C68:F68)</f>
        <v>303.55286991827592</v>
      </c>
      <c r="E70" s="31" t="s">
        <v>579</v>
      </c>
    </row>
    <row r="71" spans="1:8">
      <c r="B71" s="31" t="s">
        <v>579</v>
      </c>
      <c r="C71" s="32">
        <f>MEDIAN(C68:F68)</f>
        <v>226.0809749804182</v>
      </c>
      <c r="E71" s="31" t="s">
        <v>97</v>
      </c>
      <c r="F71" s="32">
        <f>MEDIAN(C63:F63)</f>
        <v>639763.21966920397</v>
      </c>
    </row>
    <row r="72" spans="1:8">
      <c r="B72" s="31" t="s">
        <v>578</v>
      </c>
      <c r="C72" s="34">
        <f>E2</f>
        <v>74.67</v>
      </c>
      <c r="E72" s="31" t="s">
        <v>577</v>
      </c>
      <c r="F72" s="32">
        <f>MEDIAN(C64:F64)</f>
        <v>575019.77770859515</v>
      </c>
    </row>
    <row r="73" spans="1:8">
      <c r="B73" s="31" t="s">
        <v>576</v>
      </c>
      <c r="C73" s="33">
        <f>C71/C72-1</f>
        <v>2.0277350338880167</v>
      </c>
      <c r="E73" s="31" t="s">
        <v>575</v>
      </c>
      <c r="F73" s="32">
        <f>MEDIAN(C65:F65)</f>
        <v>666772.78770859516</v>
      </c>
    </row>
    <row r="74" spans="1:8">
      <c r="B74" s="31" t="s">
        <v>574</v>
      </c>
      <c r="C74" s="30" t="s">
        <v>997</v>
      </c>
    </row>
    <row r="76" spans="1:8" ht="23.1">
      <c r="A76" s="148" t="s">
        <v>900</v>
      </c>
    </row>
    <row r="77" spans="1:8" ht="46.8">
      <c r="A77" s="44" t="s">
        <v>592</v>
      </c>
      <c r="B77" s="44" t="s">
        <v>172</v>
      </c>
      <c r="C77" s="44" t="s">
        <v>591</v>
      </c>
      <c r="D77" s="44" t="s">
        <v>590</v>
      </c>
      <c r="E77" s="44" t="s">
        <v>589</v>
      </c>
      <c r="F77" s="44" t="s">
        <v>209</v>
      </c>
    </row>
    <row r="78" spans="1:8">
      <c r="A78" s="41" t="s">
        <v>892</v>
      </c>
      <c r="B78" s="41" t="s">
        <v>1002</v>
      </c>
      <c r="C78" s="32">
        <v>17.59</v>
      </c>
      <c r="D78" s="32">
        <v>4.25</v>
      </c>
      <c r="E78" s="32">
        <v>15.03</v>
      </c>
      <c r="F78" s="32">
        <v>3.71</v>
      </c>
    </row>
    <row r="79" spans="1:8">
      <c r="A79" s="41" t="s">
        <v>1009</v>
      </c>
      <c r="B79" s="41" t="s">
        <v>1003</v>
      </c>
      <c r="C79" s="32">
        <v>16.239999999999998</v>
      </c>
      <c r="D79" s="32">
        <v>2.38</v>
      </c>
      <c r="E79" s="32">
        <v>76.34</v>
      </c>
      <c r="F79" s="32">
        <v>5.89</v>
      </c>
    </row>
    <row r="80" spans="1:8">
      <c r="A80" s="41" t="s">
        <v>1010</v>
      </c>
      <c r="B80" s="41" t="s">
        <v>1004</v>
      </c>
      <c r="C80" s="32">
        <v>18.690000000000001</v>
      </c>
      <c r="D80" s="32">
        <v>0.22</v>
      </c>
      <c r="E80" s="32">
        <v>29.64</v>
      </c>
      <c r="F80" s="32">
        <v>2.86</v>
      </c>
    </row>
    <row r="81" spans="1:6">
      <c r="A81" s="41" t="s">
        <v>1011</v>
      </c>
      <c r="B81" s="41" t="s">
        <v>1005</v>
      </c>
      <c r="C81" s="32">
        <v>257.57</v>
      </c>
      <c r="D81" s="32">
        <v>2.2599999999999998</v>
      </c>
      <c r="E81" s="32">
        <v>77.709999999999994</v>
      </c>
      <c r="F81" s="32">
        <v>7.34</v>
      </c>
    </row>
    <row r="82" spans="1:6">
      <c r="A82" s="41" t="s">
        <v>1012</v>
      </c>
      <c r="B82" s="41" t="s">
        <v>1006</v>
      </c>
      <c r="C82" s="32">
        <v>18.64</v>
      </c>
      <c r="D82" s="32">
        <v>4.05</v>
      </c>
      <c r="E82" s="32">
        <v>30.35</v>
      </c>
      <c r="F82" s="32">
        <v>6.3</v>
      </c>
    </row>
    <row r="83" spans="1:6">
      <c r="A83" s="41" t="s">
        <v>1013</v>
      </c>
      <c r="B83" s="41" t="s">
        <v>1007</v>
      </c>
      <c r="C83" s="32">
        <v>5.55</v>
      </c>
      <c r="D83" s="32">
        <v>1.57</v>
      </c>
      <c r="E83" s="32">
        <v>14.46</v>
      </c>
      <c r="F83" s="32">
        <v>1.23</v>
      </c>
    </row>
    <row r="84" spans="1:6">
      <c r="A84" s="41" t="s">
        <v>1014</v>
      </c>
      <c r="B84" s="41" t="s">
        <v>1008</v>
      </c>
      <c r="C84" s="32">
        <v>163.38</v>
      </c>
      <c r="D84" s="32">
        <v>3.72</v>
      </c>
      <c r="E84" s="32">
        <v>16.170000000000002</v>
      </c>
      <c r="F84" s="32">
        <v>1.37</v>
      </c>
    </row>
    <row r="86" spans="1:6">
      <c r="A86" s="40" t="s">
        <v>999</v>
      </c>
      <c r="B86" s="43" t="s">
        <v>998</v>
      </c>
      <c r="C86" s="42">
        <f>'BABA Valuation'!E66</f>
        <v>10.17</v>
      </c>
      <c r="D86" s="42">
        <f>'BABA Forecast'!G99/'BABA Forecast'!G10</f>
        <v>1.0972888746318379</v>
      </c>
      <c r="E86" s="42">
        <f>11.2</f>
        <v>11.2</v>
      </c>
      <c r="F86" s="42">
        <f>'BABA Valuation'!E38</f>
        <v>1.82</v>
      </c>
    </row>
    <row r="87" spans="1:6">
      <c r="C87" s="29" t="s">
        <v>1000</v>
      </c>
      <c r="D87" s="29" t="s">
        <v>1001</v>
      </c>
      <c r="F87" s="29" t="s">
        <v>1000</v>
      </c>
    </row>
    <row r="89" spans="1:6">
      <c r="B89" s="31" t="s">
        <v>580</v>
      </c>
      <c r="C89" s="32">
        <f>AVERAGE(C78:C84)</f>
        <v>71.094285714285704</v>
      </c>
      <c r="D89" s="32">
        <f>AVERAGE(D78:D84)</f>
        <v>2.6357142857142857</v>
      </c>
      <c r="E89" s="32">
        <f>AVERAGE(E78:E84)</f>
        <v>37.1</v>
      </c>
      <c r="F89" s="32">
        <f>AVERAGE(F78:F84)</f>
        <v>4.0999999999999996</v>
      </c>
    </row>
    <row r="90" spans="1:6">
      <c r="B90" s="31" t="s">
        <v>899</v>
      </c>
      <c r="C90" s="151">
        <f>C86/C89</f>
        <v>0.14304947152674519</v>
      </c>
      <c r="D90" s="32">
        <f>D86/D89</f>
        <v>0.41631556219094124</v>
      </c>
      <c r="E90" s="32">
        <f>E86/E89</f>
        <v>0.30188679245283018</v>
      </c>
      <c r="F90" s="32">
        <f>F86/F89</f>
        <v>0.44390243902439031</v>
      </c>
    </row>
    <row r="91" spans="1:6">
      <c r="B91" s="143" t="s">
        <v>901</v>
      </c>
      <c r="C91" s="149">
        <f>$E$2/C90</f>
        <v>521.98724820901805</v>
      </c>
      <c r="D91" s="149">
        <f>$E$2/D90</f>
        <v>179.35913710992372</v>
      </c>
      <c r="E91" s="149">
        <f>$E$2/E90</f>
        <v>247.34437500000001</v>
      </c>
      <c r="F91" s="149">
        <f>$E$2/F90</f>
        <v>168.21263736263734</v>
      </c>
    </row>
    <row r="93" spans="1:6">
      <c r="B93" s="31" t="s">
        <v>580</v>
      </c>
      <c r="C93" s="32">
        <f>AVERAGE(C91:F91)</f>
        <v>279.22584942039475</v>
      </c>
    </row>
    <row r="94" spans="1:6">
      <c r="C94" s="150">
        <f>C93/E2-1</f>
        <v>2.7394649714797743</v>
      </c>
    </row>
  </sheetData>
  <mergeCells count="24">
    <mergeCell ref="G31:I31"/>
    <mergeCell ref="C5:E5"/>
    <mergeCell ref="F5:J5"/>
    <mergeCell ref="D20:E20"/>
    <mergeCell ref="D21:E21"/>
    <mergeCell ref="C23:E23"/>
    <mergeCell ref="C24:E24"/>
    <mergeCell ref="C25:E25"/>
    <mergeCell ref="C26:E26"/>
    <mergeCell ref="G28:I28"/>
    <mergeCell ref="G29:I29"/>
    <mergeCell ref="G30:I30"/>
    <mergeCell ref="H59:I59"/>
    <mergeCell ref="G33:I33"/>
    <mergeCell ref="G34:I34"/>
    <mergeCell ref="G39:I39"/>
    <mergeCell ref="G40:H40"/>
    <mergeCell ref="G41:H41"/>
    <mergeCell ref="G42:H42"/>
    <mergeCell ref="G43:H43"/>
    <mergeCell ref="G44:H44"/>
    <mergeCell ref="G45:H45"/>
    <mergeCell ref="G46:H46"/>
    <mergeCell ref="G47:H47"/>
  </mergeCells>
  <hyperlinks>
    <hyperlink ref="L29" r:id="rId1" xr:uid="{B8F6DB75-3C1C-497D-A3BE-ADD70031A92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BABA Summary</vt:lpstr>
      <vt:lpstr>BABA Valuation</vt:lpstr>
      <vt:lpstr>BABA Income Statement</vt:lpstr>
      <vt:lpstr>BABA Balance Sheet</vt:lpstr>
      <vt:lpstr>BABA Cash Flow</vt:lpstr>
      <vt:lpstr>BABA Forecast</vt:lpstr>
      <vt:lpstr>WACC</vt:lpstr>
      <vt:lpstr>DCF</vt:lpstr>
      <vt:lpstr>DCF pesimista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romel aldair</cp:lastModifiedBy>
  <dcterms:created xsi:type="dcterms:W3CDTF">2023-11-15T16:48:32Z</dcterms:created>
  <dcterms:modified xsi:type="dcterms:W3CDTF">2023-11-30T01:20:43Z</dcterms:modified>
</cp:coreProperties>
</file>