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RU_SG1\Projects\Processing\SalesClustering\data\"/>
    </mc:Choice>
  </mc:AlternateContent>
  <xr:revisionPtr revIDLastSave="0" documentId="13_ncr:1_{6BC4A9D8-42EC-48B9-B8D5-F107EF08C09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G_HCO_Accounts" sheetId="1" r:id="rId1"/>
  </sheets>
  <definedNames>
    <definedName name="_xlnm._FilterDatabase" localSheetId="0" hidden="1">SG_HCO_Accounts!$A$1:$I$6202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6059" i="1" l="1"/>
  <c r="A6058" i="1"/>
  <c r="A6057" i="1"/>
  <c r="A6056" i="1"/>
  <c r="A6055" i="1"/>
  <c r="A6054" i="1"/>
  <c r="A6053" i="1"/>
  <c r="A6052" i="1"/>
  <c r="A6051" i="1"/>
  <c r="A6050" i="1"/>
  <c r="A6049" i="1"/>
  <c r="A6048" i="1"/>
  <c r="A6047" i="1"/>
  <c r="A6046" i="1"/>
  <c r="A6045" i="1"/>
  <c r="A6044" i="1"/>
  <c r="A6043" i="1"/>
  <c r="A6042" i="1"/>
  <c r="A6041" i="1"/>
  <c r="A6040" i="1"/>
  <c r="A6039" i="1"/>
  <c r="A6038" i="1"/>
  <c r="A6037" i="1"/>
  <c r="A6036" i="1"/>
  <c r="A6035" i="1"/>
  <c r="A6034" i="1"/>
  <c r="A6033" i="1"/>
  <c r="A6032" i="1"/>
  <c r="A6031" i="1"/>
  <c r="A6030" i="1"/>
  <c r="A6029" i="1"/>
  <c r="A6028" i="1"/>
  <c r="A6027" i="1"/>
  <c r="A6026" i="1"/>
  <c r="A6025" i="1"/>
  <c r="A6024" i="1"/>
  <c r="A6023" i="1"/>
  <c r="A6022" i="1"/>
  <c r="A6021" i="1"/>
  <c r="A6020" i="1"/>
  <c r="A6019" i="1"/>
  <c r="A6018" i="1"/>
  <c r="A6017" i="1"/>
  <c r="A6016" i="1"/>
  <c r="A6015" i="1"/>
  <c r="A6014" i="1"/>
  <c r="A6013" i="1"/>
  <c r="A6012" i="1"/>
  <c r="A6011" i="1"/>
  <c r="A6010" i="1"/>
  <c r="A6009" i="1"/>
  <c r="A6008" i="1"/>
  <c r="A6007" i="1"/>
  <c r="A6006" i="1"/>
  <c r="A6005" i="1"/>
  <c r="A6004" i="1"/>
  <c r="A6003" i="1"/>
  <c r="A6002" i="1"/>
  <c r="A6001" i="1"/>
  <c r="A6000" i="1"/>
  <c r="A5999" i="1"/>
  <c r="A5998" i="1"/>
  <c r="A5997" i="1"/>
  <c r="A5996" i="1"/>
  <c r="A5995" i="1"/>
  <c r="A5994" i="1"/>
  <c r="A5993" i="1"/>
  <c r="A5992" i="1"/>
  <c r="A5991" i="1"/>
  <c r="A5990" i="1"/>
  <c r="A5989" i="1"/>
  <c r="A5988" i="1"/>
  <c r="A5987" i="1"/>
  <c r="A5986" i="1"/>
  <c r="A5985" i="1"/>
  <c r="A5984" i="1"/>
  <c r="A5983" i="1"/>
  <c r="A5982" i="1"/>
  <c r="A5981" i="1"/>
  <c r="A5980" i="1"/>
  <c r="A5979" i="1"/>
  <c r="A5978" i="1"/>
  <c r="A5977" i="1"/>
  <c r="A5976" i="1"/>
  <c r="A5975" i="1"/>
  <c r="A5974" i="1"/>
  <c r="A5973" i="1"/>
  <c r="A5972" i="1"/>
  <c r="A5971" i="1"/>
  <c r="A5970" i="1"/>
  <c r="A5969" i="1"/>
  <c r="A5968" i="1"/>
  <c r="A5967" i="1"/>
  <c r="A5966" i="1"/>
  <c r="A5965" i="1"/>
  <c r="A5964" i="1"/>
  <c r="A5963" i="1"/>
  <c r="A5962" i="1"/>
  <c r="A5961" i="1"/>
  <c r="A5960" i="1"/>
  <c r="A5959" i="1"/>
  <c r="A5958" i="1"/>
  <c r="A5957" i="1"/>
  <c r="A5956" i="1"/>
  <c r="A5955" i="1"/>
  <c r="A5954" i="1"/>
  <c r="A5953" i="1"/>
  <c r="A5952" i="1"/>
  <c r="A5951" i="1"/>
  <c r="A5950" i="1"/>
  <c r="A5949" i="1"/>
  <c r="A5948" i="1"/>
  <c r="A5947" i="1"/>
  <c r="A5946" i="1"/>
  <c r="A5945" i="1"/>
  <c r="A5944" i="1"/>
  <c r="A5943" i="1"/>
  <c r="A5942" i="1"/>
  <c r="A5941" i="1"/>
  <c r="A5940" i="1"/>
  <c r="A5939" i="1"/>
  <c r="A5938" i="1"/>
  <c r="A5937" i="1"/>
  <c r="A5936" i="1"/>
  <c r="A5935" i="1"/>
  <c r="A5934" i="1"/>
  <c r="A5933" i="1"/>
  <c r="A5932" i="1"/>
  <c r="A5931" i="1"/>
  <c r="A5930" i="1"/>
  <c r="A5929" i="1"/>
  <c r="A5928" i="1"/>
  <c r="A5927" i="1"/>
  <c r="A5926" i="1"/>
  <c r="A5925" i="1"/>
  <c r="A5924" i="1"/>
  <c r="A5923" i="1"/>
  <c r="A5922" i="1"/>
  <c r="A5921" i="1"/>
  <c r="A5920" i="1"/>
  <c r="A5919" i="1"/>
  <c r="A5918" i="1"/>
  <c r="A5917" i="1"/>
  <c r="A5916" i="1"/>
  <c r="A5915" i="1"/>
  <c r="A5914" i="1"/>
  <c r="A5913" i="1"/>
  <c r="A5912" i="1"/>
  <c r="A5911" i="1"/>
  <c r="A5910" i="1"/>
  <c r="A5909" i="1"/>
  <c r="A5908" i="1"/>
  <c r="A5907" i="1"/>
  <c r="A5906" i="1"/>
  <c r="A5905" i="1"/>
  <c r="A5904" i="1"/>
  <c r="A5903" i="1"/>
  <c r="A5902" i="1"/>
  <c r="A5901" i="1"/>
  <c r="A5900" i="1"/>
  <c r="A5899" i="1"/>
  <c r="A5898" i="1"/>
  <c r="A5897" i="1"/>
  <c r="A5896" i="1"/>
  <c r="A5895" i="1"/>
  <c r="A5894" i="1"/>
  <c r="A5893" i="1"/>
  <c r="A5892" i="1"/>
  <c r="A5891" i="1"/>
  <c r="A5890" i="1"/>
  <c r="A5889" i="1"/>
  <c r="A5888" i="1"/>
  <c r="A5887" i="1"/>
  <c r="A5886" i="1"/>
  <c r="A5885" i="1"/>
  <c r="A5884" i="1"/>
  <c r="A5883" i="1"/>
  <c r="A5882" i="1"/>
  <c r="A5881" i="1"/>
  <c r="A5880" i="1"/>
  <c r="A5879" i="1"/>
  <c r="A5878" i="1"/>
  <c r="A5877" i="1"/>
  <c r="A5876" i="1"/>
  <c r="A5875" i="1"/>
  <c r="A5874" i="1"/>
  <c r="A5873" i="1"/>
  <c r="A5872" i="1"/>
  <c r="A5871" i="1"/>
  <c r="A5870" i="1"/>
  <c r="A5869" i="1"/>
  <c r="A5868" i="1"/>
  <c r="A5867" i="1"/>
  <c r="A5866" i="1"/>
  <c r="A5865" i="1"/>
  <c r="A5864" i="1"/>
  <c r="A5863" i="1"/>
  <c r="A5862" i="1"/>
  <c r="A5861" i="1"/>
  <c r="A5860" i="1"/>
  <c r="A5859" i="1"/>
  <c r="A5858" i="1"/>
  <c r="A5857" i="1"/>
  <c r="A5856" i="1"/>
  <c r="A5855" i="1"/>
  <c r="A5854" i="1"/>
  <c r="A5853" i="1"/>
  <c r="A5852" i="1"/>
  <c r="A5851" i="1"/>
  <c r="A5850" i="1"/>
  <c r="A5849" i="1"/>
  <c r="A5848" i="1"/>
  <c r="A5847" i="1"/>
  <c r="A5846" i="1"/>
  <c r="A5845" i="1"/>
  <c r="A5844" i="1"/>
  <c r="A5843" i="1"/>
  <c r="A5842" i="1"/>
  <c r="A5841" i="1"/>
  <c r="A5840" i="1"/>
  <c r="A5839" i="1"/>
  <c r="A5838" i="1"/>
  <c r="A5837" i="1"/>
  <c r="A5836" i="1"/>
  <c r="A5835" i="1"/>
  <c r="A5834" i="1"/>
  <c r="A5833" i="1"/>
  <c r="A5832" i="1"/>
  <c r="A5831" i="1"/>
  <c r="A5830" i="1"/>
  <c r="A5829" i="1"/>
  <c r="A5828" i="1"/>
  <c r="A5827" i="1"/>
  <c r="A5826" i="1"/>
  <c r="A5825" i="1"/>
  <c r="A5824" i="1"/>
  <c r="A5823" i="1"/>
  <c r="A5822" i="1"/>
  <c r="A5821" i="1"/>
  <c r="A5820" i="1"/>
  <c r="A5819" i="1"/>
  <c r="A5818" i="1"/>
  <c r="A5817" i="1"/>
  <c r="A5816" i="1"/>
  <c r="A5815" i="1"/>
  <c r="A5814" i="1"/>
  <c r="A5813" i="1"/>
  <c r="A5812" i="1"/>
  <c r="A5811" i="1"/>
  <c r="A5810" i="1"/>
  <c r="A5809" i="1"/>
  <c r="A5808" i="1"/>
  <c r="A5807" i="1"/>
  <c r="A5806" i="1"/>
  <c r="A5805" i="1"/>
  <c r="A5804" i="1"/>
  <c r="A5803" i="1"/>
  <c r="A5802" i="1"/>
  <c r="A5801" i="1"/>
  <c r="A5800" i="1"/>
  <c r="A5799" i="1"/>
  <c r="A5798" i="1"/>
  <c r="A5797" i="1"/>
  <c r="A5796" i="1"/>
  <c r="A5795" i="1"/>
  <c r="A5794" i="1"/>
  <c r="A5793" i="1"/>
  <c r="A5792" i="1"/>
  <c r="A5791" i="1"/>
  <c r="A5790" i="1"/>
  <c r="A5789" i="1"/>
  <c r="A5788" i="1"/>
  <c r="A5787" i="1"/>
  <c r="A5786" i="1"/>
  <c r="A5785" i="1"/>
  <c r="A5784" i="1"/>
  <c r="A5783" i="1"/>
  <c r="A5782" i="1"/>
  <c r="A5781" i="1"/>
  <c r="A5780" i="1"/>
  <c r="A5779" i="1"/>
  <c r="A5778" i="1"/>
  <c r="A5777" i="1"/>
  <c r="A5776" i="1"/>
  <c r="A5775" i="1"/>
  <c r="A5774" i="1"/>
  <c r="A5773" i="1"/>
  <c r="A5772" i="1"/>
  <c r="A5771" i="1"/>
  <c r="A5770" i="1"/>
  <c r="A5769" i="1"/>
  <c r="A5768" i="1"/>
  <c r="A5767" i="1"/>
  <c r="A5766" i="1"/>
  <c r="A5765" i="1"/>
  <c r="A5764" i="1"/>
  <c r="A5763" i="1"/>
  <c r="A5762" i="1"/>
  <c r="A5761" i="1"/>
  <c r="A5760" i="1"/>
  <c r="A5759" i="1"/>
  <c r="A5758" i="1"/>
  <c r="A5757" i="1"/>
  <c r="A5756" i="1"/>
  <c r="A5755" i="1"/>
  <c r="A5754" i="1"/>
  <c r="A5753" i="1"/>
  <c r="A5752" i="1"/>
  <c r="A5751" i="1"/>
  <c r="A5750" i="1"/>
  <c r="A5749" i="1"/>
  <c r="A5748" i="1"/>
  <c r="A5747" i="1"/>
  <c r="A5746" i="1"/>
  <c r="A5745" i="1"/>
  <c r="A5744" i="1"/>
  <c r="A5743" i="1"/>
  <c r="A5742" i="1"/>
  <c r="A5741" i="1"/>
  <c r="A5740" i="1"/>
  <c r="A5739" i="1"/>
  <c r="A5738" i="1"/>
  <c r="A5737" i="1"/>
  <c r="A5736" i="1"/>
  <c r="A5735" i="1"/>
  <c r="A5734" i="1"/>
  <c r="A5733" i="1"/>
  <c r="A5732" i="1"/>
  <c r="A5731" i="1"/>
  <c r="A5730" i="1"/>
  <c r="A5729" i="1"/>
  <c r="A5728" i="1"/>
  <c r="A5727" i="1"/>
  <c r="A5726" i="1"/>
  <c r="A5725" i="1"/>
  <c r="A5724" i="1"/>
  <c r="A5723" i="1"/>
  <c r="A5722" i="1"/>
  <c r="A5721" i="1"/>
  <c r="A5720" i="1"/>
  <c r="A5719" i="1"/>
  <c r="A5718" i="1"/>
  <c r="A5717" i="1"/>
  <c r="A5716" i="1"/>
  <c r="A5715" i="1"/>
  <c r="A5714" i="1"/>
  <c r="A5713" i="1"/>
  <c r="A5712" i="1"/>
  <c r="A5711" i="1"/>
  <c r="A5710" i="1"/>
  <c r="A5709" i="1"/>
  <c r="A5708" i="1"/>
  <c r="A5707" i="1"/>
  <c r="A5706" i="1"/>
  <c r="A5705" i="1"/>
  <c r="A5704" i="1"/>
  <c r="A5703" i="1"/>
  <c r="A5702" i="1"/>
  <c r="A5701" i="1"/>
  <c r="A5700" i="1"/>
  <c r="A5699" i="1"/>
  <c r="A5698" i="1"/>
  <c r="A5697" i="1"/>
  <c r="A5696" i="1"/>
  <c r="A5695" i="1"/>
  <c r="A5694" i="1"/>
  <c r="A5693" i="1"/>
  <c r="A5692" i="1"/>
  <c r="A5691" i="1"/>
  <c r="A5690" i="1"/>
  <c r="A5689" i="1"/>
  <c r="A5688" i="1"/>
  <c r="A5687" i="1"/>
  <c r="A5686" i="1"/>
  <c r="A5685" i="1"/>
  <c r="A5684" i="1"/>
  <c r="A5683" i="1"/>
  <c r="A5682" i="1"/>
  <c r="A5681" i="1"/>
  <c r="A5680" i="1"/>
  <c r="A5679" i="1"/>
  <c r="A5678" i="1"/>
  <c r="A5677" i="1"/>
  <c r="A5676" i="1"/>
  <c r="A5675" i="1"/>
  <c r="A5674" i="1"/>
  <c r="A5673" i="1"/>
  <c r="A5672" i="1"/>
  <c r="A5671" i="1"/>
  <c r="A5670" i="1"/>
  <c r="A5669" i="1"/>
  <c r="A5668" i="1"/>
  <c r="A5667" i="1"/>
  <c r="A5666" i="1"/>
  <c r="A5665" i="1"/>
  <c r="A5664" i="1"/>
  <c r="A5663" i="1"/>
  <c r="A5662" i="1"/>
  <c r="A5661" i="1"/>
  <c r="A5660" i="1"/>
  <c r="A5659" i="1"/>
  <c r="A5658" i="1"/>
  <c r="A5657" i="1"/>
  <c r="A5656" i="1"/>
  <c r="A5655" i="1"/>
  <c r="A5654" i="1"/>
  <c r="A5653" i="1"/>
  <c r="A5652" i="1"/>
  <c r="A5651" i="1"/>
  <c r="A5650" i="1"/>
  <c r="A5649" i="1"/>
  <c r="A5648" i="1"/>
  <c r="A5647" i="1"/>
  <c r="A5646" i="1"/>
  <c r="A5645" i="1"/>
  <c r="A5644" i="1"/>
  <c r="A5643" i="1"/>
  <c r="A5642" i="1"/>
  <c r="A5641" i="1"/>
  <c r="A5640" i="1"/>
  <c r="A5639" i="1"/>
  <c r="A5638" i="1"/>
  <c r="A5637" i="1"/>
  <c r="A5636" i="1"/>
  <c r="A5635" i="1"/>
  <c r="A5634" i="1"/>
  <c r="A5633" i="1"/>
  <c r="A5632" i="1"/>
  <c r="A5631" i="1"/>
  <c r="A5630" i="1"/>
  <c r="A5629" i="1"/>
  <c r="A5628" i="1"/>
  <c r="A5627" i="1"/>
  <c r="A5626" i="1"/>
  <c r="A5625" i="1"/>
  <c r="A5624" i="1"/>
  <c r="A5623" i="1"/>
  <c r="A5622" i="1"/>
  <c r="A5621" i="1"/>
  <c r="A5620" i="1"/>
  <c r="A5619" i="1"/>
  <c r="A5618" i="1"/>
  <c r="A5617" i="1"/>
  <c r="A5616" i="1"/>
  <c r="A5615" i="1"/>
  <c r="A5614" i="1"/>
  <c r="A5613" i="1"/>
  <c r="A5612" i="1"/>
  <c r="A5611" i="1"/>
  <c r="A5610" i="1"/>
  <c r="A5609" i="1"/>
  <c r="A5608" i="1"/>
  <c r="A5607" i="1"/>
  <c r="A5606" i="1"/>
  <c r="A5605" i="1"/>
  <c r="A5604" i="1"/>
  <c r="A5603" i="1"/>
  <c r="A5602" i="1"/>
  <c r="A5601" i="1"/>
  <c r="A5600" i="1"/>
  <c r="A5599" i="1"/>
  <c r="A5598" i="1"/>
  <c r="A5597" i="1"/>
  <c r="A5596" i="1"/>
  <c r="A5595" i="1"/>
  <c r="A5594" i="1"/>
  <c r="A5593" i="1"/>
  <c r="A5592" i="1"/>
  <c r="A5591" i="1"/>
  <c r="A5590" i="1"/>
  <c r="A5589" i="1"/>
  <c r="A5588" i="1"/>
  <c r="A5587" i="1"/>
  <c r="A5586" i="1"/>
  <c r="A5585" i="1"/>
  <c r="A5584" i="1"/>
  <c r="A5583" i="1"/>
  <c r="A5582" i="1"/>
  <c r="A5581" i="1"/>
  <c r="A5580" i="1"/>
  <c r="A5579" i="1"/>
  <c r="A5578" i="1"/>
  <c r="A5577" i="1"/>
  <c r="A5576" i="1"/>
  <c r="A5575" i="1"/>
  <c r="A5574" i="1"/>
  <c r="A5573" i="1"/>
  <c r="A5572" i="1"/>
  <c r="A5571" i="1"/>
  <c r="A5570" i="1"/>
  <c r="A5569" i="1"/>
  <c r="A5568" i="1"/>
  <c r="A5567" i="1"/>
  <c r="A5566" i="1"/>
  <c r="A5565" i="1"/>
  <c r="A5564" i="1"/>
  <c r="A5563" i="1"/>
  <c r="A5562" i="1"/>
  <c r="A5561" i="1"/>
  <c r="A5560" i="1"/>
  <c r="A5559" i="1"/>
  <c r="A5558" i="1"/>
  <c r="A5557" i="1"/>
  <c r="A5556" i="1"/>
  <c r="A5555" i="1"/>
  <c r="A5554" i="1"/>
  <c r="A5553" i="1"/>
  <c r="A5552" i="1"/>
  <c r="A5551" i="1"/>
  <c r="A5550" i="1"/>
  <c r="A5549" i="1"/>
  <c r="A5548" i="1"/>
  <c r="A5547" i="1"/>
  <c r="A5546" i="1"/>
  <c r="A5545" i="1"/>
  <c r="A5544" i="1"/>
  <c r="A5543" i="1"/>
  <c r="A5542" i="1"/>
  <c r="A5541" i="1"/>
  <c r="A5540" i="1"/>
  <c r="A5539" i="1"/>
  <c r="A5538" i="1"/>
  <c r="A5537" i="1"/>
  <c r="A5536" i="1"/>
  <c r="A5535" i="1"/>
  <c r="A5534" i="1"/>
  <c r="A5533" i="1"/>
  <c r="A5532" i="1"/>
  <c r="A5531" i="1"/>
  <c r="A5530" i="1"/>
  <c r="A5529" i="1"/>
  <c r="A5528" i="1"/>
  <c r="A5527" i="1"/>
  <c r="A5526" i="1"/>
  <c r="A5525" i="1"/>
  <c r="A5524" i="1"/>
  <c r="A5523" i="1"/>
  <c r="A5522" i="1"/>
  <c r="A5521" i="1"/>
  <c r="A5520" i="1"/>
  <c r="A5519" i="1"/>
  <c r="A5518" i="1"/>
  <c r="A5517" i="1"/>
  <c r="A5516" i="1"/>
  <c r="A5515" i="1"/>
  <c r="A5514" i="1"/>
  <c r="A5513" i="1"/>
  <c r="A5512" i="1"/>
  <c r="A5511" i="1"/>
  <c r="A5510" i="1"/>
  <c r="A5509" i="1"/>
  <c r="A5508" i="1"/>
  <c r="A5507" i="1"/>
  <c r="A5506" i="1"/>
  <c r="A5505" i="1"/>
  <c r="A5504" i="1"/>
  <c r="A5503" i="1"/>
  <c r="A5502" i="1"/>
  <c r="A5501" i="1"/>
  <c r="A5500" i="1"/>
  <c r="A5499" i="1"/>
  <c r="A5498" i="1"/>
  <c r="A5497" i="1"/>
  <c r="A5496" i="1"/>
  <c r="A5495" i="1"/>
  <c r="A5494" i="1"/>
  <c r="A5493" i="1"/>
  <c r="A5492" i="1"/>
  <c r="A5491" i="1"/>
  <c r="A5490" i="1"/>
  <c r="A5489" i="1"/>
  <c r="A5488" i="1"/>
  <c r="A5487" i="1"/>
  <c r="A5486" i="1"/>
  <c r="A5485" i="1"/>
  <c r="A5484" i="1"/>
  <c r="A5483" i="1"/>
  <c r="A5482" i="1"/>
  <c r="A5481" i="1"/>
  <c r="A5480" i="1"/>
  <c r="A5479" i="1"/>
  <c r="A5478" i="1"/>
  <c r="A5477" i="1"/>
  <c r="A5476" i="1"/>
  <c r="A5475" i="1"/>
  <c r="A5474" i="1"/>
  <c r="A5473" i="1"/>
  <c r="A5472" i="1"/>
  <c r="A5471" i="1"/>
  <c r="A5470" i="1"/>
  <c r="A5469" i="1"/>
  <c r="A5468" i="1"/>
  <c r="A5467" i="1"/>
  <c r="A5466" i="1"/>
  <c r="A5465" i="1"/>
  <c r="A5464" i="1"/>
  <c r="A5463" i="1"/>
  <c r="A5462" i="1"/>
  <c r="A5461" i="1"/>
  <c r="A5460" i="1"/>
  <c r="A5459" i="1"/>
  <c r="A5458" i="1"/>
  <c r="A5457" i="1"/>
  <c r="A5456" i="1"/>
  <c r="A5455" i="1"/>
  <c r="A5454" i="1"/>
  <c r="A5453" i="1"/>
  <c r="A5452" i="1"/>
  <c r="A5451" i="1"/>
  <c r="A5450" i="1"/>
  <c r="A5449" i="1"/>
  <c r="A5448" i="1"/>
  <c r="A5447" i="1"/>
  <c r="A5446" i="1"/>
  <c r="A5445" i="1"/>
  <c r="A5444" i="1"/>
  <c r="A5443" i="1"/>
  <c r="A5442" i="1"/>
  <c r="A5441" i="1"/>
  <c r="A5440" i="1"/>
  <c r="A5439" i="1"/>
  <c r="A5438" i="1"/>
  <c r="A5437" i="1"/>
  <c r="A5436" i="1"/>
  <c r="A5435" i="1"/>
  <c r="A5434" i="1"/>
  <c r="A5433" i="1"/>
  <c r="A5432" i="1"/>
  <c r="A5431" i="1"/>
  <c r="A5430" i="1"/>
  <c r="A5429" i="1"/>
  <c r="A5428" i="1"/>
  <c r="A5427" i="1"/>
  <c r="A5426" i="1"/>
  <c r="A5425" i="1"/>
  <c r="A5424" i="1"/>
  <c r="A5423" i="1"/>
  <c r="A5422" i="1"/>
  <c r="A5421" i="1"/>
  <c r="A5420" i="1"/>
  <c r="A5419" i="1"/>
  <c r="A5418" i="1"/>
  <c r="A5417" i="1"/>
  <c r="A5416" i="1"/>
  <c r="A5415" i="1"/>
  <c r="A5414" i="1"/>
  <c r="A5413" i="1"/>
  <c r="A5412" i="1"/>
  <c r="A5411" i="1"/>
  <c r="A5410" i="1"/>
  <c r="A5409" i="1"/>
  <c r="A5408" i="1"/>
  <c r="A5407" i="1"/>
  <c r="A5406" i="1"/>
  <c r="A5405" i="1"/>
  <c r="A5404" i="1"/>
  <c r="A5403" i="1"/>
  <c r="A5402" i="1"/>
  <c r="A5401" i="1"/>
  <c r="A5400" i="1"/>
  <c r="A5399" i="1"/>
  <c r="A5398" i="1"/>
  <c r="A5397" i="1"/>
  <c r="A5396" i="1"/>
  <c r="A5395" i="1"/>
  <c r="A5394" i="1"/>
  <c r="A5393" i="1"/>
  <c r="A5392" i="1"/>
  <c r="A5391" i="1"/>
  <c r="A5390" i="1"/>
  <c r="A5389" i="1"/>
  <c r="A5388" i="1"/>
  <c r="A5387" i="1"/>
  <c r="A5386" i="1"/>
  <c r="A5385" i="1"/>
  <c r="A5384" i="1"/>
  <c r="A5383" i="1"/>
  <c r="A5382" i="1"/>
  <c r="A5381" i="1"/>
  <c r="A5380" i="1"/>
  <c r="A5379" i="1"/>
  <c r="A5378" i="1"/>
  <c r="A5377" i="1"/>
  <c r="A5376" i="1"/>
  <c r="A5375" i="1"/>
  <c r="A5374" i="1"/>
  <c r="A5373" i="1"/>
  <c r="A5372" i="1"/>
  <c r="A5371" i="1"/>
  <c r="A5370" i="1"/>
  <c r="A5369" i="1"/>
  <c r="A5368" i="1"/>
  <c r="A5367" i="1"/>
  <c r="A5366" i="1"/>
  <c r="A5365" i="1"/>
  <c r="A5364" i="1"/>
  <c r="A5363" i="1"/>
  <c r="A5362" i="1"/>
  <c r="A5361" i="1"/>
  <c r="A5360" i="1"/>
  <c r="A5359" i="1"/>
  <c r="A5358" i="1"/>
  <c r="A5357" i="1"/>
  <c r="A5356" i="1"/>
  <c r="A5355" i="1"/>
  <c r="A5354" i="1"/>
  <c r="A5353" i="1"/>
  <c r="A5352" i="1"/>
  <c r="A5351" i="1"/>
  <c r="A5350" i="1"/>
  <c r="A5349" i="1"/>
  <c r="A5348" i="1"/>
  <c r="A5347" i="1"/>
  <c r="A5346" i="1"/>
  <c r="A5345" i="1"/>
  <c r="A5344" i="1"/>
  <c r="A5343" i="1"/>
  <c r="A5342" i="1"/>
  <c r="A5341" i="1"/>
  <c r="A5340" i="1"/>
  <c r="A5339" i="1"/>
  <c r="A5338" i="1"/>
  <c r="A5337" i="1"/>
  <c r="A5336" i="1"/>
  <c r="A5335" i="1"/>
  <c r="A5334" i="1"/>
  <c r="A5333" i="1"/>
  <c r="A5332" i="1"/>
  <c r="A5331" i="1"/>
  <c r="A5330" i="1"/>
  <c r="A5329" i="1"/>
  <c r="A5328" i="1"/>
  <c r="A5327" i="1"/>
  <c r="A5326" i="1"/>
  <c r="A5325" i="1"/>
  <c r="A5324" i="1"/>
  <c r="A5323" i="1"/>
  <c r="A5322" i="1"/>
  <c r="A5321" i="1"/>
  <c r="A5320" i="1"/>
  <c r="A5319" i="1"/>
  <c r="A5318" i="1"/>
  <c r="A5317" i="1"/>
  <c r="A5316" i="1"/>
  <c r="A5315" i="1"/>
  <c r="A5314" i="1"/>
  <c r="A5313" i="1"/>
  <c r="A5312" i="1"/>
  <c r="A5311" i="1"/>
  <c r="A5310" i="1"/>
  <c r="A5309" i="1"/>
  <c r="A5308" i="1"/>
  <c r="A5307" i="1"/>
  <c r="A5306" i="1"/>
  <c r="A5305" i="1"/>
  <c r="A5304" i="1"/>
  <c r="A5303" i="1"/>
  <c r="A5302" i="1"/>
  <c r="A5301" i="1"/>
  <c r="A5300" i="1"/>
  <c r="A5299" i="1"/>
  <c r="A5298" i="1"/>
  <c r="A5297" i="1"/>
  <c r="A5296" i="1"/>
  <c r="A5295" i="1"/>
  <c r="A5294" i="1"/>
  <c r="A5293" i="1"/>
  <c r="A5292" i="1"/>
  <c r="A5291" i="1"/>
  <c r="A5290" i="1"/>
  <c r="A5289" i="1"/>
  <c r="A5288" i="1"/>
  <c r="A5287" i="1"/>
  <c r="A5286" i="1"/>
  <c r="A5285" i="1"/>
  <c r="A5284" i="1"/>
  <c r="A5283" i="1"/>
  <c r="A5282" i="1"/>
  <c r="A5281" i="1"/>
  <c r="A5280" i="1"/>
  <c r="A5279" i="1"/>
  <c r="A5278" i="1"/>
  <c r="A5277" i="1"/>
  <c r="A5276" i="1"/>
  <c r="A5275" i="1"/>
  <c r="A5274" i="1"/>
  <c r="A5273" i="1"/>
  <c r="A5272" i="1"/>
  <c r="A5271" i="1"/>
  <c r="A5270" i="1"/>
  <c r="A5269" i="1"/>
  <c r="A5268" i="1"/>
  <c r="A5267" i="1"/>
  <c r="A5266" i="1"/>
  <c r="A5265" i="1"/>
  <c r="A5264" i="1"/>
  <c r="A5263" i="1"/>
  <c r="A5262" i="1"/>
  <c r="A5261" i="1"/>
  <c r="A5260" i="1"/>
  <c r="A5259" i="1"/>
  <c r="A5258" i="1"/>
  <c r="A5257" i="1"/>
  <c r="A5256" i="1"/>
  <c r="A5255" i="1"/>
  <c r="A5254" i="1"/>
  <c r="A5253" i="1"/>
  <c r="A5252" i="1"/>
  <c r="A5251" i="1"/>
  <c r="A5250" i="1"/>
  <c r="A5249" i="1"/>
  <c r="A5248" i="1"/>
  <c r="A5247" i="1"/>
  <c r="A5246" i="1"/>
  <c r="A5245" i="1"/>
  <c r="A5244" i="1"/>
  <c r="A5243" i="1"/>
  <c r="A5242" i="1"/>
  <c r="A5241" i="1"/>
  <c r="A5240" i="1"/>
  <c r="A5239" i="1"/>
  <c r="A5238" i="1"/>
  <c r="A5237" i="1"/>
  <c r="A5236" i="1"/>
  <c r="A5235" i="1"/>
  <c r="A5234" i="1"/>
  <c r="A5233" i="1"/>
  <c r="A5232" i="1"/>
  <c r="A5231" i="1"/>
  <c r="A5230" i="1"/>
  <c r="A5229" i="1"/>
  <c r="A5228" i="1"/>
  <c r="A5227" i="1"/>
  <c r="A5226" i="1"/>
  <c r="A5225" i="1"/>
  <c r="A5224" i="1"/>
  <c r="A5223" i="1"/>
  <c r="A5222" i="1"/>
  <c r="A5221" i="1"/>
  <c r="A5220" i="1"/>
  <c r="A5219" i="1"/>
  <c r="A5218" i="1"/>
  <c r="A5217" i="1"/>
  <c r="A5216" i="1"/>
  <c r="A5215" i="1"/>
  <c r="A5214" i="1"/>
  <c r="A5213" i="1"/>
  <c r="A5212" i="1"/>
  <c r="A5211" i="1"/>
  <c r="A5210" i="1"/>
  <c r="A5209" i="1"/>
  <c r="A5208" i="1"/>
  <c r="A5207" i="1"/>
  <c r="A5206" i="1"/>
  <c r="A5205" i="1"/>
  <c r="A5204" i="1"/>
  <c r="A5203" i="1"/>
  <c r="A5202" i="1"/>
  <c r="A5201" i="1"/>
  <c r="A5200" i="1"/>
  <c r="A5199" i="1"/>
  <c r="A5198" i="1"/>
  <c r="A5197" i="1"/>
  <c r="A5196" i="1"/>
  <c r="A5195" i="1"/>
  <c r="A5194" i="1"/>
  <c r="A5193" i="1"/>
  <c r="A5192" i="1"/>
  <c r="A5191" i="1"/>
  <c r="A5190" i="1"/>
  <c r="A5189" i="1"/>
  <c r="A5188" i="1"/>
  <c r="A5187" i="1"/>
  <c r="A5186" i="1"/>
  <c r="A5185" i="1"/>
  <c r="A5184" i="1"/>
  <c r="A5183" i="1"/>
  <c r="A5182" i="1"/>
  <c r="A5181" i="1"/>
  <c r="A5180" i="1"/>
  <c r="A5179" i="1"/>
  <c r="A5178" i="1"/>
  <c r="A5177" i="1"/>
  <c r="A5176" i="1"/>
  <c r="A5175" i="1"/>
  <c r="A5174" i="1"/>
  <c r="A5173" i="1"/>
  <c r="A5172" i="1"/>
  <c r="A5171" i="1"/>
  <c r="A5170" i="1"/>
  <c r="A5169" i="1"/>
  <c r="A5168" i="1"/>
  <c r="A5167" i="1"/>
  <c r="A5166" i="1"/>
  <c r="A5165" i="1"/>
  <c r="A5164" i="1"/>
  <c r="A5163" i="1"/>
  <c r="A5162" i="1"/>
  <c r="A5161" i="1"/>
  <c r="A5160" i="1"/>
  <c r="A5159" i="1"/>
  <c r="A5158" i="1"/>
  <c r="A5157" i="1"/>
  <c r="A5156" i="1"/>
  <c r="A5155" i="1"/>
  <c r="A5154" i="1"/>
  <c r="A5153" i="1"/>
  <c r="A5152" i="1"/>
  <c r="A5151" i="1"/>
  <c r="A5150" i="1"/>
  <c r="A5149" i="1"/>
  <c r="A5148" i="1"/>
  <c r="A5147" i="1"/>
  <c r="A5146" i="1"/>
  <c r="A5145" i="1"/>
  <c r="A5144" i="1"/>
  <c r="A5143" i="1"/>
  <c r="A5142" i="1"/>
  <c r="A5141" i="1"/>
  <c r="A5140" i="1"/>
  <c r="A5139" i="1"/>
  <c r="A5138" i="1"/>
  <c r="A5137" i="1"/>
  <c r="A5136" i="1"/>
  <c r="A5135" i="1"/>
  <c r="A5134" i="1"/>
  <c r="A5133" i="1"/>
  <c r="A5132" i="1"/>
  <c r="A5131" i="1"/>
  <c r="A5130" i="1"/>
  <c r="A5129" i="1"/>
  <c r="A5128" i="1"/>
  <c r="A5127" i="1"/>
  <c r="A5126" i="1"/>
  <c r="A5125" i="1"/>
  <c r="A5124" i="1"/>
  <c r="A5123" i="1"/>
  <c r="A5122" i="1"/>
  <c r="A5121" i="1"/>
  <c r="A5120" i="1"/>
  <c r="A5119" i="1"/>
  <c r="A5118" i="1"/>
  <c r="A5117" i="1"/>
  <c r="A5116" i="1"/>
  <c r="A5115" i="1"/>
  <c r="A5114" i="1"/>
  <c r="A5113" i="1"/>
  <c r="A5112" i="1"/>
  <c r="A5111" i="1"/>
  <c r="A5110" i="1"/>
  <c r="A5109" i="1"/>
  <c r="A5108" i="1"/>
  <c r="A5107" i="1"/>
  <c r="A5106" i="1"/>
  <c r="A5105" i="1"/>
  <c r="A5104" i="1"/>
  <c r="A5103" i="1"/>
  <c r="A5102" i="1"/>
  <c r="A5101" i="1"/>
  <c r="A5100" i="1"/>
  <c r="A5099" i="1"/>
  <c r="A5098" i="1"/>
  <c r="A5097" i="1"/>
  <c r="A5096" i="1"/>
  <c r="A5095" i="1"/>
  <c r="A5094" i="1"/>
  <c r="A5093" i="1"/>
  <c r="A5092" i="1"/>
  <c r="A5091" i="1"/>
  <c r="A5090" i="1"/>
  <c r="A5089" i="1"/>
  <c r="A5088" i="1"/>
  <c r="A5087" i="1"/>
  <c r="A5086" i="1"/>
  <c r="A5085" i="1"/>
  <c r="A5084" i="1"/>
  <c r="A5083" i="1"/>
  <c r="A5082" i="1"/>
  <c r="A5081" i="1"/>
  <c r="A5080" i="1"/>
  <c r="A5079" i="1"/>
  <c r="A5078" i="1"/>
  <c r="A5077" i="1"/>
  <c r="A5076" i="1"/>
  <c r="A5075" i="1"/>
  <c r="A5074" i="1"/>
  <c r="A5073" i="1"/>
  <c r="A5072" i="1"/>
  <c r="A5071" i="1"/>
  <c r="A5070" i="1"/>
  <c r="A5069" i="1"/>
  <c r="A5068" i="1"/>
  <c r="A5067" i="1"/>
  <c r="A5066" i="1"/>
  <c r="A5065" i="1"/>
  <c r="A5064" i="1"/>
  <c r="A5063" i="1"/>
  <c r="A5062" i="1"/>
  <c r="A5061" i="1"/>
  <c r="A5060" i="1"/>
  <c r="A5059" i="1"/>
  <c r="A5058" i="1"/>
  <c r="A5057" i="1"/>
  <c r="A5056" i="1"/>
  <c r="A5055" i="1"/>
  <c r="A5054" i="1"/>
  <c r="A5053" i="1"/>
  <c r="A5052" i="1"/>
  <c r="A5051" i="1"/>
  <c r="A5050" i="1"/>
  <c r="A5049" i="1"/>
  <c r="A5048" i="1"/>
  <c r="A5047" i="1"/>
  <c r="A5046" i="1"/>
  <c r="A5045" i="1"/>
  <c r="A5044" i="1"/>
  <c r="A5043" i="1"/>
  <c r="A5042" i="1"/>
  <c r="A5041" i="1"/>
  <c r="A5040" i="1"/>
  <c r="A5039" i="1"/>
  <c r="A5038" i="1"/>
  <c r="A5037" i="1"/>
  <c r="A5036" i="1"/>
  <c r="A5035" i="1"/>
  <c r="A5034" i="1"/>
  <c r="A5033" i="1"/>
  <c r="A5032" i="1"/>
  <c r="A5031" i="1"/>
  <c r="A5030" i="1"/>
  <c r="A5029" i="1"/>
  <c r="A5028" i="1"/>
  <c r="A5027" i="1"/>
  <c r="A5026" i="1"/>
  <c r="A5025" i="1"/>
  <c r="A5024" i="1"/>
  <c r="A5023" i="1"/>
  <c r="A5022" i="1"/>
  <c r="A5021" i="1"/>
  <c r="A5020" i="1"/>
  <c r="A5019" i="1"/>
  <c r="A5018" i="1"/>
  <c r="A5017" i="1"/>
  <c r="A5016" i="1"/>
  <c r="A5015" i="1"/>
  <c r="A5014" i="1"/>
  <c r="A5013" i="1"/>
  <c r="A5012" i="1"/>
  <c r="A5011" i="1"/>
  <c r="A5010" i="1"/>
  <c r="A5009" i="1"/>
  <c r="A5008" i="1"/>
  <c r="A5007" i="1"/>
  <c r="A5006" i="1"/>
  <c r="A5005" i="1"/>
  <c r="A5004" i="1"/>
  <c r="A5003" i="1"/>
  <c r="A5002" i="1"/>
  <c r="A5001" i="1"/>
  <c r="A5000" i="1"/>
  <c r="A4999" i="1"/>
  <c r="A4998" i="1"/>
  <c r="A4997" i="1"/>
  <c r="A4996" i="1"/>
  <c r="A4995" i="1"/>
  <c r="A4994" i="1"/>
  <c r="A4993" i="1"/>
  <c r="A4992" i="1"/>
  <c r="A4991" i="1"/>
  <c r="A4990" i="1"/>
  <c r="A4989" i="1"/>
  <c r="A4988" i="1"/>
  <c r="A4987" i="1"/>
  <c r="A4986" i="1"/>
  <c r="A4985" i="1"/>
  <c r="A4984" i="1"/>
  <c r="A4983" i="1"/>
  <c r="A4982" i="1"/>
  <c r="A4981" i="1"/>
  <c r="A4980" i="1"/>
  <c r="A4979" i="1"/>
  <c r="A4978" i="1"/>
  <c r="A4977" i="1"/>
  <c r="A4976" i="1"/>
  <c r="A4975" i="1"/>
  <c r="A4974" i="1"/>
  <c r="A4973" i="1"/>
  <c r="A4972" i="1"/>
  <c r="A4971" i="1"/>
  <c r="A4970" i="1"/>
  <c r="A4969" i="1"/>
  <c r="A4968" i="1"/>
  <c r="A4967" i="1"/>
  <c r="A4966" i="1"/>
  <c r="A4965" i="1"/>
  <c r="A4964" i="1"/>
  <c r="A4963" i="1"/>
  <c r="A4962" i="1"/>
  <c r="A4961" i="1"/>
  <c r="A4960" i="1"/>
  <c r="A4959" i="1"/>
  <c r="A4958" i="1"/>
  <c r="A4957" i="1"/>
  <c r="A4956" i="1"/>
  <c r="A4955" i="1"/>
  <c r="A4954" i="1"/>
  <c r="A4953" i="1"/>
  <c r="A4952" i="1"/>
  <c r="A4951" i="1"/>
  <c r="A4950" i="1"/>
  <c r="A4949" i="1"/>
  <c r="A4948" i="1"/>
  <c r="A4947" i="1"/>
  <c r="A4946" i="1"/>
  <c r="A4945" i="1"/>
  <c r="A4944" i="1"/>
  <c r="A4943" i="1"/>
  <c r="A4942" i="1"/>
  <c r="A4941" i="1"/>
  <c r="A4940" i="1"/>
  <c r="A4939" i="1"/>
  <c r="A4938" i="1"/>
  <c r="A4937" i="1"/>
  <c r="A4936" i="1"/>
  <c r="A4935" i="1"/>
  <c r="A4934" i="1"/>
  <c r="A4933" i="1"/>
  <c r="A4932" i="1"/>
  <c r="A4931" i="1"/>
  <c r="A4930" i="1"/>
  <c r="A4929" i="1"/>
  <c r="A4928" i="1"/>
  <c r="A4927" i="1"/>
  <c r="A4926" i="1"/>
  <c r="A4925" i="1"/>
  <c r="A4924" i="1"/>
  <c r="A4923" i="1"/>
  <c r="A4922" i="1"/>
  <c r="A4921" i="1"/>
  <c r="A4920" i="1"/>
  <c r="A4919" i="1"/>
  <c r="A4918" i="1"/>
  <c r="A4917" i="1"/>
  <c r="A4916" i="1"/>
  <c r="A4915" i="1"/>
  <c r="A4914" i="1"/>
  <c r="A4913" i="1"/>
  <c r="A4912" i="1"/>
  <c r="A4911" i="1"/>
  <c r="A4910" i="1"/>
  <c r="A4909" i="1"/>
  <c r="A4908" i="1"/>
  <c r="A4907" i="1"/>
  <c r="A4906" i="1"/>
  <c r="A4905" i="1"/>
  <c r="A4904" i="1"/>
  <c r="A4903" i="1"/>
  <c r="A4902" i="1"/>
  <c r="A4901" i="1"/>
  <c r="A4900" i="1"/>
  <c r="A4899" i="1"/>
  <c r="A4898" i="1"/>
  <c r="A4897" i="1"/>
  <c r="A4896" i="1"/>
  <c r="A4895" i="1"/>
  <c r="A4894" i="1"/>
  <c r="A4893" i="1"/>
  <c r="A4892" i="1"/>
  <c r="A4891" i="1"/>
  <c r="A4890" i="1"/>
  <c r="A4889" i="1"/>
  <c r="A4888" i="1"/>
  <c r="A4887" i="1"/>
  <c r="A4886" i="1"/>
  <c r="A4885" i="1"/>
  <c r="A4884" i="1"/>
  <c r="A4883" i="1"/>
  <c r="A4882" i="1"/>
  <c r="A4881" i="1"/>
  <c r="A4880" i="1"/>
  <c r="A4879" i="1"/>
  <c r="A4878" i="1"/>
  <c r="A4877" i="1"/>
  <c r="A4876" i="1"/>
  <c r="A4875" i="1"/>
  <c r="A4874" i="1"/>
  <c r="A4873" i="1"/>
  <c r="A4872" i="1"/>
  <c r="A4871" i="1"/>
  <c r="A4870" i="1"/>
  <c r="A4869" i="1"/>
  <c r="A4868" i="1"/>
  <c r="A4867" i="1"/>
  <c r="A4866" i="1"/>
  <c r="A4865" i="1"/>
  <c r="A4864" i="1"/>
  <c r="A4863" i="1"/>
  <c r="A4862" i="1"/>
  <c r="A4861" i="1"/>
  <c r="A4860" i="1"/>
  <c r="A4859" i="1"/>
  <c r="A4858" i="1"/>
  <c r="A4857" i="1"/>
  <c r="A4856" i="1"/>
  <c r="A4855" i="1"/>
  <c r="A4854" i="1"/>
  <c r="A4853" i="1"/>
  <c r="A4852" i="1"/>
  <c r="A4851" i="1"/>
  <c r="A4850" i="1"/>
  <c r="A4849" i="1"/>
  <c r="A4848" i="1"/>
  <c r="A4847" i="1"/>
  <c r="A4846" i="1"/>
  <c r="A4845" i="1"/>
  <c r="A4844" i="1"/>
  <c r="A4843" i="1"/>
  <c r="A4842" i="1"/>
  <c r="A4841" i="1"/>
  <c r="A4840" i="1"/>
  <c r="A4839" i="1"/>
  <c r="A4838" i="1"/>
  <c r="A4837" i="1"/>
  <c r="A4836" i="1"/>
  <c r="A4835" i="1"/>
  <c r="A4834" i="1"/>
  <c r="A4833" i="1"/>
  <c r="A4832" i="1"/>
  <c r="A4831" i="1"/>
  <c r="A4830" i="1"/>
  <c r="A4829" i="1"/>
  <c r="A4828" i="1"/>
  <c r="A4827" i="1"/>
  <c r="A4826" i="1"/>
  <c r="A4825" i="1"/>
  <c r="A4824" i="1"/>
  <c r="A4823" i="1"/>
  <c r="A4822" i="1"/>
  <c r="A4821" i="1"/>
  <c r="A4820" i="1"/>
  <c r="A4819" i="1"/>
  <c r="A4818" i="1"/>
  <c r="A4817" i="1"/>
  <c r="A4816" i="1"/>
  <c r="A4815" i="1"/>
  <c r="A4814" i="1"/>
  <c r="A4813" i="1"/>
  <c r="A4812" i="1"/>
  <c r="A4811" i="1"/>
  <c r="A4810" i="1"/>
  <c r="A4809" i="1"/>
  <c r="A4808" i="1"/>
  <c r="A4807" i="1"/>
  <c r="A4806" i="1"/>
  <c r="A4805" i="1"/>
  <c r="A4804" i="1"/>
  <c r="A4803" i="1"/>
  <c r="A4802" i="1"/>
  <c r="A4801" i="1"/>
  <c r="A4800" i="1"/>
  <c r="A4799" i="1"/>
  <c r="A4798" i="1"/>
  <c r="A4797" i="1"/>
  <c r="A4796" i="1"/>
  <c r="A4795" i="1"/>
  <c r="A4794" i="1"/>
  <c r="A4793" i="1"/>
  <c r="A4792" i="1"/>
  <c r="A4791" i="1"/>
  <c r="A4790" i="1"/>
  <c r="A4789" i="1"/>
  <c r="A4788" i="1"/>
  <c r="A4787" i="1"/>
  <c r="A4786" i="1"/>
  <c r="A4785" i="1"/>
  <c r="A4784" i="1"/>
  <c r="A4783" i="1"/>
  <c r="A4782" i="1"/>
  <c r="A4781" i="1"/>
  <c r="A4780" i="1"/>
  <c r="A4779" i="1"/>
  <c r="A4778" i="1"/>
  <c r="A4777" i="1"/>
  <c r="A4776" i="1"/>
  <c r="A4775" i="1"/>
  <c r="A4774" i="1"/>
  <c r="A4773" i="1"/>
  <c r="A4772" i="1"/>
  <c r="A4771" i="1"/>
  <c r="A4770" i="1"/>
  <c r="A4769" i="1"/>
  <c r="A4768" i="1"/>
  <c r="A4767" i="1"/>
  <c r="A4766" i="1"/>
  <c r="A4765" i="1"/>
  <c r="A4764" i="1"/>
  <c r="A4763" i="1"/>
  <c r="A4762" i="1"/>
  <c r="A4761" i="1"/>
  <c r="A4760" i="1"/>
  <c r="A4759" i="1"/>
  <c r="A4758" i="1"/>
  <c r="A4757" i="1"/>
  <c r="A4756" i="1"/>
  <c r="A4755" i="1"/>
  <c r="A4754" i="1"/>
  <c r="A4753" i="1"/>
  <c r="A4752" i="1"/>
  <c r="A4751" i="1"/>
  <c r="A4750" i="1"/>
  <c r="A4749" i="1"/>
  <c r="A4748" i="1"/>
  <c r="A4747" i="1"/>
  <c r="A4746" i="1"/>
  <c r="A4745" i="1"/>
  <c r="A4744" i="1"/>
  <c r="A4743" i="1"/>
  <c r="A4742" i="1"/>
  <c r="A4741" i="1"/>
  <c r="A4740" i="1"/>
  <c r="A4739" i="1"/>
  <c r="A4738" i="1"/>
  <c r="A4737" i="1"/>
  <c r="A4736" i="1"/>
  <c r="A4735" i="1"/>
  <c r="A4734" i="1"/>
  <c r="A4733" i="1"/>
  <c r="A4732" i="1"/>
  <c r="A4731" i="1"/>
  <c r="A4730" i="1"/>
  <c r="A4729" i="1"/>
  <c r="A4728" i="1"/>
  <c r="A4727" i="1"/>
  <c r="A4726" i="1"/>
  <c r="A4725" i="1"/>
  <c r="A4724" i="1"/>
  <c r="A4723" i="1"/>
  <c r="A4722" i="1"/>
  <c r="A4721" i="1"/>
  <c r="A4720" i="1"/>
  <c r="A4719" i="1"/>
  <c r="A4718" i="1"/>
  <c r="A4717" i="1"/>
  <c r="A4716" i="1"/>
  <c r="A4715" i="1"/>
  <c r="A4714" i="1"/>
  <c r="A4713" i="1"/>
  <c r="A4712" i="1"/>
  <c r="A4711" i="1"/>
  <c r="A4710" i="1"/>
  <c r="A4709" i="1"/>
  <c r="A4708" i="1"/>
  <c r="A4707" i="1"/>
  <c r="A4706" i="1"/>
  <c r="A4705" i="1"/>
  <c r="A4704" i="1"/>
  <c r="A4703" i="1"/>
  <c r="A4702" i="1"/>
  <c r="A4701" i="1"/>
  <c r="A4700" i="1"/>
  <c r="A4699" i="1"/>
  <c r="A4698" i="1"/>
  <c r="A4697" i="1"/>
  <c r="A4696" i="1"/>
  <c r="A4695" i="1"/>
  <c r="A4694" i="1"/>
  <c r="A4693" i="1"/>
  <c r="A4692" i="1"/>
  <c r="A4691" i="1"/>
  <c r="A4690" i="1"/>
  <c r="A4689" i="1"/>
  <c r="A4688" i="1"/>
  <c r="A4687" i="1"/>
  <c r="A4686" i="1"/>
  <c r="A4685" i="1"/>
  <c r="A4684" i="1"/>
  <c r="A4683" i="1"/>
  <c r="A4682" i="1"/>
  <c r="A4681" i="1"/>
  <c r="A4680" i="1"/>
  <c r="A4679" i="1"/>
  <c r="A4678" i="1"/>
  <c r="A4677" i="1"/>
  <c r="A4676" i="1"/>
  <c r="A4675" i="1"/>
  <c r="A4674" i="1"/>
  <c r="A4673" i="1"/>
  <c r="A4672" i="1"/>
  <c r="A4671" i="1"/>
  <c r="A4670" i="1"/>
  <c r="A4669" i="1"/>
  <c r="A4668" i="1"/>
  <c r="A4667" i="1"/>
  <c r="A4666" i="1"/>
  <c r="A4665" i="1"/>
  <c r="A4664" i="1"/>
  <c r="A4663" i="1"/>
  <c r="A4662" i="1"/>
  <c r="A4661" i="1"/>
  <c r="A4660" i="1"/>
  <c r="A4659" i="1"/>
  <c r="A4658" i="1"/>
  <c r="A4657" i="1"/>
  <c r="A4656" i="1"/>
  <c r="A4655" i="1"/>
  <c r="A4654" i="1"/>
  <c r="A4653" i="1"/>
  <c r="A4652" i="1"/>
  <c r="A4651" i="1"/>
  <c r="A4650" i="1"/>
  <c r="A4649" i="1"/>
  <c r="A4648" i="1"/>
  <c r="A4647" i="1"/>
  <c r="A4646" i="1"/>
  <c r="A4645" i="1"/>
  <c r="A4644" i="1"/>
  <c r="A4643" i="1"/>
  <c r="A4642" i="1"/>
  <c r="A4641" i="1"/>
  <c r="A4640" i="1"/>
  <c r="A4639" i="1"/>
  <c r="A4638" i="1"/>
  <c r="A4637" i="1"/>
  <c r="A4636" i="1"/>
  <c r="A4635" i="1"/>
  <c r="A4634" i="1"/>
  <c r="A4633" i="1"/>
  <c r="A4632" i="1"/>
  <c r="A4631" i="1"/>
  <c r="A4630" i="1"/>
  <c r="A4629" i="1"/>
  <c r="A4628" i="1"/>
  <c r="A4627" i="1"/>
  <c r="A4626" i="1"/>
  <c r="A4625" i="1"/>
  <c r="A4624" i="1"/>
  <c r="A4623" i="1"/>
  <c r="A4622" i="1"/>
  <c r="A4621" i="1"/>
  <c r="A4620" i="1"/>
  <c r="A4619" i="1"/>
  <c r="A4618" i="1"/>
  <c r="A4617" i="1"/>
  <c r="A4616" i="1"/>
  <c r="A4615" i="1"/>
  <c r="A4614" i="1"/>
  <c r="A4613" i="1"/>
  <c r="A4612" i="1"/>
  <c r="A4611" i="1"/>
  <c r="A4610" i="1"/>
  <c r="A4609" i="1"/>
  <c r="A4608" i="1"/>
  <c r="A4607" i="1"/>
  <c r="A4606" i="1"/>
  <c r="A4605" i="1"/>
  <c r="A4604" i="1"/>
  <c r="A4603" i="1"/>
  <c r="A4602" i="1"/>
  <c r="A4601" i="1"/>
  <c r="A4600" i="1"/>
  <c r="A4599" i="1"/>
  <c r="A4598" i="1"/>
  <c r="A4597" i="1"/>
  <c r="A4596" i="1"/>
  <c r="A4595" i="1"/>
  <c r="A4594" i="1"/>
  <c r="A4593" i="1"/>
  <c r="A4592" i="1"/>
  <c r="A4591" i="1"/>
  <c r="A4590" i="1"/>
  <c r="A4589" i="1"/>
  <c r="A4588" i="1"/>
  <c r="A4587" i="1"/>
  <c r="A4586" i="1"/>
  <c r="A4585" i="1"/>
  <c r="A4584" i="1"/>
  <c r="A4583" i="1"/>
  <c r="A4582" i="1"/>
  <c r="A4581" i="1"/>
  <c r="A4580" i="1"/>
  <c r="A4579" i="1"/>
  <c r="A4578" i="1"/>
  <c r="A4577" i="1"/>
  <c r="A4576" i="1"/>
  <c r="A4575" i="1"/>
  <c r="A4574" i="1"/>
  <c r="A4573" i="1"/>
  <c r="A4572" i="1"/>
  <c r="A4571" i="1"/>
  <c r="A4570" i="1"/>
  <c r="A4569" i="1"/>
  <c r="A4568" i="1"/>
  <c r="A4567" i="1"/>
  <c r="A4566" i="1"/>
  <c r="A4565" i="1"/>
  <c r="A4564" i="1"/>
  <c r="A4563" i="1"/>
  <c r="A4562" i="1"/>
  <c r="A4561" i="1"/>
  <c r="A4560" i="1"/>
  <c r="A4559" i="1"/>
  <c r="A4558" i="1"/>
  <c r="A4557" i="1"/>
  <c r="A4556" i="1"/>
  <c r="A4555" i="1"/>
  <c r="A4554" i="1"/>
  <c r="A4553" i="1"/>
  <c r="A4552" i="1"/>
  <c r="A4551" i="1"/>
  <c r="A4550" i="1"/>
  <c r="A4549" i="1"/>
  <c r="A4548" i="1"/>
  <c r="A4547" i="1"/>
  <c r="A4546" i="1"/>
  <c r="A4545" i="1"/>
  <c r="A4544" i="1"/>
  <c r="A4543" i="1"/>
  <c r="A4542" i="1"/>
  <c r="A4541" i="1"/>
  <c r="A4540" i="1"/>
  <c r="A4539" i="1"/>
  <c r="A4538" i="1"/>
  <c r="A4537" i="1"/>
  <c r="A4536" i="1"/>
  <c r="A4535" i="1"/>
  <c r="A4534" i="1"/>
  <c r="A4533" i="1"/>
  <c r="A4532" i="1"/>
  <c r="A4531" i="1"/>
  <c r="A4530" i="1"/>
  <c r="A4529" i="1"/>
  <c r="A4528" i="1"/>
  <c r="A4527" i="1"/>
  <c r="A4526" i="1"/>
  <c r="A4525" i="1"/>
  <c r="A4524" i="1"/>
  <c r="A4523" i="1"/>
  <c r="A4522" i="1"/>
  <c r="A4521" i="1"/>
  <c r="A4520" i="1"/>
  <c r="A4519" i="1"/>
  <c r="A4518" i="1"/>
  <c r="A4517" i="1"/>
  <c r="A4516" i="1"/>
  <c r="A4515" i="1"/>
  <c r="A4514" i="1"/>
  <c r="A4513" i="1"/>
  <c r="A4512" i="1"/>
  <c r="A4511" i="1"/>
  <c r="A4510" i="1"/>
  <c r="A4509" i="1"/>
  <c r="A4508" i="1"/>
  <c r="A4507" i="1"/>
  <c r="A4506" i="1"/>
  <c r="A4505" i="1"/>
  <c r="A4504" i="1"/>
  <c r="A4503" i="1"/>
  <c r="A4502" i="1"/>
  <c r="A4501" i="1"/>
  <c r="A4500" i="1"/>
  <c r="A4499" i="1"/>
  <c r="A4498" i="1"/>
  <c r="A4497" i="1"/>
  <c r="A4496" i="1"/>
  <c r="A4495" i="1"/>
  <c r="A4494" i="1"/>
  <c r="A4493" i="1"/>
  <c r="A4492" i="1"/>
  <c r="A4491" i="1"/>
  <c r="A4490" i="1"/>
  <c r="A4489" i="1"/>
  <c r="A4488" i="1"/>
  <c r="A4487" i="1"/>
  <c r="A4486" i="1"/>
  <c r="A4485" i="1"/>
  <c r="A4484" i="1"/>
  <c r="A4483" i="1"/>
  <c r="A4482" i="1"/>
  <c r="A4481" i="1"/>
  <c r="A4480" i="1"/>
  <c r="A4479" i="1"/>
  <c r="A4478" i="1"/>
  <c r="A4477" i="1"/>
  <c r="A4476" i="1"/>
  <c r="A4475" i="1"/>
  <c r="A4474" i="1"/>
  <c r="A4473" i="1"/>
  <c r="A4472" i="1"/>
  <c r="A4471" i="1"/>
  <c r="A4470" i="1"/>
  <c r="A4469" i="1"/>
  <c r="A4468" i="1"/>
  <c r="A4467" i="1"/>
  <c r="A4466" i="1"/>
  <c r="A4465" i="1"/>
  <c r="A4464" i="1"/>
  <c r="A4463" i="1"/>
  <c r="A4462" i="1"/>
  <c r="A4461" i="1"/>
  <c r="A4460" i="1"/>
  <c r="A4459" i="1"/>
  <c r="A4458" i="1"/>
  <c r="A4457" i="1"/>
  <c r="A4456" i="1"/>
  <c r="A4455" i="1"/>
  <c r="A4454" i="1"/>
  <c r="A4453" i="1"/>
  <c r="A4452" i="1"/>
  <c r="A4451" i="1"/>
  <c r="A4450" i="1"/>
  <c r="A4449" i="1"/>
  <c r="A4448" i="1"/>
  <c r="A4447" i="1"/>
  <c r="A4446" i="1"/>
  <c r="A4445" i="1"/>
  <c r="A4444" i="1"/>
  <c r="A4443" i="1"/>
  <c r="A4442" i="1"/>
  <c r="A4441" i="1"/>
  <c r="A4440" i="1"/>
  <c r="A4439" i="1"/>
  <c r="A4438" i="1"/>
  <c r="A4437" i="1"/>
  <c r="A4436" i="1"/>
  <c r="A4435" i="1"/>
  <c r="A4434" i="1"/>
  <c r="A4433" i="1"/>
  <c r="A4432" i="1"/>
  <c r="A4431" i="1"/>
  <c r="A4430" i="1"/>
  <c r="A4429" i="1"/>
  <c r="A4428" i="1"/>
  <c r="A4427" i="1"/>
  <c r="A4426" i="1"/>
  <c r="A4425" i="1"/>
  <c r="A4424" i="1"/>
  <c r="A4423" i="1"/>
  <c r="A4422" i="1"/>
  <c r="A4421" i="1"/>
  <c r="A4420" i="1"/>
  <c r="A4419" i="1"/>
  <c r="A4418" i="1"/>
  <c r="A4417" i="1"/>
  <c r="A4416" i="1"/>
  <c r="A4415" i="1"/>
  <c r="A4414" i="1"/>
  <c r="A4413" i="1"/>
  <c r="A4412" i="1"/>
  <c r="A4411" i="1"/>
  <c r="A4410" i="1"/>
  <c r="A4409" i="1"/>
  <c r="A4408" i="1"/>
  <c r="A4407" i="1"/>
  <c r="A4406" i="1"/>
  <c r="A4405" i="1"/>
  <c r="A4404" i="1"/>
  <c r="A4403" i="1"/>
  <c r="A4402" i="1"/>
  <c r="A4401" i="1"/>
  <c r="A4400" i="1"/>
  <c r="A4399" i="1"/>
  <c r="A4398" i="1"/>
  <c r="A4397" i="1"/>
  <c r="A4396" i="1"/>
  <c r="A4395" i="1"/>
  <c r="A4394" i="1"/>
  <c r="A4393" i="1"/>
  <c r="A4392" i="1"/>
  <c r="A4391" i="1"/>
  <c r="A4390" i="1"/>
  <c r="A4389" i="1"/>
  <c r="A4388" i="1"/>
  <c r="A4387" i="1"/>
  <c r="A4386" i="1"/>
  <c r="A4385" i="1"/>
  <c r="A4384" i="1"/>
  <c r="A4383" i="1"/>
  <c r="A4382" i="1"/>
  <c r="A4381" i="1"/>
  <c r="A4380" i="1"/>
  <c r="A4379" i="1"/>
  <c r="A4378" i="1"/>
  <c r="A4377" i="1"/>
  <c r="A4376" i="1"/>
  <c r="A4375" i="1"/>
  <c r="A4374" i="1"/>
  <c r="A4373" i="1"/>
  <c r="A4372" i="1"/>
  <c r="A4371" i="1"/>
  <c r="A4370" i="1"/>
  <c r="A4369" i="1"/>
  <c r="A4368" i="1"/>
  <c r="A4367" i="1"/>
  <c r="A4366" i="1"/>
  <c r="A4365" i="1"/>
  <c r="A4364" i="1"/>
  <c r="A4363" i="1"/>
  <c r="A4362" i="1"/>
  <c r="A4361" i="1"/>
  <c r="A4360" i="1"/>
  <c r="A4359" i="1"/>
  <c r="A4358" i="1"/>
  <c r="A4357" i="1"/>
  <c r="A4356" i="1"/>
  <c r="A4355" i="1"/>
  <c r="A4354" i="1"/>
  <c r="A4353" i="1"/>
  <c r="A4352" i="1"/>
  <c r="A4351" i="1"/>
  <c r="A4350" i="1"/>
  <c r="A4349" i="1"/>
  <c r="A4348" i="1"/>
  <c r="A4347" i="1"/>
  <c r="A4346" i="1"/>
  <c r="A4345" i="1"/>
  <c r="A4344" i="1"/>
  <c r="A4343" i="1"/>
  <c r="A4342" i="1"/>
  <c r="A4341" i="1"/>
  <c r="A4340" i="1"/>
  <c r="A4339" i="1"/>
  <c r="A4338" i="1"/>
  <c r="A4337" i="1"/>
  <c r="A4336" i="1"/>
  <c r="A4335" i="1"/>
  <c r="A4334" i="1"/>
  <c r="A4333" i="1"/>
  <c r="A4332" i="1"/>
  <c r="A4331" i="1"/>
  <c r="A4330" i="1"/>
  <c r="A4329" i="1"/>
  <c r="A4328" i="1"/>
  <c r="A4327" i="1"/>
  <c r="A4326" i="1"/>
  <c r="A4325" i="1"/>
  <c r="A4324" i="1"/>
  <c r="A4323" i="1"/>
  <c r="A4322" i="1"/>
  <c r="A4321" i="1"/>
  <c r="A4320" i="1"/>
  <c r="A4319" i="1"/>
  <c r="A4318" i="1"/>
  <c r="A4317" i="1"/>
  <c r="A4316" i="1"/>
  <c r="A4315" i="1"/>
  <c r="A4314" i="1"/>
  <c r="A4313" i="1"/>
  <c r="A4312" i="1"/>
  <c r="A4311" i="1"/>
  <c r="A4310" i="1"/>
  <c r="A4309" i="1"/>
  <c r="A4308" i="1"/>
  <c r="A4307" i="1"/>
  <c r="A4306" i="1"/>
  <c r="A4305" i="1"/>
  <c r="A4304" i="1"/>
  <c r="A4303" i="1"/>
  <c r="A4302" i="1"/>
  <c r="A4301" i="1"/>
  <c r="A4300" i="1"/>
  <c r="A4299" i="1"/>
  <c r="A4298" i="1"/>
  <c r="A4297" i="1"/>
  <c r="A4296" i="1"/>
  <c r="A4295" i="1"/>
  <c r="A4294" i="1"/>
  <c r="A4293" i="1"/>
  <c r="A4292" i="1"/>
  <c r="A4291" i="1"/>
  <c r="A4290" i="1"/>
  <c r="A4289" i="1"/>
  <c r="A4288" i="1"/>
  <c r="A4287" i="1"/>
  <c r="A4286" i="1"/>
  <c r="A4285" i="1"/>
  <c r="A4284" i="1"/>
  <c r="A4283" i="1"/>
  <c r="A4282" i="1"/>
  <c r="A4281" i="1"/>
  <c r="A4280" i="1"/>
  <c r="A4279" i="1"/>
  <c r="A4278" i="1"/>
  <c r="A4277" i="1"/>
  <c r="A4276" i="1"/>
  <c r="A4275" i="1"/>
  <c r="A4274" i="1"/>
  <c r="A4273" i="1"/>
  <c r="A4272" i="1"/>
  <c r="A4271" i="1"/>
  <c r="A4270" i="1"/>
  <c r="A4269" i="1"/>
  <c r="A4268" i="1"/>
  <c r="A4267" i="1"/>
  <c r="A4266" i="1"/>
  <c r="A4265" i="1"/>
  <c r="A4264" i="1"/>
  <c r="A4263" i="1"/>
  <c r="A4262" i="1"/>
  <c r="A4261" i="1"/>
  <c r="A4260" i="1"/>
  <c r="A4259" i="1"/>
  <c r="A4258" i="1"/>
  <c r="A4257" i="1"/>
  <c r="A4256" i="1"/>
  <c r="A4255" i="1"/>
  <c r="A4254" i="1"/>
  <c r="A4253" i="1"/>
  <c r="A4252" i="1"/>
  <c r="A4251" i="1"/>
  <c r="A4250" i="1"/>
  <c r="A4249" i="1"/>
  <c r="A4248" i="1"/>
  <c r="A4247" i="1"/>
  <c r="A4246" i="1"/>
  <c r="A4245" i="1"/>
  <c r="A4244" i="1"/>
  <c r="A4243" i="1"/>
  <c r="A4242" i="1"/>
  <c r="A4241" i="1"/>
  <c r="A4240" i="1"/>
  <c r="A4239" i="1"/>
  <c r="A4238" i="1"/>
  <c r="A4237" i="1"/>
  <c r="A4236" i="1"/>
  <c r="A4235" i="1"/>
  <c r="A4234" i="1"/>
  <c r="A4233" i="1"/>
  <c r="A4232" i="1"/>
  <c r="A4231" i="1"/>
  <c r="A4230" i="1"/>
  <c r="A4229" i="1"/>
  <c r="A4228" i="1"/>
  <c r="A4227" i="1"/>
  <c r="A4226" i="1"/>
  <c r="A4225" i="1"/>
  <c r="A4224" i="1"/>
  <c r="A4223" i="1"/>
  <c r="A4222" i="1"/>
  <c r="A4221" i="1"/>
  <c r="A4220" i="1"/>
  <c r="A4219" i="1"/>
  <c r="A4218" i="1"/>
  <c r="A4217" i="1"/>
  <c r="A4216" i="1"/>
  <c r="A4215" i="1"/>
  <c r="A4214" i="1"/>
  <c r="A4213" i="1"/>
  <c r="A4212" i="1"/>
  <c r="A4211" i="1"/>
  <c r="A4210" i="1"/>
  <c r="A4209" i="1"/>
  <c r="A4208" i="1"/>
  <c r="A4207" i="1"/>
  <c r="A4206" i="1"/>
  <c r="A4205" i="1"/>
  <c r="A4204" i="1"/>
  <c r="A4203" i="1"/>
  <c r="A4202" i="1"/>
  <c r="A4201" i="1"/>
  <c r="A4200" i="1"/>
  <c r="A4199" i="1"/>
  <c r="A4198" i="1"/>
  <c r="A4197" i="1"/>
  <c r="A4196" i="1"/>
  <c r="A4195" i="1"/>
  <c r="A4194" i="1"/>
  <c r="A4193" i="1"/>
  <c r="A4192" i="1"/>
  <c r="A4191" i="1"/>
  <c r="A4190" i="1"/>
  <c r="A4189" i="1"/>
  <c r="A4188" i="1"/>
  <c r="A4187" i="1"/>
  <c r="A4186" i="1"/>
  <c r="A4185" i="1"/>
  <c r="A4184" i="1"/>
  <c r="A4183" i="1"/>
  <c r="A4182" i="1"/>
  <c r="A4181" i="1"/>
  <c r="A4180" i="1"/>
  <c r="A4179" i="1"/>
  <c r="A4178" i="1"/>
  <c r="A4177" i="1"/>
  <c r="A4176" i="1"/>
  <c r="A4175" i="1"/>
  <c r="A4174" i="1"/>
  <c r="A4173" i="1"/>
  <c r="A4172" i="1"/>
  <c r="A4171" i="1"/>
  <c r="A4170" i="1"/>
  <c r="A4169" i="1"/>
  <c r="A4168" i="1"/>
  <c r="A4167" i="1"/>
  <c r="A4166" i="1"/>
  <c r="A4165" i="1"/>
  <c r="A4164" i="1"/>
  <c r="A4163" i="1"/>
  <c r="A4162" i="1"/>
  <c r="A4161" i="1"/>
  <c r="A4160" i="1"/>
  <c r="A4159" i="1"/>
  <c r="A4158" i="1"/>
  <c r="A4157" i="1"/>
  <c r="A4156" i="1"/>
  <c r="A4155" i="1"/>
  <c r="A4154" i="1"/>
  <c r="A4153" i="1"/>
  <c r="A4152" i="1"/>
  <c r="A4151" i="1"/>
  <c r="A4150" i="1"/>
  <c r="A4149" i="1"/>
  <c r="A4148" i="1"/>
  <c r="A4147" i="1"/>
  <c r="A4146" i="1"/>
  <c r="A4145" i="1"/>
  <c r="A4144" i="1"/>
  <c r="A4143" i="1"/>
  <c r="A4142" i="1"/>
  <c r="A4141" i="1"/>
  <c r="A4140" i="1"/>
  <c r="A4139" i="1"/>
  <c r="A4138" i="1"/>
  <c r="A4137" i="1"/>
  <c r="A4136" i="1"/>
  <c r="A4135" i="1"/>
  <c r="A4134" i="1"/>
  <c r="A4133" i="1"/>
  <c r="A4132" i="1"/>
  <c r="A4131" i="1"/>
  <c r="A4130" i="1"/>
  <c r="A4129" i="1"/>
  <c r="A4128" i="1"/>
  <c r="A4127" i="1"/>
  <c r="A4126" i="1"/>
  <c r="A4125" i="1"/>
  <c r="A4124" i="1"/>
  <c r="A4123" i="1"/>
  <c r="A4122" i="1"/>
  <c r="A4121" i="1"/>
  <c r="A4120" i="1"/>
  <c r="A4119" i="1"/>
  <c r="A4118" i="1"/>
  <c r="A4117" i="1"/>
  <c r="A4116" i="1"/>
  <c r="A4115" i="1"/>
  <c r="A4114" i="1"/>
  <c r="A4113" i="1"/>
  <c r="A4112" i="1"/>
  <c r="A4111" i="1"/>
  <c r="A4110" i="1"/>
  <c r="A4109" i="1"/>
  <c r="A4108" i="1"/>
  <c r="A4107" i="1"/>
  <c r="A4106" i="1"/>
  <c r="A4105" i="1"/>
  <c r="A4104" i="1"/>
  <c r="A4103" i="1"/>
  <c r="A4102" i="1"/>
  <c r="A4101" i="1"/>
  <c r="A4100" i="1"/>
  <c r="A4099" i="1"/>
  <c r="A4098" i="1"/>
  <c r="A4097" i="1"/>
  <c r="A4096" i="1"/>
  <c r="A4095" i="1"/>
  <c r="A4094" i="1"/>
  <c r="A4093" i="1"/>
  <c r="A4092" i="1"/>
  <c r="A4091" i="1"/>
  <c r="A4090" i="1"/>
  <c r="A4089" i="1"/>
  <c r="A4088" i="1"/>
  <c r="A4087" i="1"/>
  <c r="A4086" i="1"/>
  <c r="A4085" i="1"/>
  <c r="A4084" i="1"/>
  <c r="A4083" i="1"/>
  <c r="A4082" i="1"/>
  <c r="A4081" i="1"/>
  <c r="A4080" i="1"/>
  <c r="A4079" i="1"/>
  <c r="A4078" i="1"/>
  <c r="A4077" i="1"/>
  <c r="A4076" i="1"/>
  <c r="A4075" i="1"/>
  <c r="A4074" i="1"/>
  <c r="A4073" i="1"/>
  <c r="A4072" i="1"/>
  <c r="A4071" i="1"/>
  <c r="A4070" i="1"/>
  <c r="A4069" i="1"/>
  <c r="A4068" i="1"/>
  <c r="A4067" i="1"/>
  <c r="A4066" i="1"/>
  <c r="A4065" i="1"/>
  <c r="A4064" i="1"/>
  <c r="A4063" i="1"/>
  <c r="A4062" i="1"/>
  <c r="A4061" i="1"/>
  <c r="A4060" i="1"/>
  <c r="A4059" i="1"/>
  <c r="A4058" i="1"/>
  <c r="A4057" i="1"/>
  <c r="A4056" i="1"/>
  <c r="A4055" i="1"/>
  <c r="A4054" i="1"/>
  <c r="A4053" i="1"/>
  <c r="A4052" i="1"/>
  <c r="A4051" i="1"/>
  <c r="A4050" i="1"/>
  <c r="A4049" i="1"/>
  <c r="A4048" i="1"/>
  <c r="A4047" i="1"/>
  <c r="A4046" i="1"/>
  <c r="A4045" i="1"/>
  <c r="A4044" i="1"/>
  <c r="A4043" i="1"/>
  <c r="A4042" i="1"/>
  <c r="A4041" i="1"/>
  <c r="A4040" i="1"/>
  <c r="A4039" i="1"/>
  <c r="A4038" i="1"/>
  <c r="A4037" i="1"/>
  <c r="A4036" i="1"/>
  <c r="A4035" i="1"/>
  <c r="A4034" i="1"/>
  <c r="A4033" i="1"/>
  <c r="A4032" i="1"/>
  <c r="A4031" i="1"/>
  <c r="A4030" i="1"/>
  <c r="A4029" i="1"/>
  <c r="A4028" i="1"/>
  <c r="A4027" i="1"/>
  <c r="A4026" i="1"/>
  <c r="A4025" i="1"/>
  <c r="A4024" i="1"/>
  <c r="A4023" i="1"/>
  <c r="A4022" i="1"/>
  <c r="A4021" i="1"/>
  <c r="A4020" i="1"/>
  <c r="A4019" i="1"/>
  <c r="A4018" i="1"/>
  <c r="A4017" i="1"/>
  <c r="A4016" i="1"/>
  <c r="A4015" i="1"/>
  <c r="A4014" i="1"/>
  <c r="A4013" i="1"/>
  <c r="A4012" i="1"/>
  <c r="A4011" i="1"/>
  <c r="A4010" i="1"/>
  <c r="A4009" i="1"/>
  <c r="A4008" i="1"/>
  <c r="A4007" i="1"/>
  <c r="A4006" i="1"/>
  <c r="A4005" i="1"/>
  <c r="A4004" i="1"/>
  <c r="A4003" i="1"/>
  <c r="A4002" i="1"/>
  <c r="A4001" i="1"/>
  <c r="A4000" i="1"/>
  <c r="A3999" i="1"/>
  <c r="A3998" i="1"/>
  <c r="A3997" i="1"/>
  <c r="A3996" i="1"/>
  <c r="A3995" i="1"/>
  <c r="A3994" i="1"/>
  <c r="A3993" i="1"/>
  <c r="A3992" i="1"/>
  <c r="A3991" i="1"/>
  <c r="A3990" i="1"/>
  <c r="A3989" i="1"/>
  <c r="A3988" i="1"/>
  <c r="A3987" i="1"/>
  <c r="A3986" i="1"/>
  <c r="A3985" i="1"/>
  <c r="A3984" i="1"/>
  <c r="A3983" i="1"/>
  <c r="A3982" i="1"/>
  <c r="A3981" i="1"/>
  <c r="A3980" i="1"/>
  <c r="A3979" i="1"/>
  <c r="A3978" i="1"/>
  <c r="A3977" i="1"/>
  <c r="A3976" i="1"/>
  <c r="A3975" i="1"/>
  <c r="A3974" i="1"/>
  <c r="A3973" i="1"/>
  <c r="A3972" i="1"/>
  <c r="A3971" i="1"/>
  <c r="A3970" i="1"/>
  <c r="A3969" i="1"/>
  <c r="A3968" i="1"/>
  <c r="A3967" i="1"/>
  <c r="A3966" i="1"/>
  <c r="A3965" i="1"/>
  <c r="A3964" i="1"/>
  <c r="A3963" i="1"/>
  <c r="A3962" i="1"/>
  <c r="A3961" i="1"/>
  <c r="A3960" i="1"/>
  <c r="A3959" i="1"/>
  <c r="A3958" i="1"/>
  <c r="A3957" i="1"/>
  <c r="A3956" i="1"/>
  <c r="A3955" i="1"/>
  <c r="A3954" i="1"/>
  <c r="A3953" i="1"/>
  <c r="A3952" i="1"/>
  <c r="A3951" i="1"/>
  <c r="A3950" i="1"/>
  <c r="A3949" i="1"/>
  <c r="A3948" i="1"/>
  <c r="A3947" i="1"/>
  <c r="A3946" i="1"/>
  <c r="A3945" i="1"/>
  <c r="A3944" i="1"/>
  <c r="A3943" i="1"/>
  <c r="A3942" i="1"/>
  <c r="A3941" i="1"/>
  <c r="A3940" i="1"/>
  <c r="A3939" i="1"/>
  <c r="A3938" i="1"/>
  <c r="A3937" i="1"/>
  <c r="A3936" i="1"/>
  <c r="A3935" i="1"/>
  <c r="A3934" i="1"/>
  <c r="A3933" i="1"/>
  <c r="A3932" i="1"/>
  <c r="A3931" i="1"/>
  <c r="A3930" i="1"/>
  <c r="A3929" i="1"/>
  <c r="A3928" i="1"/>
  <c r="A3927" i="1"/>
  <c r="A3926" i="1"/>
  <c r="A3925" i="1"/>
  <c r="A3924" i="1"/>
  <c r="A3923" i="1"/>
  <c r="A3922" i="1"/>
  <c r="A3921" i="1"/>
  <c r="A3920" i="1"/>
  <c r="A3919" i="1"/>
  <c r="A3918" i="1"/>
  <c r="A3917" i="1"/>
  <c r="A3916" i="1"/>
  <c r="A3915" i="1"/>
  <c r="A3914" i="1"/>
  <c r="A3913" i="1"/>
  <c r="A3912" i="1"/>
  <c r="A3911" i="1"/>
  <c r="A3910" i="1"/>
  <c r="A3909" i="1"/>
  <c r="A3908" i="1"/>
  <c r="A3907" i="1"/>
  <c r="A3906" i="1"/>
  <c r="A3905" i="1"/>
  <c r="A3904" i="1"/>
  <c r="A3903" i="1"/>
  <c r="A3902" i="1"/>
  <c r="A3901" i="1"/>
  <c r="A3900" i="1"/>
  <c r="A3899" i="1"/>
  <c r="A3898" i="1"/>
  <c r="A3897" i="1"/>
  <c r="A3896" i="1"/>
  <c r="A3895" i="1"/>
  <c r="A3894" i="1"/>
  <c r="A3893" i="1"/>
  <c r="A3892" i="1"/>
  <c r="A3891" i="1"/>
  <c r="A3890" i="1"/>
  <c r="A3889" i="1"/>
  <c r="A3888" i="1"/>
  <c r="A3887" i="1"/>
  <c r="A3886" i="1"/>
  <c r="A3885" i="1"/>
  <c r="A3884" i="1"/>
  <c r="A3883" i="1"/>
  <c r="A3882" i="1"/>
  <c r="A3881" i="1"/>
  <c r="A3880" i="1"/>
  <c r="A3879" i="1"/>
  <c r="A3878" i="1"/>
  <c r="A3877" i="1"/>
  <c r="A3876" i="1"/>
  <c r="A3875" i="1"/>
  <c r="A3874" i="1"/>
  <c r="A3873" i="1"/>
  <c r="A3872" i="1"/>
  <c r="A3871" i="1"/>
  <c r="A3870" i="1"/>
  <c r="A3869" i="1"/>
  <c r="A3868" i="1"/>
  <c r="A3867" i="1"/>
  <c r="A3866" i="1"/>
  <c r="A3865" i="1"/>
  <c r="A3864" i="1"/>
  <c r="A3863" i="1"/>
  <c r="A3862" i="1"/>
  <c r="A3861" i="1"/>
  <c r="A3860" i="1"/>
  <c r="A3859" i="1"/>
  <c r="A3858" i="1"/>
  <c r="A3857" i="1"/>
  <c r="A3856" i="1"/>
  <c r="A3855" i="1"/>
  <c r="A3854" i="1"/>
  <c r="A3853" i="1"/>
  <c r="A3852" i="1"/>
  <c r="A3851" i="1"/>
  <c r="A3850" i="1"/>
  <c r="A3849" i="1"/>
  <c r="A3848" i="1"/>
  <c r="A3847" i="1"/>
  <c r="A3846" i="1"/>
  <c r="A3845" i="1"/>
  <c r="A3844" i="1"/>
  <c r="A3843" i="1"/>
  <c r="A3842" i="1"/>
  <c r="A3841" i="1"/>
  <c r="A3840" i="1"/>
  <c r="A3839" i="1"/>
  <c r="A3838" i="1"/>
  <c r="A3837" i="1"/>
  <c r="A3836" i="1"/>
  <c r="A3835" i="1"/>
  <c r="A3834" i="1"/>
  <c r="A3833" i="1"/>
  <c r="A3832" i="1"/>
  <c r="A3831" i="1"/>
  <c r="A3830" i="1"/>
  <c r="A3829" i="1"/>
  <c r="A3828" i="1"/>
  <c r="A3827" i="1"/>
  <c r="A3826" i="1"/>
  <c r="A3825" i="1"/>
  <c r="A3824" i="1"/>
  <c r="A3823" i="1"/>
  <c r="A3822" i="1"/>
  <c r="A3821" i="1"/>
  <c r="A3820" i="1"/>
  <c r="A3819" i="1"/>
  <c r="A3818" i="1"/>
  <c r="A3817" i="1"/>
  <c r="A3816" i="1"/>
  <c r="A3815" i="1"/>
  <c r="A3814" i="1"/>
  <c r="A3813" i="1"/>
  <c r="A3812" i="1"/>
  <c r="A3811" i="1"/>
  <c r="A3810" i="1"/>
  <c r="A3809" i="1"/>
  <c r="A3808" i="1"/>
  <c r="A3807" i="1"/>
  <c r="A3806" i="1"/>
  <c r="A3805" i="1"/>
  <c r="A3804" i="1"/>
  <c r="A3803" i="1"/>
  <c r="A3802" i="1"/>
  <c r="A3801" i="1"/>
  <c r="A3800" i="1"/>
  <c r="A3799" i="1"/>
  <c r="A3798" i="1"/>
  <c r="A3797" i="1"/>
  <c r="A3796" i="1"/>
  <c r="A3795" i="1"/>
  <c r="A3794" i="1"/>
  <c r="A3793" i="1"/>
  <c r="A3792" i="1"/>
  <c r="A3791" i="1"/>
  <c r="A3790" i="1"/>
  <c r="A3789" i="1"/>
  <c r="A3788" i="1"/>
  <c r="A3787" i="1"/>
  <c r="A3786" i="1"/>
  <c r="A3785" i="1"/>
  <c r="A3784" i="1"/>
  <c r="A3783" i="1"/>
  <c r="A3782" i="1"/>
  <c r="A3781" i="1"/>
  <c r="A3780" i="1"/>
  <c r="A3779" i="1"/>
  <c r="A3778" i="1"/>
  <c r="A3777" i="1"/>
  <c r="A3776" i="1"/>
  <c r="A3775" i="1"/>
  <c r="A3774" i="1"/>
  <c r="A3773" i="1"/>
  <c r="A3772" i="1"/>
  <c r="A3771" i="1"/>
  <c r="A3770" i="1"/>
  <c r="A3769" i="1"/>
  <c r="A3768" i="1"/>
  <c r="A3767" i="1"/>
  <c r="A3766" i="1"/>
  <c r="A3765" i="1"/>
  <c r="A3764" i="1"/>
  <c r="A3763" i="1"/>
  <c r="A3762" i="1"/>
  <c r="A3761" i="1"/>
  <c r="A3760" i="1"/>
  <c r="A3759" i="1"/>
  <c r="A3758" i="1"/>
  <c r="A3757" i="1"/>
  <c r="A3756" i="1"/>
  <c r="A3755" i="1"/>
  <c r="A3754" i="1"/>
  <c r="A3753" i="1"/>
  <c r="A3752" i="1"/>
  <c r="A3751" i="1"/>
  <c r="A3750" i="1"/>
  <c r="A3749" i="1"/>
  <c r="A3748" i="1"/>
  <c r="A3747" i="1"/>
  <c r="A3746" i="1"/>
  <c r="A3745" i="1"/>
  <c r="A3744" i="1"/>
  <c r="A3743" i="1"/>
  <c r="A3742" i="1"/>
  <c r="A3741" i="1"/>
  <c r="A3740" i="1"/>
  <c r="A3739" i="1"/>
  <c r="A3738" i="1"/>
  <c r="A3737" i="1"/>
  <c r="A3736" i="1"/>
  <c r="A3735" i="1"/>
  <c r="A3734" i="1"/>
  <c r="A3733" i="1"/>
  <c r="A3732" i="1"/>
  <c r="A3731" i="1"/>
  <c r="A3730" i="1"/>
  <c r="A3729" i="1"/>
  <c r="A3728" i="1"/>
  <c r="A3727" i="1"/>
  <c r="A3726" i="1"/>
  <c r="A3725" i="1"/>
  <c r="A3724" i="1"/>
  <c r="A3723" i="1"/>
  <c r="A3722" i="1"/>
  <c r="A3721" i="1"/>
  <c r="A3720" i="1"/>
  <c r="A3719" i="1"/>
  <c r="A3718" i="1"/>
  <c r="A3717" i="1"/>
  <c r="A3716" i="1"/>
  <c r="A3715" i="1"/>
  <c r="A3714" i="1"/>
  <c r="A3713" i="1"/>
  <c r="A3712" i="1"/>
  <c r="A3711" i="1"/>
  <c r="A3710" i="1"/>
  <c r="A3709" i="1"/>
  <c r="A3708" i="1"/>
  <c r="A3707" i="1"/>
  <c r="A3706" i="1"/>
  <c r="A3705" i="1"/>
  <c r="A3704" i="1"/>
  <c r="A3703" i="1"/>
  <c r="A3702" i="1"/>
  <c r="A3701" i="1"/>
  <c r="A3700" i="1"/>
  <c r="A3699" i="1"/>
  <c r="A3698" i="1"/>
  <c r="A3697" i="1"/>
  <c r="A3696" i="1"/>
  <c r="A3695" i="1"/>
  <c r="A3694" i="1"/>
  <c r="A3693" i="1"/>
  <c r="A3692" i="1"/>
  <c r="A3691" i="1"/>
  <c r="A3690" i="1"/>
  <c r="A3689" i="1"/>
  <c r="A3688" i="1"/>
  <c r="A3687" i="1"/>
  <c r="A3686" i="1"/>
  <c r="A3685" i="1"/>
  <c r="A3684" i="1"/>
  <c r="A3683" i="1"/>
  <c r="A3682" i="1"/>
  <c r="A3681" i="1"/>
  <c r="A3680" i="1"/>
  <c r="A3679" i="1"/>
  <c r="A3678" i="1"/>
  <c r="A3677" i="1"/>
  <c r="A3676" i="1"/>
  <c r="A3675" i="1"/>
  <c r="A3674" i="1"/>
  <c r="A3673" i="1"/>
  <c r="A3672" i="1"/>
  <c r="A3671" i="1"/>
  <c r="A3670" i="1"/>
  <c r="A3669" i="1"/>
  <c r="A3668" i="1"/>
  <c r="A3667" i="1"/>
  <c r="A3666" i="1"/>
  <c r="A3665" i="1"/>
  <c r="A3664" i="1"/>
  <c r="A3663" i="1"/>
  <c r="A3662" i="1"/>
  <c r="A3661" i="1"/>
  <c r="A3660" i="1"/>
  <c r="A3659" i="1"/>
  <c r="A3658" i="1"/>
  <c r="A3657" i="1"/>
  <c r="A3656" i="1"/>
  <c r="A3655" i="1"/>
  <c r="A3654" i="1"/>
  <c r="A3653" i="1"/>
  <c r="A3652" i="1"/>
  <c r="A3651" i="1"/>
  <c r="A3650" i="1"/>
  <c r="A3649" i="1"/>
  <c r="A3648" i="1"/>
  <c r="A3647" i="1"/>
  <c r="A3646" i="1"/>
  <c r="A3645" i="1"/>
  <c r="A3644" i="1"/>
  <c r="A3643" i="1"/>
  <c r="A3642" i="1"/>
  <c r="A3641" i="1"/>
  <c r="A3640" i="1"/>
  <c r="A3639" i="1"/>
  <c r="A3638" i="1"/>
  <c r="A3637" i="1"/>
  <c r="A3636" i="1"/>
  <c r="A3635" i="1"/>
  <c r="A3634" i="1"/>
  <c r="A3633" i="1"/>
  <c r="A3632" i="1"/>
  <c r="A3631" i="1"/>
  <c r="A3630" i="1"/>
  <c r="A3629" i="1"/>
  <c r="A3628" i="1"/>
  <c r="A3627" i="1"/>
  <c r="A3626" i="1"/>
  <c r="A3625" i="1"/>
  <c r="A3624" i="1"/>
  <c r="A3623" i="1"/>
  <c r="A3622" i="1"/>
  <c r="A3621" i="1"/>
  <c r="A3620" i="1"/>
  <c r="A3619" i="1"/>
  <c r="A3618" i="1"/>
  <c r="A3617" i="1"/>
  <c r="A3616" i="1"/>
  <c r="A3615" i="1"/>
  <c r="A3614" i="1"/>
  <c r="A3613" i="1"/>
  <c r="A3612" i="1"/>
  <c r="A3611" i="1"/>
  <c r="A3610" i="1"/>
  <c r="A3609" i="1"/>
  <c r="A3608" i="1"/>
  <c r="A3607" i="1"/>
  <c r="A3606" i="1"/>
  <c r="A3605" i="1"/>
  <c r="A3604" i="1"/>
  <c r="A3603" i="1"/>
  <c r="A3602" i="1"/>
  <c r="A3601" i="1"/>
  <c r="A3600" i="1"/>
  <c r="A3599" i="1"/>
  <c r="A3598" i="1"/>
  <c r="A3597" i="1"/>
  <c r="A3596" i="1"/>
  <c r="A3595" i="1"/>
  <c r="A3594" i="1"/>
  <c r="A3593" i="1"/>
  <c r="A3592" i="1"/>
  <c r="A3591" i="1"/>
  <c r="A3590" i="1"/>
  <c r="A3589" i="1"/>
  <c r="A3588" i="1"/>
  <c r="A3587" i="1"/>
  <c r="A3586" i="1"/>
  <c r="A3585" i="1"/>
  <c r="A3584" i="1"/>
  <c r="A3583" i="1"/>
  <c r="A3582" i="1"/>
  <c r="A3581" i="1"/>
  <c r="A3580" i="1"/>
  <c r="A3579" i="1"/>
  <c r="A3578" i="1"/>
  <c r="A3577" i="1"/>
  <c r="A3576" i="1"/>
  <c r="A3575" i="1"/>
  <c r="A3574" i="1"/>
  <c r="A3573" i="1"/>
  <c r="A3572" i="1"/>
  <c r="A3571" i="1"/>
  <c r="A3570" i="1"/>
  <c r="A3569" i="1"/>
  <c r="A3568" i="1"/>
  <c r="A3567" i="1"/>
  <c r="A3566" i="1"/>
  <c r="A3565" i="1"/>
  <c r="A3564" i="1"/>
  <c r="A3563" i="1"/>
  <c r="A3562" i="1"/>
  <c r="A3561" i="1"/>
  <c r="A3560" i="1"/>
  <c r="A3559" i="1"/>
  <c r="A3558" i="1"/>
  <c r="A3557" i="1"/>
  <c r="A3556" i="1"/>
  <c r="A3555" i="1"/>
  <c r="A3554" i="1"/>
  <c r="A3553" i="1"/>
  <c r="A3552" i="1"/>
  <c r="A3551" i="1"/>
  <c r="A3550" i="1"/>
  <c r="A3549" i="1"/>
  <c r="A3548" i="1"/>
  <c r="A3547" i="1"/>
  <c r="A3546" i="1"/>
  <c r="A3545" i="1"/>
  <c r="A3544" i="1"/>
  <c r="A3543" i="1"/>
  <c r="A3542" i="1"/>
  <c r="A3541" i="1"/>
  <c r="A3540" i="1"/>
  <c r="A3539" i="1"/>
  <c r="A3538" i="1"/>
  <c r="A3537" i="1"/>
  <c r="A3536" i="1"/>
  <c r="A3535" i="1"/>
  <c r="A3534" i="1"/>
  <c r="A3533" i="1"/>
  <c r="A3532" i="1"/>
  <c r="A3531" i="1"/>
  <c r="A3530" i="1"/>
  <c r="A3529" i="1"/>
  <c r="A3528" i="1"/>
  <c r="A3527" i="1"/>
  <c r="A3526" i="1"/>
  <c r="A3525" i="1"/>
  <c r="A3524" i="1"/>
  <c r="A3523" i="1"/>
  <c r="A3522" i="1"/>
  <c r="A3521" i="1"/>
  <c r="A3520" i="1"/>
  <c r="A3519" i="1"/>
  <c r="A3518" i="1"/>
  <c r="A3517" i="1"/>
  <c r="A3516" i="1"/>
  <c r="A3515" i="1"/>
  <c r="A3514" i="1"/>
  <c r="A3513" i="1"/>
  <c r="A3512" i="1"/>
  <c r="A3511" i="1"/>
  <c r="A3510" i="1"/>
  <c r="A3509" i="1"/>
  <c r="A3508" i="1"/>
  <c r="A3507" i="1"/>
  <c r="A3506" i="1"/>
  <c r="A3505" i="1"/>
  <c r="A3504" i="1"/>
  <c r="A3503" i="1"/>
  <c r="A3502" i="1"/>
  <c r="A3501" i="1"/>
  <c r="A3500" i="1"/>
  <c r="A3499" i="1"/>
  <c r="A3498" i="1"/>
  <c r="A3497" i="1"/>
  <c r="A3496" i="1"/>
  <c r="A3495" i="1"/>
  <c r="A3494" i="1"/>
  <c r="A3493" i="1"/>
  <c r="A3492" i="1"/>
  <c r="A3491" i="1"/>
  <c r="A3490" i="1"/>
  <c r="A3489" i="1"/>
  <c r="A3488" i="1"/>
  <c r="A3487" i="1"/>
  <c r="A3486" i="1"/>
  <c r="A3485" i="1"/>
  <c r="A3484" i="1"/>
  <c r="A3483" i="1"/>
  <c r="A3482" i="1"/>
  <c r="A3481" i="1"/>
  <c r="A3480" i="1"/>
  <c r="A3479" i="1"/>
  <c r="A3478" i="1"/>
  <c r="A3477" i="1"/>
  <c r="A3476" i="1"/>
  <c r="A3475" i="1"/>
  <c r="A3474" i="1"/>
  <c r="A3473" i="1"/>
  <c r="A3472" i="1"/>
  <c r="A3471" i="1"/>
  <c r="A3470" i="1"/>
  <c r="A3469" i="1"/>
  <c r="A3468" i="1"/>
  <c r="A3467" i="1"/>
  <c r="A3466" i="1"/>
  <c r="A3465" i="1"/>
  <c r="A3464" i="1"/>
  <c r="A3463" i="1"/>
  <c r="A3462" i="1"/>
  <c r="A3461" i="1"/>
  <c r="A3460" i="1"/>
  <c r="A3459" i="1"/>
  <c r="A3458" i="1"/>
  <c r="A3457" i="1"/>
  <c r="A3456" i="1"/>
  <c r="A3455" i="1"/>
  <c r="A3454" i="1"/>
  <c r="A3453" i="1"/>
  <c r="A3452" i="1"/>
  <c r="A3451" i="1"/>
  <c r="A3450" i="1"/>
  <c r="A3449" i="1"/>
  <c r="A3448" i="1"/>
  <c r="A3447" i="1"/>
  <c r="A3446" i="1"/>
  <c r="A3445" i="1"/>
  <c r="A3444" i="1"/>
  <c r="A3443" i="1"/>
  <c r="A3442" i="1"/>
  <c r="A3441" i="1"/>
  <c r="A3440" i="1"/>
  <c r="A3439" i="1"/>
  <c r="A3438" i="1"/>
  <c r="A3437" i="1"/>
  <c r="A3436" i="1"/>
  <c r="A3435" i="1"/>
  <c r="A3434" i="1"/>
  <c r="A3433" i="1"/>
  <c r="A3432" i="1"/>
  <c r="A3431" i="1"/>
  <c r="A3430" i="1"/>
  <c r="A3429" i="1"/>
  <c r="A3428" i="1"/>
  <c r="A3427" i="1"/>
  <c r="A3426" i="1"/>
  <c r="A3425" i="1"/>
  <c r="A3424" i="1"/>
  <c r="A3423" i="1"/>
  <c r="A3422" i="1"/>
  <c r="A3421" i="1"/>
  <c r="A3420" i="1"/>
  <c r="A3419" i="1"/>
  <c r="A3418" i="1"/>
  <c r="A3417" i="1"/>
  <c r="A3416" i="1"/>
  <c r="A3415" i="1"/>
  <c r="A3414" i="1"/>
  <c r="A3413" i="1"/>
  <c r="A3412" i="1"/>
  <c r="A3411" i="1"/>
  <c r="A3410" i="1"/>
  <c r="A3409" i="1"/>
  <c r="A3408" i="1"/>
  <c r="A3407" i="1"/>
  <c r="A3406" i="1"/>
  <c r="A3405" i="1"/>
  <c r="A3404" i="1"/>
  <c r="A3403" i="1"/>
  <c r="A3402" i="1"/>
  <c r="A3401" i="1"/>
  <c r="A3400" i="1"/>
  <c r="A3399" i="1"/>
  <c r="A3398" i="1"/>
  <c r="A3397" i="1"/>
  <c r="A3396" i="1"/>
  <c r="A3395" i="1"/>
  <c r="A3394" i="1"/>
  <c r="A3393" i="1"/>
  <c r="A3392" i="1"/>
  <c r="A3391" i="1"/>
  <c r="A3390" i="1"/>
  <c r="A3389" i="1"/>
  <c r="A3388" i="1"/>
  <c r="A3387" i="1"/>
  <c r="A3386" i="1"/>
  <c r="A3385" i="1"/>
  <c r="A3384" i="1"/>
  <c r="A3383" i="1"/>
  <c r="A3382" i="1"/>
  <c r="A3381" i="1"/>
  <c r="A3380" i="1"/>
  <c r="A3379" i="1"/>
  <c r="A3378" i="1"/>
  <c r="A3377" i="1"/>
  <c r="A3376" i="1"/>
  <c r="A3375" i="1"/>
  <c r="A3374" i="1"/>
  <c r="A3373" i="1"/>
  <c r="A3372" i="1"/>
  <c r="A3371" i="1"/>
  <c r="A3370" i="1"/>
  <c r="A3369" i="1"/>
  <c r="A3368" i="1"/>
  <c r="A3367" i="1"/>
  <c r="A3366" i="1"/>
  <c r="A3365" i="1"/>
  <c r="A3364" i="1"/>
  <c r="A3363" i="1"/>
  <c r="A3362" i="1"/>
  <c r="A3361" i="1"/>
  <c r="A3360" i="1"/>
  <c r="A3359" i="1"/>
  <c r="A3358" i="1"/>
  <c r="A3357" i="1"/>
  <c r="A3356" i="1"/>
  <c r="A3355" i="1"/>
  <c r="A3354" i="1"/>
  <c r="A3353" i="1"/>
  <c r="A3352" i="1"/>
  <c r="A3351" i="1"/>
  <c r="A3350" i="1"/>
  <c r="A3349" i="1"/>
  <c r="A3348" i="1"/>
  <c r="A3347" i="1"/>
  <c r="A3346" i="1"/>
  <c r="A3345" i="1"/>
  <c r="A3344" i="1"/>
  <c r="A3343" i="1"/>
  <c r="A3342" i="1"/>
  <c r="A3341" i="1"/>
  <c r="A3340" i="1"/>
  <c r="A3339" i="1"/>
  <c r="A3338" i="1"/>
  <c r="A3337" i="1"/>
  <c r="A3336" i="1"/>
  <c r="A3335" i="1"/>
  <c r="A3334" i="1"/>
  <c r="A3333" i="1"/>
  <c r="A3332" i="1"/>
  <c r="A3331" i="1"/>
  <c r="A3330" i="1"/>
  <c r="A3329" i="1"/>
  <c r="A3328" i="1"/>
  <c r="A3327" i="1"/>
  <c r="A3326" i="1"/>
  <c r="A3325" i="1"/>
  <c r="A3324" i="1"/>
  <c r="A3323" i="1"/>
  <c r="A3322" i="1"/>
  <c r="A3321" i="1"/>
  <c r="A3320" i="1"/>
  <c r="A3319" i="1"/>
  <c r="A3318" i="1"/>
  <c r="A3317" i="1"/>
  <c r="A3316" i="1"/>
  <c r="A3315" i="1"/>
  <c r="A3314" i="1"/>
  <c r="A3313" i="1"/>
  <c r="A3312" i="1"/>
  <c r="A3311" i="1"/>
  <c r="A3310" i="1"/>
  <c r="A3309" i="1"/>
  <c r="A3308" i="1"/>
  <c r="A3307" i="1"/>
  <c r="A3306" i="1"/>
  <c r="A3305" i="1"/>
  <c r="A3304" i="1"/>
  <c r="A3303" i="1"/>
  <c r="A3302" i="1"/>
  <c r="A3301" i="1"/>
  <c r="A3300" i="1"/>
  <c r="A3299" i="1"/>
  <c r="A3298" i="1"/>
  <c r="A3297" i="1"/>
  <c r="A3296" i="1"/>
  <c r="A3295" i="1"/>
  <c r="A3294" i="1"/>
  <c r="A3293" i="1"/>
  <c r="A3292" i="1"/>
  <c r="A3291" i="1"/>
  <c r="A3290" i="1"/>
  <c r="A3289" i="1"/>
  <c r="A3288" i="1"/>
  <c r="A3287" i="1"/>
  <c r="A3286" i="1"/>
  <c r="A3285" i="1"/>
  <c r="A3284" i="1"/>
  <c r="A3283" i="1"/>
  <c r="A3282" i="1"/>
  <c r="A3281" i="1"/>
  <c r="A3280" i="1"/>
  <c r="A3279" i="1"/>
  <c r="A3278" i="1"/>
  <c r="A3277" i="1"/>
  <c r="A3276" i="1"/>
  <c r="A3275" i="1"/>
  <c r="A3274" i="1"/>
  <c r="A3273" i="1"/>
  <c r="A3272" i="1"/>
  <c r="A3271" i="1"/>
  <c r="A3270" i="1"/>
  <c r="A3269" i="1"/>
  <c r="A3268" i="1"/>
  <c r="A3267" i="1"/>
  <c r="A3266" i="1"/>
  <c r="A3265" i="1"/>
  <c r="A3264" i="1"/>
  <c r="A3263" i="1"/>
  <c r="A3262" i="1"/>
  <c r="A3261" i="1"/>
  <c r="A3260" i="1"/>
  <c r="A3259" i="1"/>
  <c r="A3258" i="1"/>
  <c r="A3257" i="1"/>
  <c r="A3256" i="1"/>
  <c r="A3255" i="1"/>
  <c r="A3254" i="1"/>
  <c r="A3253" i="1"/>
  <c r="A3252" i="1"/>
  <c r="A3251" i="1"/>
  <c r="A3250" i="1"/>
  <c r="A3249" i="1"/>
  <c r="A3248" i="1"/>
  <c r="A3247" i="1"/>
  <c r="A3246" i="1"/>
  <c r="A3245" i="1"/>
  <c r="A3244" i="1"/>
  <c r="A3243" i="1"/>
  <c r="A3242" i="1"/>
  <c r="A3241" i="1"/>
  <c r="A3240" i="1"/>
  <c r="A3239" i="1"/>
  <c r="A3238" i="1"/>
  <c r="A3237" i="1"/>
  <c r="A3236" i="1"/>
  <c r="A3235" i="1"/>
  <c r="A3234" i="1"/>
  <c r="A3233" i="1"/>
  <c r="A3232" i="1"/>
  <c r="A3231" i="1"/>
  <c r="A3230" i="1"/>
  <c r="A3229" i="1"/>
  <c r="A3228" i="1"/>
  <c r="A3227" i="1"/>
  <c r="A3226" i="1"/>
  <c r="A3225" i="1"/>
  <c r="A3224" i="1"/>
  <c r="A3223" i="1"/>
  <c r="A3222" i="1"/>
  <c r="A3221" i="1"/>
  <c r="A3220" i="1"/>
  <c r="A3219" i="1"/>
  <c r="A3218" i="1"/>
  <c r="A3217" i="1"/>
  <c r="A3216" i="1"/>
  <c r="A3215" i="1"/>
  <c r="A3214" i="1"/>
  <c r="A3213" i="1"/>
  <c r="A3212" i="1"/>
  <c r="A3211" i="1"/>
  <c r="A3210" i="1"/>
  <c r="A3209" i="1"/>
  <c r="A3208" i="1"/>
  <c r="A3207" i="1"/>
  <c r="A3206" i="1"/>
  <c r="A3205" i="1"/>
  <c r="A3204" i="1"/>
  <c r="A3203" i="1"/>
  <c r="A3202" i="1"/>
  <c r="A3201" i="1"/>
  <c r="A3200" i="1"/>
  <c r="A3199" i="1"/>
  <c r="A3198" i="1"/>
  <c r="A3197" i="1"/>
  <c r="A3196" i="1"/>
  <c r="A3195" i="1"/>
  <c r="A3194" i="1"/>
  <c r="A3193" i="1"/>
  <c r="A3192" i="1"/>
  <c r="A3191" i="1"/>
  <c r="A3190" i="1"/>
  <c r="A3189" i="1"/>
  <c r="A3188" i="1"/>
  <c r="A3187" i="1"/>
  <c r="A3186" i="1"/>
  <c r="A3185" i="1"/>
  <c r="A3184" i="1"/>
  <c r="A3183" i="1"/>
  <c r="A3182" i="1"/>
  <c r="A3181" i="1"/>
  <c r="A3180" i="1"/>
  <c r="A3179" i="1"/>
  <c r="A3178" i="1"/>
  <c r="A3177" i="1"/>
  <c r="A3176" i="1"/>
  <c r="A3175" i="1"/>
  <c r="A3174" i="1"/>
  <c r="A3173" i="1"/>
  <c r="A3172" i="1"/>
  <c r="A3171" i="1"/>
  <c r="A3170" i="1"/>
  <c r="A3169" i="1"/>
  <c r="A3168" i="1"/>
  <c r="A3167" i="1"/>
  <c r="A3166" i="1"/>
  <c r="A3165" i="1"/>
  <c r="A3164" i="1"/>
  <c r="A3163" i="1"/>
  <c r="A3162" i="1"/>
  <c r="A3161" i="1"/>
  <c r="A3160" i="1"/>
  <c r="A3159" i="1"/>
  <c r="A3158" i="1"/>
  <c r="A3157" i="1"/>
  <c r="A3156" i="1"/>
  <c r="A3155" i="1"/>
  <c r="A3154" i="1"/>
  <c r="A3153" i="1"/>
  <c r="A3152" i="1"/>
  <c r="A3151" i="1"/>
  <c r="A3150" i="1"/>
  <c r="A3149" i="1"/>
  <c r="A3148" i="1"/>
  <c r="A3147" i="1"/>
  <c r="A3146" i="1"/>
  <c r="A3145" i="1"/>
  <c r="A3144" i="1"/>
  <c r="A3143" i="1"/>
  <c r="A3142" i="1"/>
  <c r="A3141" i="1"/>
  <c r="A3140" i="1"/>
  <c r="A3139" i="1"/>
  <c r="A3138" i="1"/>
  <c r="A3137" i="1"/>
  <c r="A3136" i="1"/>
  <c r="A3135" i="1"/>
  <c r="A3134" i="1"/>
  <c r="A3133" i="1"/>
  <c r="A3132" i="1"/>
  <c r="A3131" i="1"/>
  <c r="A3130" i="1"/>
  <c r="A3129" i="1"/>
  <c r="A3128" i="1"/>
  <c r="A3127" i="1"/>
  <c r="A3126" i="1"/>
  <c r="A3125" i="1"/>
  <c r="A3124" i="1"/>
  <c r="A3123" i="1"/>
  <c r="A3122" i="1"/>
  <c r="A3121" i="1"/>
  <c r="A3120" i="1"/>
  <c r="A3119" i="1"/>
  <c r="A3118" i="1"/>
  <c r="A3117" i="1"/>
  <c r="A3116" i="1"/>
  <c r="A3115" i="1"/>
  <c r="A3114" i="1"/>
  <c r="A3113" i="1"/>
  <c r="A3112" i="1"/>
  <c r="A3111" i="1"/>
  <c r="A3110" i="1"/>
  <c r="A3109" i="1"/>
  <c r="A3108" i="1"/>
  <c r="A3107" i="1"/>
  <c r="A3106" i="1"/>
  <c r="A3105" i="1"/>
  <c r="A3104" i="1"/>
  <c r="A3103" i="1"/>
  <c r="A3102" i="1"/>
  <c r="A3101" i="1"/>
  <c r="A3100" i="1"/>
  <c r="A3099" i="1"/>
  <c r="A3098" i="1"/>
  <c r="A3097" i="1"/>
  <c r="A3096" i="1"/>
  <c r="A3095" i="1"/>
  <c r="A3094" i="1"/>
  <c r="A3093" i="1"/>
  <c r="A3092" i="1"/>
  <c r="A3091" i="1"/>
  <c r="A3090" i="1"/>
  <c r="A3089" i="1"/>
  <c r="A3088" i="1"/>
  <c r="A3087" i="1"/>
  <c r="A3086" i="1"/>
  <c r="A3085" i="1"/>
  <c r="A3084" i="1"/>
  <c r="A3083" i="1"/>
  <c r="A3082" i="1"/>
  <c r="A3081" i="1"/>
  <c r="A3080" i="1"/>
  <c r="A3079" i="1"/>
  <c r="A3078" i="1"/>
  <c r="A3077" i="1"/>
  <c r="A3076" i="1"/>
  <c r="A3075" i="1"/>
  <c r="A3074" i="1"/>
  <c r="A3073" i="1"/>
  <c r="A3072" i="1"/>
  <c r="A3071" i="1"/>
  <c r="A3070" i="1"/>
  <c r="A3069" i="1"/>
  <c r="A3068" i="1"/>
  <c r="A3067" i="1"/>
  <c r="A3066" i="1"/>
  <c r="A3065" i="1"/>
  <c r="A3064" i="1"/>
  <c r="A3063" i="1"/>
  <c r="A3062" i="1"/>
  <c r="A3061" i="1"/>
  <c r="A3060" i="1"/>
  <c r="A3059" i="1"/>
  <c r="A3058" i="1"/>
  <c r="A3057" i="1"/>
  <c r="A3056" i="1"/>
  <c r="A3055" i="1"/>
  <c r="A3054" i="1"/>
  <c r="A3053" i="1"/>
  <c r="A3052" i="1"/>
  <c r="A3051" i="1"/>
  <c r="A3050" i="1"/>
  <c r="A3049" i="1"/>
  <c r="A3048" i="1"/>
  <c r="A3047" i="1"/>
  <c r="A3046" i="1"/>
  <c r="A3045" i="1"/>
  <c r="A3044" i="1"/>
  <c r="A3043" i="1"/>
  <c r="A3042" i="1"/>
  <c r="A3041" i="1"/>
  <c r="A3040" i="1"/>
  <c r="A3039" i="1"/>
  <c r="A3038" i="1"/>
  <c r="A3037" i="1"/>
  <c r="A3036" i="1"/>
  <c r="A3035" i="1"/>
  <c r="A3034" i="1"/>
  <c r="A3033" i="1"/>
  <c r="A3032" i="1"/>
  <c r="A3031" i="1"/>
  <c r="A3030" i="1"/>
  <c r="A3029" i="1"/>
  <c r="A3028" i="1"/>
  <c r="A3027" i="1"/>
  <c r="A3026" i="1"/>
  <c r="A3025" i="1"/>
  <c r="A3024" i="1"/>
  <c r="A3023" i="1"/>
  <c r="A3022" i="1"/>
  <c r="A3021" i="1"/>
  <c r="A3020" i="1"/>
  <c r="A3019" i="1"/>
  <c r="A3018" i="1"/>
  <c r="A3017" i="1"/>
  <c r="A3016" i="1"/>
  <c r="A3015" i="1"/>
  <c r="A3014" i="1"/>
  <c r="A3013" i="1"/>
  <c r="A3012" i="1"/>
  <c r="A3011" i="1"/>
  <c r="A3010" i="1"/>
  <c r="A3009" i="1"/>
  <c r="A3008" i="1"/>
  <c r="A3007" i="1"/>
  <c r="A3006" i="1"/>
  <c r="A3005" i="1"/>
  <c r="A3004" i="1"/>
  <c r="A3003" i="1"/>
  <c r="A3002" i="1"/>
  <c r="A3001" i="1"/>
  <c r="A3000" i="1"/>
  <c r="A2999" i="1"/>
  <c r="A2998" i="1"/>
  <c r="A2997" i="1"/>
  <c r="A2996" i="1"/>
  <c r="A2995" i="1"/>
  <c r="A2994" i="1"/>
  <c r="A2993" i="1"/>
  <c r="A2992" i="1"/>
  <c r="A2991" i="1"/>
  <c r="A2990" i="1"/>
  <c r="A2989" i="1"/>
  <c r="A2988" i="1"/>
  <c r="A2987" i="1"/>
  <c r="A2986" i="1"/>
  <c r="A2985" i="1"/>
  <c r="A2984" i="1"/>
  <c r="A2983" i="1"/>
  <c r="A2982" i="1"/>
  <c r="A2981" i="1"/>
  <c r="A2980" i="1"/>
  <c r="A2979" i="1"/>
  <c r="A2978" i="1"/>
  <c r="A2977" i="1"/>
  <c r="A2976" i="1"/>
  <c r="A2975" i="1"/>
  <c r="A2974" i="1"/>
  <c r="A2973" i="1"/>
  <c r="A2972" i="1"/>
  <c r="A2971" i="1"/>
  <c r="A2970" i="1"/>
  <c r="A2969" i="1"/>
  <c r="A2968" i="1"/>
  <c r="A2967" i="1"/>
  <c r="A2966" i="1"/>
  <c r="A2965" i="1"/>
  <c r="A2964" i="1"/>
  <c r="A2963" i="1"/>
  <c r="A2962" i="1"/>
  <c r="A2961" i="1"/>
  <c r="A2960" i="1"/>
  <c r="A2959" i="1"/>
  <c r="A2958" i="1"/>
  <c r="A2957" i="1"/>
  <c r="A2956" i="1"/>
  <c r="A2955" i="1"/>
  <c r="A2954" i="1"/>
  <c r="A2953" i="1"/>
  <c r="A2952" i="1"/>
  <c r="A2951" i="1"/>
  <c r="A2950" i="1"/>
  <c r="A2949" i="1"/>
  <c r="A2948" i="1"/>
  <c r="A2947" i="1"/>
  <c r="A2946" i="1"/>
  <c r="A2945" i="1"/>
  <c r="A2944" i="1"/>
  <c r="A2943" i="1"/>
  <c r="A2942" i="1"/>
  <c r="A2941" i="1"/>
  <c r="A2940" i="1"/>
  <c r="A2939" i="1"/>
  <c r="A2938" i="1"/>
  <c r="A2937" i="1"/>
  <c r="A2936" i="1"/>
  <c r="A2935" i="1"/>
  <c r="A2934" i="1"/>
  <c r="A2933" i="1"/>
  <c r="A2932" i="1"/>
  <c r="A2931" i="1"/>
  <c r="A2930" i="1"/>
  <c r="A2929" i="1"/>
  <c r="A2928" i="1"/>
  <c r="A2927" i="1"/>
  <c r="A2926" i="1"/>
  <c r="A2925" i="1"/>
  <c r="A2924" i="1"/>
  <c r="A2923" i="1"/>
  <c r="A2922" i="1"/>
  <c r="A2921" i="1"/>
  <c r="A2920" i="1"/>
  <c r="A2919" i="1"/>
  <c r="A2918" i="1"/>
  <c r="A2917" i="1"/>
  <c r="A2916" i="1"/>
  <c r="A2915" i="1"/>
  <c r="A2914" i="1"/>
  <c r="A2913" i="1"/>
  <c r="A2912" i="1"/>
  <c r="A2911" i="1"/>
  <c r="A2910" i="1"/>
  <c r="A2909" i="1"/>
  <c r="A2908" i="1"/>
  <c r="A2907" i="1"/>
  <c r="A2906" i="1"/>
  <c r="A2905" i="1"/>
  <c r="A2904" i="1"/>
  <c r="A2903" i="1"/>
  <c r="A2902" i="1"/>
  <c r="A2901" i="1"/>
  <c r="A2900" i="1"/>
  <c r="A2899" i="1"/>
  <c r="A2898" i="1"/>
  <c r="A2897" i="1"/>
  <c r="A2896" i="1"/>
  <c r="A2895" i="1"/>
  <c r="A2894" i="1"/>
  <c r="A2893" i="1"/>
  <c r="A2892" i="1"/>
  <c r="A2891" i="1"/>
  <c r="A2890" i="1"/>
  <c r="A2889" i="1"/>
  <c r="A2888" i="1"/>
  <c r="A2887" i="1"/>
  <c r="A2886" i="1"/>
  <c r="A2885" i="1"/>
  <c r="A2884" i="1"/>
  <c r="A2883" i="1"/>
  <c r="A2882" i="1"/>
  <c r="A2881" i="1"/>
  <c r="A2880" i="1"/>
  <c r="A2879" i="1"/>
  <c r="A2878" i="1"/>
  <c r="A2877" i="1"/>
  <c r="A2876" i="1"/>
  <c r="A2875" i="1"/>
  <c r="A2874" i="1"/>
  <c r="A2873" i="1"/>
  <c r="A2872" i="1"/>
  <c r="A2871" i="1"/>
  <c r="A2870" i="1"/>
  <c r="A2869" i="1"/>
  <c r="A2868" i="1"/>
  <c r="A2867" i="1"/>
  <c r="A2866" i="1"/>
  <c r="A2865" i="1"/>
  <c r="A2864" i="1"/>
  <c r="A2863" i="1"/>
  <c r="A2862" i="1"/>
  <c r="A2861" i="1"/>
  <c r="A2860" i="1"/>
  <c r="A2859" i="1"/>
  <c r="A2858" i="1"/>
  <c r="A2857" i="1"/>
  <c r="A2856" i="1"/>
  <c r="A2855" i="1"/>
  <c r="A2854" i="1"/>
  <c r="A2853" i="1"/>
  <c r="A2852" i="1"/>
  <c r="A2851" i="1"/>
  <c r="A2850" i="1"/>
  <c r="A2849" i="1"/>
  <c r="A2848" i="1"/>
  <c r="A2847" i="1"/>
  <c r="A2846" i="1"/>
  <c r="A2845" i="1"/>
  <c r="A2844" i="1"/>
  <c r="A2843" i="1"/>
  <c r="A2842" i="1"/>
  <c r="A2841" i="1"/>
  <c r="A2840" i="1"/>
  <c r="A2839" i="1"/>
  <c r="A2838" i="1"/>
  <c r="A2837" i="1"/>
  <c r="A2836" i="1"/>
  <c r="A2835" i="1"/>
  <c r="A2834" i="1"/>
  <c r="A2833" i="1"/>
  <c r="A2832" i="1"/>
  <c r="A2831" i="1"/>
  <c r="A2830" i="1"/>
  <c r="A2829" i="1"/>
  <c r="A2828" i="1"/>
  <c r="A2827" i="1"/>
  <c r="A2826" i="1"/>
  <c r="A2825" i="1"/>
  <c r="A2824" i="1"/>
  <c r="A2823" i="1"/>
  <c r="A2822" i="1"/>
  <c r="A2821" i="1"/>
  <c r="A2820" i="1"/>
  <c r="A2819" i="1"/>
  <c r="A2818" i="1"/>
  <c r="A2817" i="1"/>
  <c r="A2816" i="1"/>
  <c r="A2815" i="1"/>
  <c r="A2814" i="1"/>
  <c r="A2813" i="1"/>
  <c r="A2812" i="1"/>
  <c r="A2811" i="1"/>
  <c r="A2810" i="1"/>
  <c r="A2809" i="1"/>
  <c r="A2808" i="1"/>
  <c r="A2807" i="1"/>
  <c r="A2806" i="1"/>
  <c r="A2805" i="1"/>
  <c r="A2804" i="1"/>
  <c r="A2803" i="1"/>
  <c r="A2802" i="1"/>
  <c r="A2801" i="1"/>
  <c r="A2800" i="1"/>
  <c r="A2799" i="1"/>
  <c r="A2798" i="1"/>
  <c r="A2797" i="1"/>
  <c r="A2796" i="1"/>
  <c r="A2795" i="1"/>
  <c r="A2794" i="1"/>
  <c r="A2793" i="1"/>
  <c r="A2792" i="1"/>
  <c r="A2791" i="1"/>
  <c r="A2790" i="1"/>
  <c r="A2789" i="1"/>
  <c r="A2788" i="1"/>
  <c r="A2787" i="1"/>
  <c r="A2786" i="1"/>
  <c r="A2785" i="1"/>
  <c r="A2784" i="1"/>
  <c r="A2783" i="1"/>
  <c r="A2782" i="1"/>
  <c r="A2781" i="1"/>
  <c r="A2780" i="1"/>
  <c r="A2779" i="1"/>
  <c r="A2778" i="1"/>
  <c r="A2777" i="1"/>
  <c r="A2776" i="1"/>
  <c r="A2775" i="1"/>
  <c r="A2774" i="1"/>
  <c r="A2773" i="1"/>
  <c r="A2772" i="1"/>
  <c r="A2771" i="1"/>
  <c r="A2770" i="1"/>
  <c r="A2769" i="1"/>
  <c r="A2768" i="1"/>
  <c r="A2767" i="1"/>
  <c r="A2766" i="1"/>
  <c r="A2765" i="1"/>
  <c r="A2764" i="1"/>
  <c r="A2763" i="1"/>
  <c r="A2762" i="1"/>
  <c r="A2761" i="1"/>
  <c r="A2760" i="1"/>
  <c r="A2759" i="1"/>
  <c r="A2758" i="1"/>
  <c r="A2757" i="1"/>
  <c r="A2756" i="1"/>
  <c r="A2755" i="1"/>
  <c r="A2754" i="1"/>
  <c r="A2753" i="1"/>
  <c r="A2752" i="1"/>
  <c r="A2751" i="1"/>
  <c r="A2750" i="1"/>
  <c r="A2749" i="1"/>
  <c r="A2748" i="1"/>
  <c r="A2747" i="1"/>
  <c r="A2746" i="1"/>
  <c r="A2745" i="1"/>
  <c r="A2744" i="1"/>
  <c r="A2743" i="1"/>
  <c r="A2742" i="1"/>
  <c r="A2741" i="1"/>
  <c r="A2740" i="1"/>
  <c r="A2739" i="1"/>
  <c r="A2738" i="1"/>
  <c r="A2737" i="1"/>
  <c r="A2736" i="1"/>
  <c r="A2735" i="1"/>
  <c r="A2734" i="1"/>
  <c r="A2733" i="1"/>
  <c r="A2732" i="1"/>
  <c r="A2731" i="1"/>
  <c r="A2730" i="1"/>
  <c r="A2729" i="1"/>
  <c r="A2728" i="1"/>
  <c r="A2727" i="1"/>
  <c r="A2726" i="1"/>
  <c r="A2725" i="1"/>
  <c r="A2724" i="1"/>
  <c r="A2723" i="1"/>
  <c r="A2722" i="1"/>
  <c r="A2721" i="1"/>
  <c r="A2720" i="1"/>
  <c r="A2719" i="1"/>
  <c r="A2718" i="1"/>
  <c r="A2717" i="1"/>
  <c r="A2716" i="1"/>
  <c r="A2715" i="1"/>
  <c r="A2714" i="1"/>
  <c r="A2713" i="1"/>
  <c r="A2712" i="1"/>
  <c r="A2711" i="1"/>
  <c r="A2710" i="1"/>
  <c r="A2709" i="1"/>
  <c r="A2708" i="1"/>
  <c r="A2707" i="1"/>
  <c r="A2706" i="1"/>
  <c r="A2705" i="1"/>
  <c r="A2704" i="1"/>
  <c r="A2703" i="1"/>
  <c r="A2702" i="1"/>
  <c r="A2701" i="1"/>
  <c r="A2700" i="1"/>
  <c r="A2699" i="1"/>
  <c r="A2698" i="1"/>
  <c r="A2697" i="1"/>
  <c r="A2696" i="1"/>
  <c r="A2695" i="1"/>
  <c r="A2694" i="1"/>
  <c r="A2693" i="1"/>
  <c r="A2692" i="1"/>
  <c r="A2691" i="1"/>
  <c r="A2690" i="1"/>
  <c r="A2689" i="1"/>
  <c r="A2688" i="1"/>
  <c r="A2687" i="1"/>
  <c r="A2686" i="1"/>
  <c r="A2685" i="1"/>
  <c r="A2684" i="1"/>
  <c r="A2683" i="1"/>
  <c r="A2682" i="1"/>
  <c r="A2681" i="1"/>
  <c r="A2680" i="1"/>
  <c r="A2679" i="1"/>
  <c r="A2678" i="1"/>
  <c r="A2677" i="1"/>
  <c r="A2676" i="1"/>
  <c r="A2675" i="1"/>
  <c r="A2674" i="1"/>
  <c r="A2673" i="1"/>
  <c r="A2672" i="1"/>
  <c r="A2671" i="1"/>
  <c r="A2670" i="1"/>
  <c r="A2669" i="1"/>
  <c r="A2668" i="1"/>
  <c r="A2667" i="1"/>
  <c r="A2666" i="1"/>
  <c r="A2665" i="1"/>
  <c r="A2664" i="1"/>
  <c r="A2663" i="1"/>
  <c r="A2662" i="1"/>
  <c r="A2661" i="1"/>
  <c r="A2660" i="1"/>
  <c r="A2659" i="1"/>
  <c r="A2658" i="1"/>
  <c r="A2657" i="1"/>
  <c r="A2656" i="1"/>
  <c r="A2655" i="1"/>
  <c r="A2654" i="1"/>
  <c r="A2653" i="1"/>
  <c r="A2652" i="1"/>
  <c r="A2651" i="1"/>
  <c r="A2650" i="1"/>
  <c r="A2649" i="1"/>
  <c r="A2648" i="1"/>
  <c r="A2647" i="1"/>
  <c r="A2646" i="1"/>
  <c r="A2645" i="1"/>
  <c r="A2644" i="1"/>
  <c r="A2643" i="1"/>
  <c r="A2642" i="1"/>
  <c r="A2641" i="1"/>
  <c r="A2640" i="1"/>
  <c r="A2639" i="1"/>
  <c r="A2638" i="1"/>
  <c r="A2637" i="1"/>
  <c r="A2636" i="1"/>
  <c r="A2635" i="1"/>
  <c r="A2634" i="1"/>
  <c r="A2633" i="1"/>
  <c r="A2632" i="1"/>
  <c r="A2631" i="1"/>
  <c r="A2630" i="1"/>
  <c r="A2629" i="1"/>
  <c r="A2628" i="1"/>
  <c r="A2627" i="1"/>
  <c r="A2626" i="1"/>
  <c r="A2625" i="1"/>
  <c r="A2624" i="1"/>
  <c r="A2623" i="1"/>
  <c r="A2622" i="1"/>
  <c r="A2621" i="1"/>
  <c r="A2620" i="1"/>
  <c r="A2619" i="1"/>
  <c r="A2618" i="1"/>
  <c r="A2617" i="1"/>
  <c r="A2616" i="1"/>
  <c r="A2615" i="1"/>
  <c r="A2614" i="1"/>
  <c r="A2613" i="1"/>
  <c r="A2612" i="1"/>
  <c r="A2611" i="1"/>
  <c r="A2610" i="1"/>
  <c r="A2609" i="1"/>
  <c r="A2608" i="1"/>
  <c r="A2607" i="1"/>
  <c r="A2606" i="1"/>
  <c r="A2605" i="1"/>
  <c r="A2604" i="1"/>
  <c r="A2603" i="1"/>
  <c r="A2602" i="1"/>
  <c r="A2601" i="1"/>
  <c r="A2600" i="1"/>
  <c r="A2599" i="1"/>
  <c r="A2598" i="1"/>
  <c r="A2597" i="1"/>
  <c r="A2596" i="1"/>
  <c r="A2595" i="1"/>
  <c r="A2594" i="1"/>
  <c r="A2593" i="1"/>
  <c r="A2592" i="1"/>
  <c r="A2591" i="1"/>
  <c r="A2590" i="1"/>
  <c r="A2589" i="1"/>
  <c r="A2588" i="1"/>
  <c r="A2587" i="1"/>
  <c r="A2586" i="1"/>
  <c r="A2585" i="1"/>
  <c r="A2584" i="1"/>
  <c r="A2583" i="1"/>
  <c r="A2582" i="1"/>
  <c r="A2581" i="1"/>
  <c r="A2580" i="1"/>
  <c r="A2579" i="1"/>
  <c r="A2578" i="1"/>
  <c r="A2577" i="1"/>
  <c r="A2576" i="1"/>
  <c r="A2575" i="1"/>
  <c r="A2574" i="1"/>
  <c r="A2573" i="1"/>
  <c r="A2572" i="1"/>
  <c r="A2571" i="1"/>
  <c r="A2570" i="1"/>
  <c r="A2569" i="1"/>
  <c r="A2568" i="1"/>
  <c r="A2567" i="1"/>
  <c r="A2566" i="1"/>
  <c r="A2565" i="1"/>
  <c r="A2564" i="1"/>
  <c r="A2563" i="1"/>
  <c r="A2562" i="1"/>
  <c r="A2561" i="1"/>
  <c r="A2560" i="1"/>
  <c r="A2559" i="1"/>
  <c r="A2558" i="1"/>
  <c r="A2557" i="1"/>
  <c r="A2556" i="1"/>
  <c r="A2555" i="1"/>
  <c r="A2554" i="1"/>
  <c r="A2553" i="1"/>
  <c r="A2552" i="1"/>
  <c r="A2551" i="1"/>
  <c r="A2550" i="1"/>
  <c r="A2549" i="1"/>
  <c r="A2548" i="1"/>
  <c r="A2547" i="1"/>
  <c r="A2546" i="1"/>
  <c r="A2545" i="1"/>
  <c r="A2544" i="1"/>
  <c r="A2543" i="1"/>
  <c r="A2542" i="1"/>
  <c r="A2541" i="1"/>
  <c r="A2540" i="1"/>
  <c r="A2539" i="1"/>
  <c r="A2538" i="1"/>
  <c r="A2537" i="1"/>
  <c r="A2536" i="1"/>
  <c r="A2535" i="1"/>
  <c r="A2534" i="1"/>
  <c r="A2533" i="1"/>
  <c r="A2532" i="1"/>
  <c r="A2531" i="1"/>
  <c r="A2530" i="1"/>
  <c r="A2529" i="1"/>
  <c r="A2528" i="1"/>
  <c r="A2527" i="1"/>
  <c r="A2526" i="1"/>
  <c r="A2525" i="1"/>
  <c r="A2524" i="1"/>
  <c r="A2523" i="1"/>
  <c r="A2522" i="1"/>
  <c r="A2521" i="1"/>
  <c r="A2520" i="1"/>
  <c r="A2519" i="1"/>
  <c r="A2518" i="1"/>
  <c r="A2517" i="1"/>
  <c r="A2516" i="1"/>
  <c r="A2515" i="1"/>
  <c r="A2514" i="1"/>
  <c r="A2513" i="1"/>
  <c r="A2512" i="1"/>
  <c r="A2511" i="1"/>
  <c r="A2510" i="1"/>
  <c r="A2509" i="1"/>
  <c r="A2508" i="1"/>
  <c r="A2507" i="1"/>
  <c r="A2506" i="1"/>
  <c r="A2505" i="1"/>
  <c r="A2504" i="1"/>
  <c r="A2503" i="1"/>
  <c r="A2502" i="1"/>
  <c r="A2501" i="1"/>
  <c r="A2500" i="1"/>
  <c r="A2499" i="1"/>
  <c r="A2498" i="1"/>
  <c r="A2497" i="1"/>
  <c r="A2496" i="1"/>
  <c r="A2495" i="1"/>
  <c r="A2494" i="1"/>
  <c r="A2493" i="1"/>
  <c r="A2492" i="1"/>
  <c r="A2491" i="1"/>
  <c r="A2490" i="1"/>
  <c r="A2489" i="1"/>
  <c r="A2488" i="1"/>
  <c r="A2487" i="1"/>
  <c r="A2486" i="1"/>
  <c r="A2485" i="1"/>
  <c r="A2484" i="1"/>
  <c r="A2483" i="1"/>
  <c r="A2482" i="1"/>
  <c r="A2481" i="1"/>
  <c r="A2480" i="1"/>
  <c r="A2479" i="1"/>
  <c r="A2478" i="1"/>
  <c r="A2477" i="1"/>
  <c r="A2476" i="1"/>
  <c r="A2475" i="1"/>
  <c r="A2474" i="1"/>
  <c r="A2473" i="1"/>
  <c r="A2472" i="1"/>
  <c r="A2471" i="1"/>
  <c r="A2470" i="1"/>
  <c r="A2469" i="1"/>
  <c r="A2468" i="1"/>
  <c r="A2467" i="1"/>
  <c r="A2466" i="1"/>
  <c r="A2465" i="1"/>
  <c r="A2464" i="1"/>
  <c r="A2463" i="1"/>
  <c r="A2462" i="1"/>
  <c r="A2461" i="1"/>
  <c r="A2460" i="1"/>
  <c r="A2459" i="1"/>
  <c r="A2458" i="1"/>
  <c r="A2457" i="1"/>
  <c r="A2456" i="1"/>
  <c r="A2455" i="1"/>
  <c r="A2454" i="1"/>
  <c r="A2453" i="1"/>
  <c r="A2452" i="1"/>
  <c r="A2451" i="1"/>
  <c r="A2450" i="1"/>
  <c r="A2449" i="1"/>
  <c r="A2448" i="1"/>
  <c r="A2447" i="1"/>
  <c r="A2446" i="1"/>
  <c r="A2445" i="1"/>
  <c r="A2444" i="1"/>
  <c r="A2443" i="1"/>
  <c r="A2442" i="1"/>
  <c r="A2441" i="1"/>
  <c r="A2440" i="1"/>
  <c r="A2439" i="1"/>
  <c r="A2438" i="1"/>
  <c r="A2437" i="1"/>
  <c r="A2436" i="1"/>
  <c r="A2435" i="1"/>
  <c r="A2434" i="1"/>
  <c r="A2433" i="1"/>
  <c r="A2432" i="1"/>
  <c r="A2431" i="1"/>
  <c r="A2430" i="1"/>
  <c r="A2429" i="1"/>
  <c r="A2428" i="1"/>
  <c r="A2427" i="1"/>
  <c r="A2426" i="1"/>
  <c r="A2425" i="1"/>
  <c r="A2424" i="1"/>
  <c r="A2423" i="1"/>
  <c r="A2422" i="1"/>
  <c r="A2421" i="1"/>
  <c r="A2420" i="1"/>
  <c r="A2419" i="1"/>
  <c r="A2418" i="1"/>
  <c r="A2417" i="1"/>
  <c r="A2416" i="1"/>
  <c r="A2415" i="1"/>
  <c r="A2414" i="1"/>
  <c r="A2413" i="1"/>
  <c r="A2412" i="1"/>
  <c r="A2411" i="1"/>
  <c r="A2410" i="1"/>
  <c r="A2409" i="1"/>
  <c r="A2408" i="1"/>
  <c r="A2407" i="1"/>
  <c r="A2406" i="1"/>
  <c r="A2405" i="1"/>
  <c r="A2404" i="1"/>
  <c r="A2403" i="1"/>
  <c r="A2402" i="1"/>
  <c r="A2401" i="1"/>
  <c r="A2400" i="1"/>
  <c r="A2399" i="1"/>
  <c r="A2398" i="1"/>
  <c r="A2397" i="1"/>
  <c r="A2396" i="1"/>
  <c r="A2395" i="1"/>
  <c r="A2394" i="1"/>
  <c r="A2393" i="1"/>
  <c r="A2392" i="1"/>
  <c r="A2391" i="1"/>
  <c r="A2390" i="1"/>
  <c r="A2389" i="1"/>
  <c r="A2388" i="1"/>
  <c r="A2387" i="1"/>
  <c r="A2386" i="1"/>
  <c r="A2385" i="1"/>
  <c r="A2384" i="1"/>
  <c r="A2383" i="1"/>
  <c r="A2382" i="1"/>
  <c r="A2381" i="1"/>
  <c r="A2380" i="1"/>
  <c r="A2379" i="1"/>
  <c r="A2378" i="1"/>
  <c r="A2377" i="1"/>
  <c r="A2376" i="1"/>
  <c r="A2375" i="1"/>
  <c r="A2374" i="1"/>
  <c r="A2373" i="1"/>
  <c r="A2372" i="1"/>
  <c r="A2371" i="1"/>
  <c r="A2370" i="1"/>
  <c r="A2369" i="1"/>
  <c r="A2368" i="1"/>
  <c r="A2367" i="1"/>
  <c r="A2366" i="1"/>
  <c r="A2365" i="1"/>
  <c r="A2364" i="1"/>
  <c r="A2363" i="1"/>
  <c r="A2362" i="1"/>
  <c r="A2361" i="1"/>
  <c r="A2360" i="1"/>
  <c r="A2359" i="1"/>
  <c r="A2358" i="1"/>
  <c r="A2357" i="1"/>
  <c r="A2356" i="1"/>
  <c r="A2355" i="1"/>
  <c r="A2354" i="1"/>
  <c r="A2353" i="1"/>
  <c r="A2352" i="1"/>
  <c r="A2351" i="1"/>
  <c r="A2350" i="1"/>
  <c r="A2349" i="1"/>
  <c r="A2348" i="1"/>
  <c r="A2347" i="1"/>
  <c r="A2346" i="1"/>
  <c r="A2345" i="1"/>
  <c r="A2344" i="1"/>
  <c r="A2343" i="1"/>
  <c r="A2342" i="1"/>
  <c r="A2341" i="1"/>
  <c r="A2340" i="1"/>
  <c r="A2339" i="1"/>
  <c r="A2338" i="1"/>
  <c r="A2337" i="1"/>
  <c r="A2336" i="1"/>
  <c r="A2335" i="1"/>
  <c r="A2334" i="1"/>
  <c r="A2333" i="1"/>
  <c r="A2332" i="1"/>
  <c r="A2331" i="1"/>
  <c r="A2330" i="1"/>
  <c r="A2329" i="1"/>
  <c r="A2328" i="1"/>
  <c r="A2327" i="1"/>
  <c r="A2326" i="1"/>
  <c r="A2325" i="1"/>
  <c r="A2324" i="1"/>
  <c r="A2323" i="1"/>
  <c r="A2322" i="1"/>
  <c r="A2321" i="1"/>
  <c r="A2320" i="1"/>
  <c r="A2319" i="1"/>
  <c r="A2318" i="1"/>
  <c r="A2317" i="1"/>
  <c r="A2316" i="1"/>
  <c r="A2315" i="1"/>
  <c r="A2314" i="1"/>
  <c r="A2313" i="1"/>
  <c r="A2312" i="1"/>
  <c r="A2311" i="1"/>
  <c r="A2310" i="1"/>
  <c r="A2309" i="1"/>
  <c r="A2308" i="1"/>
  <c r="A2307" i="1"/>
  <c r="A2306" i="1"/>
  <c r="A2305" i="1"/>
  <c r="A2304" i="1"/>
  <c r="A2303" i="1"/>
  <c r="A2302" i="1"/>
  <c r="A2301" i="1"/>
  <c r="A2300" i="1"/>
  <c r="A2299" i="1"/>
  <c r="A2298" i="1"/>
  <c r="A2297" i="1"/>
  <c r="A2296" i="1"/>
  <c r="A2295" i="1"/>
  <c r="A2294" i="1"/>
  <c r="A2293" i="1"/>
  <c r="A2292" i="1"/>
  <c r="A2291" i="1"/>
  <c r="A2290" i="1"/>
  <c r="A2289" i="1"/>
  <c r="A2288" i="1"/>
  <c r="A2287" i="1"/>
  <c r="A2286" i="1"/>
  <c r="A2285" i="1"/>
  <c r="A2284" i="1"/>
  <c r="A2283" i="1"/>
  <c r="A2282" i="1"/>
  <c r="A2281" i="1"/>
  <c r="A2280" i="1"/>
  <c r="A2279" i="1"/>
  <c r="A2278" i="1"/>
  <c r="A2277" i="1"/>
  <c r="A2276" i="1"/>
  <c r="A2275" i="1"/>
  <c r="A2274" i="1"/>
  <c r="A2273" i="1"/>
  <c r="A2272" i="1"/>
  <c r="A2271" i="1"/>
  <c r="A2270" i="1"/>
  <c r="A2269" i="1"/>
  <c r="A2268" i="1"/>
  <c r="A2267" i="1"/>
  <c r="A2266" i="1"/>
  <c r="A2265" i="1"/>
  <c r="A2264" i="1"/>
  <c r="A2263" i="1"/>
  <c r="A2262" i="1"/>
  <c r="A2261" i="1"/>
  <c r="A2260" i="1"/>
  <c r="A2259" i="1"/>
  <c r="A2258" i="1"/>
  <c r="A2257" i="1"/>
  <c r="A2256" i="1"/>
  <c r="A2255" i="1"/>
  <c r="A2254" i="1"/>
  <c r="A2253" i="1"/>
  <c r="A2252" i="1"/>
  <c r="A2251" i="1"/>
  <c r="A2250" i="1"/>
  <c r="A2249" i="1"/>
  <c r="A2248" i="1"/>
  <c r="A2247" i="1"/>
  <c r="A2246" i="1"/>
  <c r="A2245" i="1"/>
  <c r="A2244" i="1"/>
  <c r="A2243" i="1"/>
  <c r="A2242" i="1"/>
  <c r="A2241" i="1"/>
  <c r="A2240" i="1"/>
  <c r="A2239" i="1"/>
  <c r="A2238" i="1"/>
  <c r="A2237" i="1"/>
  <c r="A2236" i="1"/>
  <c r="A2235" i="1"/>
  <c r="A2234" i="1"/>
  <c r="A2233" i="1"/>
  <c r="A2232" i="1"/>
  <c r="A2231" i="1"/>
  <c r="A2230" i="1"/>
  <c r="A2229" i="1"/>
  <c r="A2228" i="1"/>
  <c r="A2227" i="1"/>
  <c r="A2226" i="1"/>
  <c r="A2225" i="1"/>
  <c r="A2224" i="1"/>
  <c r="A2223" i="1"/>
  <c r="A2222" i="1"/>
  <c r="A2221" i="1"/>
  <c r="A2220" i="1"/>
  <c r="A2219" i="1"/>
  <c r="A2218" i="1"/>
  <c r="A2217" i="1"/>
  <c r="A2216" i="1"/>
  <c r="A2215" i="1"/>
  <c r="A2214" i="1"/>
  <c r="A2213" i="1"/>
  <c r="A2212" i="1"/>
  <c r="A2211" i="1"/>
  <c r="A2210" i="1"/>
  <c r="A2209" i="1"/>
  <c r="A2208" i="1"/>
  <c r="A2207" i="1"/>
  <c r="A2206" i="1"/>
  <c r="A2205" i="1"/>
  <c r="A2204" i="1"/>
  <c r="A2203" i="1"/>
  <c r="A2202" i="1"/>
  <c r="A2201" i="1"/>
  <c r="A2200" i="1"/>
  <c r="A2199" i="1"/>
  <c r="A2198" i="1"/>
  <c r="A2197" i="1"/>
  <c r="A2196" i="1"/>
  <c r="A2195" i="1"/>
  <c r="A2194" i="1"/>
  <c r="A2193" i="1"/>
  <c r="A2192" i="1"/>
  <c r="A2191" i="1"/>
  <c r="A2190" i="1"/>
  <c r="A2189" i="1"/>
  <c r="A2188" i="1"/>
  <c r="A2187" i="1"/>
  <c r="A2186" i="1"/>
  <c r="A2185" i="1"/>
  <c r="A2184" i="1"/>
  <c r="A2183" i="1"/>
  <c r="A2182" i="1"/>
  <c r="A2181" i="1"/>
  <c r="A2180" i="1"/>
  <c r="A2179" i="1"/>
  <c r="A2178" i="1"/>
  <c r="A2177" i="1"/>
  <c r="A2176" i="1"/>
  <c r="A2175" i="1"/>
  <c r="A2174" i="1"/>
  <c r="A2173" i="1"/>
  <c r="A2172" i="1"/>
  <c r="A2171" i="1"/>
  <c r="A2170" i="1"/>
  <c r="A2169" i="1"/>
  <c r="A2168" i="1"/>
  <c r="A2167" i="1"/>
  <c r="A2166" i="1"/>
  <c r="A2165" i="1"/>
  <c r="A2164" i="1"/>
  <c r="A2163" i="1"/>
  <c r="A2162" i="1"/>
  <c r="A2161" i="1"/>
  <c r="A2160" i="1"/>
  <c r="A2159" i="1"/>
  <c r="A2158" i="1"/>
  <c r="A2157" i="1"/>
  <c r="A2156" i="1"/>
  <c r="A2155" i="1"/>
  <c r="A2154" i="1"/>
  <c r="A2153" i="1"/>
  <c r="A2152" i="1"/>
  <c r="A2151" i="1"/>
  <c r="A2150" i="1"/>
  <c r="A2149" i="1"/>
  <c r="A2148" i="1"/>
  <c r="A2147" i="1"/>
  <c r="A2146" i="1"/>
  <c r="A2145" i="1"/>
  <c r="A2144" i="1"/>
  <c r="A2143" i="1"/>
  <c r="A2142" i="1"/>
  <c r="A2141" i="1"/>
  <c r="A2140" i="1"/>
  <c r="A2139" i="1"/>
  <c r="A2138" i="1"/>
  <c r="A2137" i="1"/>
  <c r="A2136" i="1"/>
  <c r="A2135" i="1"/>
  <c r="A2134" i="1"/>
  <c r="A2133" i="1"/>
  <c r="A2132" i="1"/>
  <c r="A2131" i="1"/>
  <c r="A2130" i="1"/>
  <c r="A2129" i="1"/>
  <c r="A2128" i="1"/>
  <c r="A2127" i="1"/>
  <c r="A2126" i="1"/>
  <c r="A2125" i="1"/>
  <c r="A2124" i="1"/>
  <c r="A2123" i="1"/>
  <c r="A2122" i="1"/>
  <c r="A2121" i="1"/>
  <c r="A2120" i="1"/>
  <c r="A2119" i="1"/>
  <c r="A2118" i="1"/>
  <c r="A2117" i="1"/>
  <c r="A2116" i="1"/>
  <c r="A2115" i="1"/>
  <c r="A2114" i="1"/>
  <c r="A2113" i="1"/>
  <c r="A2112" i="1"/>
  <c r="A2111" i="1"/>
  <c r="A2110" i="1"/>
  <c r="A2109" i="1"/>
  <c r="A2108" i="1"/>
  <c r="A2107" i="1"/>
  <c r="A2106" i="1"/>
  <c r="A2105" i="1"/>
  <c r="A2104" i="1"/>
  <c r="A2103" i="1"/>
  <c r="A2102" i="1"/>
  <c r="A2101" i="1"/>
  <c r="A2100" i="1"/>
  <c r="A2099" i="1"/>
  <c r="A2098" i="1"/>
  <c r="A2097" i="1"/>
  <c r="A2096" i="1"/>
  <c r="A2095" i="1"/>
  <c r="A2094" i="1"/>
  <c r="A2093" i="1"/>
  <c r="A2092" i="1"/>
  <c r="A2091" i="1"/>
  <c r="A2090" i="1"/>
  <c r="A2089" i="1"/>
  <c r="A2088" i="1"/>
  <c r="A2087" i="1"/>
  <c r="A2086" i="1"/>
  <c r="A2085" i="1"/>
  <c r="A2084" i="1"/>
  <c r="A2083" i="1"/>
  <c r="A2082" i="1"/>
  <c r="A2081" i="1"/>
  <c r="A2080" i="1"/>
  <c r="A2079" i="1"/>
  <c r="A2078" i="1"/>
  <c r="A2077" i="1"/>
  <c r="A2076" i="1"/>
  <c r="A2075" i="1"/>
  <c r="A2074" i="1"/>
  <c r="A2073" i="1"/>
  <c r="A2072" i="1"/>
  <c r="A2071" i="1"/>
  <c r="A2070" i="1"/>
  <c r="A2069" i="1"/>
  <c r="A2068" i="1"/>
  <c r="A2067" i="1"/>
  <c r="A2066" i="1"/>
  <c r="A2065" i="1"/>
  <c r="A2064" i="1"/>
  <c r="A2063" i="1"/>
  <c r="A2062" i="1"/>
  <c r="A2061" i="1"/>
  <c r="A2060" i="1"/>
  <c r="A2059" i="1"/>
  <c r="A2058" i="1"/>
  <c r="A2057" i="1"/>
  <c r="A2056" i="1"/>
  <c r="A2055" i="1"/>
  <c r="A2054" i="1"/>
  <c r="A2053" i="1"/>
  <c r="A2052" i="1"/>
  <c r="A2051" i="1"/>
  <c r="A2050" i="1"/>
  <c r="A2049" i="1"/>
  <c r="A2048" i="1"/>
  <c r="A2047" i="1"/>
  <c r="A2046" i="1"/>
  <c r="A2045" i="1"/>
  <c r="A2044" i="1"/>
  <c r="A2043" i="1"/>
  <c r="A2042" i="1"/>
  <c r="A2041" i="1"/>
  <c r="A2040" i="1"/>
  <c r="A2039" i="1"/>
  <c r="A2038" i="1"/>
  <c r="A2037" i="1"/>
  <c r="A2036" i="1"/>
  <c r="A2035" i="1"/>
  <c r="A2034" i="1"/>
  <c r="A2033" i="1"/>
  <c r="A2032" i="1"/>
  <c r="A2031" i="1"/>
  <c r="A2030" i="1"/>
  <c r="A2029" i="1"/>
  <c r="A2028" i="1"/>
  <c r="A2027" i="1"/>
  <c r="A2026" i="1"/>
  <c r="A2025" i="1"/>
  <c r="A2024" i="1"/>
  <c r="A2023" i="1"/>
  <c r="A2022" i="1"/>
  <c r="A2021" i="1"/>
  <c r="A2020" i="1"/>
  <c r="A2019" i="1"/>
  <c r="A2018" i="1"/>
  <c r="A2017" i="1"/>
  <c r="A2016" i="1"/>
  <c r="A2015" i="1"/>
  <c r="A2014" i="1"/>
  <c r="A2013" i="1"/>
  <c r="A2012" i="1"/>
  <c r="A2011" i="1"/>
  <c r="A2010" i="1"/>
  <c r="A2009" i="1"/>
  <c r="A2008" i="1"/>
  <c r="A2007" i="1"/>
  <c r="A2006" i="1"/>
  <c r="A2005" i="1"/>
  <c r="A2004" i="1"/>
  <c r="A2003" i="1"/>
  <c r="A2002" i="1"/>
  <c r="A2001" i="1"/>
  <c r="A2000" i="1"/>
  <c r="A1999" i="1"/>
  <c r="A1998" i="1"/>
  <c r="A1997" i="1"/>
  <c r="A1996" i="1"/>
  <c r="A1995" i="1"/>
  <c r="A1994" i="1"/>
  <c r="A1993" i="1"/>
  <c r="A1992" i="1"/>
  <c r="A1991" i="1"/>
  <c r="A1990" i="1"/>
  <c r="A1989" i="1"/>
  <c r="A1988" i="1"/>
  <c r="A1987" i="1"/>
  <c r="A1986" i="1"/>
  <c r="A1985" i="1"/>
  <c r="A1984" i="1"/>
  <c r="A1983" i="1"/>
  <c r="A1982" i="1"/>
  <c r="A1981" i="1"/>
  <c r="A1980" i="1"/>
  <c r="A1979" i="1"/>
  <c r="A1978" i="1"/>
  <c r="A1977" i="1"/>
  <c r="A1976" i="1"/>
  <c r="A1975" i="1"/>
  <c r="A1974" i="1"/>
  <c r="A1973" i="1"/>
  <c r="A1972" i="1"/>
  <c r="A1971" i="1"/>
  <c r="A1970" i="1"/>
  <c r="A1969" i="1"/>
  <c r="A1968" i="1"/>
  <c r="A1967" i="1"/>
  <c r="A1966" i="1"/>
  <c r="A1965" i="1"/>
  <c r="A1964" i="1"/>
  <c r="A1963" i="1"/>
  <c r="A1962" i="1"/>
  <c r="A1961" i="1"/>
  <c r="A1960" i="1"/>
  <c r="A1959" i="1"/>
  <c r="A1958" i="1"/>
  <c r="A1957" i="1"/>
  <c r="A1956" i="1"/>
  <c r="A1955" i="1"/>
  <c r="A1954" i="1"/>
  <c r="A1953" i="1"/>
  <c r="A1952" i="1"/>
  <c r="A1951" i="1"/>
  <c r="A1950" i="1"/>
  <c r="A1949" i="1"/>
  <c r="A1948" i="1"/>
  <c r="A1947" i="1"/>
  <c r="A1946" i="1"/>
  <c r="A1945" i="1"/>
  <c r="A1944" i="1"/>
  <c r="A1943" i="1"/>
  <c r="A1942" i="1"/>
  <c r="A1941" i="1"/>
  <c r="A1940" i="1"/>
  <c r="A1939" i="1"/>
  <c r="A1938" i="1"/>
  <c r="A1937" i="1"/>
  <c r="A1936" i="1"/>
  <c r="A1935" i="1"/>
  <c r="A1934" i="1"/>
  <c r="A1933" i="1"/>
  <c r="A1932" i="1"/>
  <c r="A1931" i="1"/>
  <c r="A1930" i="1"/>
  <c r="A1929" i="1"/>
  <c r="A1928" i="1"/>
  <c r="A1927" i="1"/>
  <c r="A1926" i="1"/>
  <c r="A1925" i="1"/>
  <c r="A1924" i="1"/>
  <c r="A1923" i="1"/>
  <c r="A1922" i="1"/>
  <c r="A1921" i="1"/>
  <c r="A1920" i="1"/>
  <c r="A1919" i="1"/>
  <c r="A1918" i="1"/>
  <c r="A1917" i="1"/>
  <c r="A1916" i="1"/>
  <c r="A1915" i="1"/>
  <c r="A1914" i="1"/>
  <c r="A1913" i="1"/>
  <c r="A1912" i="1"/>
  <c r="A1911" i="1"/>
  <c r="A1910" i="1"/>
  <c r="A1909" i="1"/>
  <c r="A1908" i="1"/>
  <c r="A1907" i="1"/>
  <c r="A1906" i="1"/>
  <c r="A1905" i="1"/>
  <c r="A1904" i="1"/>
  <c r="A1903" i="1"/>
  <c r="A1902" i="1"/>
  <c r="A1901" i="1"/>
  <c r="A1900" i="1"/>
  <c r="A1899" i="1"/>
  <c r="A1898" i="1"/>
  <c r="A1897" i="1"/>
  <c r="A1896" i="1"/>
  <c r="A1895" i="1"/>
  <c r="A1894" i="1"/>
  <c r="A1893" i="1"/>
  <c r="A1892" i="1"/>
  <c r="A1891" i="1"/>
  <c r="A1890" i="1"/>
  <c r="A1889" i="1"/>
  <c r="A1888" i="1"/>
  <c r="A1887" i="1"/>
  <c r="A1886" i="1"/>
  <c r="A1885" i="1"/>
  <c r="A1884" i="1"/>
  <c r="A1883" i="1"/>
  <c r="A1882" i="1"/>
  <c r="A1881" i="1"/>
  <c r="A1880" i="1"/>
  <c r="A1879" i="1"/>
  <c r="A1878" i="1"/>
  <c r="A1877" i="1"/>
  <c r="A1876" i="1"/>
  <c r="A1875" i="1"/>
  <c r="A1874" i="1"/>
  <c r="A1873" i="1"/>
  <c r="A1872" i="1"/>
  <c r="A1871" i="1"/>
  <c r="A1870" i="1"/>
  <c r="A1869" i="1"/>
  <c r="A1868" i="1"/>
  <c r="A1867" i="1"/>
  <c r="A1866" i="1"/>
  <c r="A1865" i="1"/>
  <c r="A1864" i="1"/>
  <c r="A1863" i="1"/>
  <c r="A1862" i="1"/>
  <c r="A1861" i="1"/>
  <c r="A1860" i="1"/>
  <c r="A1859" i="1"/>
  <c r="A1858" i="1"/>
  <c r="A1857" i="1"/>
  <c r="A1856" i="1"/>
  <c r="A1855" i="1"/>
  <c r="A1854" i="1"/>
  <c r="A1853" i="1"/>
  <c r="A1852" i="1"/>
  <c r="A1851" i="1"/>
  <c r="A1850" i="1"/>
  <c r="A1849" i="1"/>
  <c r="A1848" i="1"/>
  <c r="A1847" i="1"/>
  <c r="A1846" i="1"/>
  <c r="A1845" i="1"/>
  <c r="A1844" i="1"/>
  <c r="A1843" i="1"/>
  <c r="A1842" i="1"/>
  <c r="A1841" i="1"/>
  <c r="A1840" i="1"/>
  <c r="A1839" i="1"/>
  <c r="A1838" i="1"/>
  <c r="A1837" i="1"/>
  <c r="A1836" i="1"/>
  <c r="A1835" i="1"/>
  <c r="A1834" i="1"/>
  <c r="A1833" i="1"/>
  <c r="A1832" i="1"/>
  <c r="A1831" i="1"/>
  <c r="A1830" i="1"/>
  <c r="A1829" i="1"/>
  <c r="A1828" i="1"/>
  <c r="A1827" i="1"/>
  <c r="A1826" i="1"/>
  <c r="A1825" i="1"/>
  <c r="A1824" i="1"/>
  <c r="A1823" i="1"/>
  <c r="A1822" i="1"/>
  <c r="A1821" i="1"/>
  <c r="A1820" i="1"/>
  <c r="A1819" i="1"/>
  <c r="A1818" i="1"/>
  <c r="A1817" i="1"/>
  <c r="A1816" i="1"/>
  <c r="A1815" i="1"/>
  <c r="A1814" i="1"/>
  <c r="A1813" i="1"/>
  <c r="A1812" i="1"/>
  <c r="A1811" i="1"/>
  <c r="A1810" i="1"/>
  <c r="A1809" i="1"/>
  <c r="A1808" i="1"/>
  <c r="A1807" i="1"/>
  <c r="A1806" i="1"/>
  <c r="A1805" i="1"/>
  <c r="A1804" i="1"/>
  <c r="A1803" i="1"/>
  <c r="A1802" i="1"/>
  <c r="A1801" i="1"/>
  <c r="A1800" i="1"/>
  <c r="A1799" i="1"/>
  <c r="A1798" i="1"/>
  <c r="A1797" i="1"/>
  <c r="A1796" i="1"/>
  <c r="A1795" i="1"/>
  <c r="A1794" i="1"/>
  <c r="A1793" i="1"/>
  <c r="A1792" i="1"/>
  <c r="A1791" i="1"/>
  <c r="A1790" i="1"/>
  <c r="A1789" i="1"/>
  <c r="A1788" i="1"/>
  <c r="A1787" i="1"/>
  <c r="A1786" i="1"/>
  <c r="A1785" i="1"/>
  <c r="A1784" i="1"/>
  <c r="A1783" i="1"/>
  <c r="A1782" i="1"/>
  <c r="A1781" i="1"/>
  <c r="A1780" i="1"/>
  <c r="A1779" i="1"/>
  <c r="A1778" i="1"/>
  <c r="A1777" i="1"/>
  <c r="A1776" i="1"/>
  <c r="A1775" i="1"/>
  <c r="A1774" i="1"/>
  <c r="A1773" i="1"/>
  <c r="A1772" i="1"/>
  <c r="A1771" i="1"/>
  <c r="A1770" i="1"/>
  <c r="A1769" i="1"/>
  <c r="A1768" i="1"/>
  <c r="A1767" i="1"/>
  <c r="A1766" i="1"/>
  <c r="A1765" i="1"/>
  <c r="A1764" i="1"/>
  <c r="A1763" i="1"/>
  <c r="A1762" i="1"/>
  <c r="A1761" i="1"/>
  <c r="A1760" i="1"/>
  <c r="A1759" i="1"/>
  <c r="A1758" i="1"/>
  <c r="A1757" i="1"/>
  <c r="A1756" i="1"/>
  <c r="A1755" i="1"/>
  <c r="A1754" i="1"/>
  <c r="A1753" i="1"/>
  <c r="A1752" i="1"/>
  <c r="A1751" i="1"/>
  <c r="A1750" i="1"/>
  <c r="A1749" i="1"/>
  <c r="A1748" i="1"/>
  <c r="A1747" i="1"/>
  <c r="A1746" i="1"/>
  <c r="A1745" i="1"/>
  <c r="A1744" i="1"/>
  <c r="A1743" i="1"/>
  <c r="A1742" i="1"/>
  <c r="A1741" i="1"/>
  <c r="A1740" i="1"/>
  <c r="A1739" i="1"/>
  <c r="A1738" i="1"/>
  <c r="A1737" i="1"/>
  <c r="A1736" i="1"/>
  <c r="A1735" i="1"/>
  <c r="A1734" i="1"/>
  <c r="A1733" i="1"/>
  <c r="A1732" i="1"/>
  <c r="A1731" i="1"/>
  <c r="A1730" i="1"/>
  <c r="A1729" i="1"/>
  <c r="A1728" i="1"/>
  <c r="A1727" i="1"/>
  <c r="A1726" i="1"/>
  <c r="A1725" i="1"/>
  <c r="A1724" i="1"/>
  <c r="A1723" i="1"/>
  <c r="A1722" i="1"/>
  <c r="A1721" i="1"/>
  <c r="A1720" i="1"/>
  <c r="A1719" i="1"/>
  <c r="A1718" i="1"/>
  <c r="A1717" i="1"/>
  <c r="A1716" i="1"/>
  <c r="A1715" i="1"/>
  <c r="A1714" i="1"/>
  <c r="A1713" i="1"/>
  <c r="A1712" i="1"/>
  <c r="A1711" i="1"/>
  <c r="A1710" i="1"/>
  <c r="A1709" i="1"/>
  <c r="A1708" i="1"/>
  <c r="A1707" i="1"/>
  <c r="A1706" i="1"/>
  <c r="A1705" i="1"/>
  <c r="A1704" i="1"/>
  <c r="A1703" i="1"/>
  <c r="A1702" i="1"/>
  <c r="A1701" i="1"/>
  <c r="A1700" i="1"/>
  <c r="A1699" i="1"/>
  <c r="A1698" i="1"/>
  <c r="A1697" i="1"/>
  <c r="A1696" i="1"/>
  <c r="A1695" i="1"/>
  <c r="A1694" i="1"/>
  <c r="A1693" i="1"/>
  <c r="A1692" i="1"/>
  <c r="A1691" i="1"/>
  <c r="A1690" i="1"/>
  <c r="A1689" i="1"/>
  <c r="A1688" i="1"/>
  <c r="A1687" i="1"/>
  <c r="A1686" i="1"/>
  <c r="A1685" i="1"/>
  <c r="A1684" i="1"/>
  <c r="A1683" i="1"/>
  <c r="A1682" i="1"/>
  <c r="A1681" i="1"/>
  <c r="A1680" i="1"/>
  <c r="A1679" i="1"/>
  <c r="A1678" i="1"/>
  <c r="A1677" i="1"/>
  <c r="A1676" i="1"/>
  <c r="A1675" i="1"/>
  <c r="A1674" i="1"/>
  <c r="A1673" i="1"/>
  <c r="A1672" i="1"/>
  <c r="A1671" i="1"/>
  <c r="A1670" i="1"/>
  <c r="A1669" i="1"/>
  <c r="A1668" i="1"/>
  <c r="A1667" i="1"/>
  <c r="A1666" i="1"/>
  <c r="A1665" i="1"/>
  <c r="A1664" i="1"/>
  <c r="A1663" i="1"/>
  <c r="A1662" i="1"/>
  <c r="A1661" i="1"/>
  <c r="A1660" i="1"/>
  <c r="A1659" i="1"/>
  <c r="A1658" i="1"/>
  <c r="A1657" i="1"/>
  <c r="A1656" i="1"/>
  <c r="A1655" i="1"/>
  <c r="A1654" i="1"/>
  <c r="A1653" i="1"/>
  <c r="A1652" i="1"/>
  <c r="A1651" i="1"/>
  <c r="A1650" i="1"/>
  <c r="A1649" i="1"/>
  <c r="A1648" i="1"/>
  <c r="A1647" i="1"/>
  <c r="A1646" i="1"/>
  <c r="A1645" i="1"/>
  <c r="A1644" i="1"/>
  <c r="A1643" i="1"/>
  <c r="A1642" i="1"/>
  <c r="A1641" i="1"/>
  <c r="A1640" i="1"/>
  <c r="A1639" i="1"/>
  <c r="A1638" i="1"/>
  <c r="A1637" i="1"/>
  <c r="A1636" i="1"/>
  <c r="A1635" i="1"/>
  <c r="A1634" i="1"/>
  <c r="A1633" i="1"/>
  <c r="A1632" i="1"/>
  <c r="A1631" i="1"/>
  <c r="A1630" i="1"/>
  <c r="A1629" i="1"/>
  <c r="A1628" i="1"/>
  <c r="A1627" i="1"/>
  <c r="A1626" i="1"/>
  <c r="A1625" i="1"/>
  <c r="A1624" i="1"/>
  <c r="A1623" i="1"/>
  <c r="A1622" i="1"/>
  <c r="A1621" i="1"/>
  <c r="A1620" i="1"/>
  <c r="A1619" i="1"/>
  <c r="A1618" i="1"/>
  <c r="A1617" i="1"/>
  <c r="A1616" i="1"/>
  <c r="A1615" i="1"/>
  <c r="A1614" i="1"/>
  <c r="A1613" i="1"/>
  <c r="A1612" i="1"/>
  <c r="A1611" i="1"/>
  <c r="A1610" i="1"/>
  <c r="A1609" i="1"/>
  <c r="A1608" i="1"/>
  <c r="A1607" i="1"/>
  <c r="A1606" i="1"/>
  <c r="A1605" i="1"/>
  <c r="A1604" i="1"/>
  <c r="A1603" i="1"/>
  <c r="A1602" i="1"/>
  <c r="A1601" i="1"/>
  <c r="A1600" i="1"/>
  <c r="A1599" i="1"/>
  <c r="A1598" i="1"/>
  <c r="A1597" i="1"/>
  <c r="A1596" i="1"/>
  <c r="A1595" i="1"/>
  <c r="A1594" i="1"/>
  <c r="A1593" i="1"/>
  <c r="A1592" i="1"/>
  <c r="A1591" i="1"/>
  <c r="A1590" i="1"/>
  <c r="A1589" i="1"/>
  <c r="A1588" i="1"/>
  <c r="A1587" i="1"/>
  <c r="A1586" i="1"/>
  <c r="A1585" i="1"/>
  <c r="A1584" i="1"/>
  <c r="A1583" i="1"/>
  <c r="A1582" i="1"/>
  <c r="A1581" i="1"/>
  <c r="A1580" i="1"/>
  <c r="A1579" i="1"/>
  <c r="A1578" i="1"/>
  <c r="A1577" i="1"/>
  <c r="A1576" i="1"/>
  <c r="A1575" i="1"/>
  <c r="A1574" i="1"/>
  <c r="A1573" i="1"/>
  <c r="A1572" i="1"/>
  <c r="A1571" i="1"/>
  <c r="A1570" i="1"/>
  <c r="A1569" i="1"/>
  <c r="A1568" i="1"/>
  <c r="A1567" i="1"/>
  <c r="A1566" i="1"/>
  <c r="A1565" i="1"/>
  <c r="A1564" i="1"/>
  <c r="A1563" i="1"/>
  <c r="A1562" i="1"/>
  <c r="A1561" i="1"/>
  <c r="A1560" i="1"/>
  <c r="A1559" i="1"/>
  <c r="A1558" i="1"/>
  <c r="A1557" i="1"/>
  <c r="A1556" i="1"/>
  <c r="A1555" i="1"/>
  <c r="A1554" i="1"/>
  <c r="A1553" i="1"/>
  <c r="A1552" i="1"/>
  <c r="A1551" i="1"/>
  <c r="A1550" i="1"/>
  <c r="A1549" i="1"/>
  <c r="A1548" i="1"/>
  <c r="A1547" i="1"/>
  <c r="A1546" i="1"/>
  <c r="A1545" i="1"/>
  <c r="A1544" i="1"/>
  <c r="A1543" i="1"/>
  <c r="A1542" i="1"/>
  <c r="A1541" i="1"/>
  <c r="A1540" i="1"/>
  <c r="A1539" i="1"/>
  <c r="A1538" i="1"/>
  <c r="A1537" i="1"/>
  <c r="A1536" i="1"/>
  <c r="A1535" i="1"/>
  <c r="A1534" i="1"/>
  <c r="A1533" i="1"/>
  <c r="A1532" i="1"/>
  <c r="A1531" i="1"/>
  <c r="A1530" i="1"/>
  <c r="A1529" i="1"/>
  <c r="A1528" i="1"/>
  <c r="A1527" i="1"/>
  <c r="A1526" i="1"/>
  <c r="A1525" i="1"/>
  <c r="A1524" i="1"/>
  <c r="A1523" i="1"/>
  <c r="A1522" i="1"/>
  <c r="A1521" i="1"/>
  <c r="A1520" i="1"/>
  <c r="A1519" i="1"/>
  <c r="A1518" i="1"/>
  <c r="A1517" i="1"/>
  <c r="A1516" i="1"/>
  <c r="A1515" i="1"/>
  <c r="A1514" i="1"/>
  <c r="A1513" i="1"/>
  <c r="A1512" i="1"/>
  <c r="A1511" i="1"/>
  <c r="A1510" i="1"/>
  <c r="A1509" i="1"/>
  <c r="A1508" i="1"/>
  <c r="A1507" i="1"/>
  <c r="A1506" i="1"/>
  <c r="A1505" i="1"/>
  <c r="A1504" i="1"/>
  <c r="A1503" i="1"/>
  <c r="A1502" i="1"/>
  <c r="A1501" i="1"/>
  <c r="A1500" i="1"/>
  <c r="A1499" i="1"/>
  <c r="A1498" i="1"/>
  <c r="A1497" i="1"/>
  <c r="A1496" i="1"/>
  <c r="A1495" i="1"/>
  <c r="A1494" i="1"/>
  <c r="A1493" i="1"/>
  <c r="A1492" i="1"/>
  <c r="A1491" i="1"/>
  <c r="A1490" i="1"/>
  <c r="A1489" i="1"/>
  <c r="A1488" i="1"/>
  <c r="A1487" i="1"/>
  <c r="A1486" i="1"/>
  <c r="A1485" i="1"/>
  <c r="A1484" i="1"/>
  <c r="A1483" i="1"/>
  <c r="A1482" i="1"/>
  <c r="A1481" i="1"/>
  <c r="A1480" i="1"/>
  <c r="A1479" i="1"/>
  <c r="A1478" i="1"/>
  <c r="A1477" i="1"/>
  <c r="A1476" i="1"/>
  <c r="A1475" i="1"/>
  <c r="A1474" i="1"/>
  <c r="A1473" i="1"/>
  <c r="A1472" i="1"/>
  <c r="A1471" i="1"/>
  <c r="A1470" i="1"/>
  <c r="A1469" i="1"/>
  <c r="A1468" i="1"/>
  <c r="A1467" i="1"/>
  <c r="A1466" i="1"/>
  <c r="A1465" i="1"/>
  <c r="A1464" i="1"/>
  <c r="A1463" i="1"/>
  <c r="A1462" i="1"/>
  <c r="A1461" i="1"/>
  <c r="A1460" i="1"/>
  <c r="A1459" i="1"/>
  <c r="A1458" i="1"/>
  <c r="A1457" i="1"/>
  <c r="A1456" i="1"/>
  <c r="A1455" i="1"/>
  <c r="A1454" i="1"/>
  <c r="A1453" i="1"/>
  <c r="A1452" i="1"/>
  <c r="A1451" i="1"/>
  <c r="A1450" i="1"/>
  <c r="A1449" i="1"/>
  <c r="A1448" i="1"/>
  <c r="A1447" i="1"/>
  <c r="A1446" i="1"/>
  <c r="A1445" i="1"/>
  <c r="A1444" i="1"/>
  <c r="A1443" i="1"/>
  <c r="A1442" i="1"/>
  <c r="A1441" i="1"/>
  <c r="A1440" i="1"/>
  <c r="A1439" i="1"/>
  <c r="A1438" i="1"/>
  <c r="A1437" i="1"/>
  <c r="A1436" i="1"/>
  <c r="A1435" i="1"/>
  <c r="A1434" i="1"/>
  <c r="A1433" i="1"/>
  <c r="A1432" i="1"/>
  <c r="A1431" i="1"/>
  <c r="A1430" i="1"/>
  <c r="A1429" i="1"/>
  <c r="A1428" i="1"/>
  <c r="A1427" i="1"/>
  <c r="A1426" i="1"/>
  <c r="A1425" i="1"/>
  <c r="A1424" i="1"/>
  <c r="A1423" i="1"/>
  <c r="A1422" i="1"/>
  <c r="A1421" i="1"/>
  <c r="A1420" i="1"/>
  <c r="A1419" i="1"/>
  <c r="A1418" i="1"/>
  <c r="A1417" i="1"/>
  <c r="A1416" i="1"/>
  <c r="A1415" i="1"/>
  <c r="A1414" i="1"/>
  <c r="A1413" i="1"/>
  <c r="A1412" i="1"/>
  <c r="A1411" i="1"/>
  <c r="A1410" i="1"/>
  <c r="A1409" i="1"/>
  <c r="A1408" i="1"/>
  <c r="A1407" i="1"/>
  <c r="A1406" i="1"/>
  <c r="A1405" i="1"/>
  <c r="A1404" i="1"/>
  <c r="A1403" i="1"/>
  <c r="A1402" i="1"/>
  <c r="A1401" i="1"/>
  <c r="A1400" i="1"/>
  <c r="A1399" i="1"/>
  <c r="A1398" i="1"/>
  <c r="A1397" i="1"/>
  <c r="A1396" i="1"/>
  <c r="A1395" i="1"/>
  <c r="A1394" i="1"/>
  <c r="A1393" i="1"/>
  <c r="A1392" i="1"/>
  <c r="A1391" i="1"/>
  <c r="A1390" i="1"/>
  <c r="A1389" i="1"/>
  <c r="A1388" i="1"/>
  <c r="A1387" i="1"/>
  <c r="A1386" i="1"/>
  <c r="A1385" i="1"/>
  <c r="A1384" i="1"/>
  <c r="A1383" i="1"/>
  <c r="A1382" i="1"/>
  <c r="A1381" i="1"/>
  <c r="A1380" i="1"/>
  <c r="A1379" i="1"/>
  <c r="A1378" i="1"/>
  <c r="A1377" i="1"/>
  <c r="A1376" i="1"/>
  <c r="A1375" i="1"/>
  <c r="A1374" i="1"/>
  <c r="A1373" i="1"/>
  <c r="A1372" i="1"/>
  <c r="A1371" i="1"/>
  <c r="A1370" i="1"/>
  <c r="A1369" i="1"/>
  <c r="A1368" i="1"/>
  <c r="A1367" i="1"/>
  <c r="A1366" i="1"/>
  <c r="A1365" i="1"/>
  <c r="A1364" i="1"/>
  <c r="A1363" i="1"/>
  <c r="A1362" i="1"/>
  <c r="A1361" i="1"/>
  <c r="A1360" i="1"/>
  <c r="A1359" i="1"/>
  <c r="A1358" i="1"/>
  <c r="A1357" i="1"/>
  <c r="A1356" i="1"/>
  <c r="A1355" i="1"/>
  <c r="A1354" i="1"/>
  <c r="A1353" i="1"/>
  <c r="A1352" i="1"/>
  <c r="A1351" i="1"/>
  <c r="A1350" i="1"/>
  <c r="A1349" i="1"/>
  <c r="A1348" i="1"/>
  <c r="A1347" i="1"/>
  <c r="A1346" i="1"/>
  <c r="A1345" i="1"/>
  <c r="A1344" i="1"/>
  <c r="A1343" i="1"/>
  <c r="A1342" i="1"/>
  <c r="A1341" i="1"/>
  <c r="A1340" i="1"/>
  <c r="A1339" i="1"/>
  <c r="A1338" i="1"/>
  <c r="A1337" i="1"/>
  <c r="A1336" i="1"/>
  <c r="A1335" i="1"/>
  <c r="A1334" i="1"/>
  <c r="A1333" i="1"/>
  <c r="A1332" i="1"/>
  <c r="A1331" i="1"/>
  <c r="A1330" i="1"/>
  <c r="A1329" i="1"/>
  <c r="A1328" i="1"/>
  <c r="A1327" i="1"/>
  <c r="A1326" i="1"/>
  <c r="A1325" i="1"/>
  <c r="A1324" i="1"/>
  <c r="A1323" i="1"/>
  <c r="A1322" i="1"/>
  <c r="A1321" i="1"/>
  <c r="A1320" i="1"/>
  <c r="A1319" i="1"/>
  <c r="A1318" i="1"/>
  <c r="A1317" i="1"/>
  <c r="A1316" i="1"/>
  <c r="A1315" i="1"/>
  <c r="A1314" i="1"/>
  <c r="A1313" i="1"/>
  <c r="A1312" i="1"/>
  <c r="A1311" i="1"/>
  <c r="A1310" i="1"/>
  <c r="A1309" i="1"/>
  <c r="A1308" i="1"/>
  <c r="A1307" i="1"/>
  <c r="A1306" i="1"/>
  <c r="A1305" i="1"/>
  <c r="A1304" i="1"/>
  <c r="A1303" i="1"/>
  <c r="A1302" i="1"/>
  <c r="A1301" i="1"/>
  <c r="A1300" i="1"/>
  <c r="A1299" i="1"/>
  <c r="A1298" i="1"/>
  <c r="A1297" i="1"/>
  <c r="A1296" i="1"/>
  <c r="A1295" i="1"/>
  <c r="A1294" i="1"/>
  <c r="A1293" i="1"/>
  <c r="A1292" i="1"/>
  <c r="A1291" i="1"/>
  <c r="A1290" i="1"/>
  <c r="A1289" i="1"/>
  <c r="A1288" i="1"/>
  <c r="A1287" i="1"/>
  <c r="A1286" i="1"/>
  <c r="A1285" i="1"/>
  <c r="A1284" i="1"/>
  <c r="A1283" i="1"/>
  <c r="A1282" i="1"/>
  <c r="A1281" i="1"/>
  <c r="A1280" i="1"/>
  <c r="A1279" i="1"/>
  <c r="A1278" i="1"/>
  <c r="A1277" i="1"/>
  <c r="A1276" i="1"/>
  <c r="A1275" i="1"/>
  <c r="A1274" i="1"/>
  <c r="A1273" i="1"/>
  <c r="A1272" i="1"/>
  <c r="A1271" i="1"/>
  <c r="A1270" i="1"/>
  <c r="A1269" i="1"/>
  <c r="A1268" i="1"/>
  <c r="A1267" i="1"/>
  <c r="A1266" i="1"/>
  <c r="A1265" i="1"/>
  <c r="A1264" i="1"/>
  <c r="A1263" i="1"/>
  <c r="A1262" i="1"/>
  <c r="A1261" i="1"/>
  <c r="A1260" i="1"/>
  <c r="A1259" i="1"/>
  <c r="A1258" i="1"/>
  <c r="A1257" i="1"/>
  <c r="A1256" i="1"/>
  <c r="A1255" i="1"/>
  <c r="A1254" i="1"/>
  <c r="A1253" i="1"/>
  <c r="A1252" i="1"/>
  <c r="A1251" i="1"/>
  <c r="A1250" i="1"/>
  <c r="A1249" i="1"/>
  <c r="A1248" i="1"/>
  <c r="A1247" i="1"/>
  <c r="A1246" i="1"/>
  <c r="A1245" i="1"/>
  <c r="A1244" i="1"/>
  <c r="A1243" i="1"/>
  <c r="A1242" i="1"/>
  <c r="A1241" i="1"/>
  <c r="A1240" i="1"/>
  <c r="A1239" i="1"/>
  <c r="A1238" i="1"/>
  <c r="A1237" i="1"/>
  <c r="A1236" i="1"/>
  <c r="A1235" i="1"/>
  <c r="A1234" i="1"/>
  <c r="A1233" i="1"/>
  <c r="A1232" i="1"/>
  <c r="A1231" i="1"/>
  <c r="A1230" i="1"/>
  <c r="A1229" i="1"/>
  <c r="A1228" i="1"/>
  <c r="A1227" i="1"/>
  <c r="A1226" i="1"/>
  <c r="A1225" i="1"/>
  <c r="A1224" i="1"/>
  <c r="A1223" i="1"/>
  <c r="A1222" i="1"/>
  <c r="A1221" i="1"/>
  <c r="A1220" i="1"/>
  <c r="A1219" i="1"/>
  <c r="A1218" i="1"/>
  <c r="A1217" i="1"/>
  <c r="A1216" i="1"/>
  <c r="A1215" i="1"/>
  <c r="A1214" i="1"/>
  <c r="A1213" i="1"/>
  <c r="A1212" i="1"/>
  <c r="A1211" i="1"/>
  <c r="A1210" i="1"/>
  <c r="A1209" i="1"/>
  <c r="A1208" i="1"/>
  <c r="A1207" i="1"/>
  <c r="A1206" i="1"/>
  <c r="A1205" i="1"/>
  <c r="A1204" i="1"/>
  <c r="A1203" i="1"/>
  <c r="A1202" i="1"/>
  <c r="A1201" i="1"/>
  <c r="A1200" i="1"/>
  <c r="A1199" i="1"/>
  <c r="A1198" i="1"/>
  <c r="A1197" i="1"/>
  <c r="A1196" i="1"/>
  <c r="A1195" i="1"/>
  <c r="A1194" i="1"/>
  <c r="A1193" i="1"/>
  <c r="A1192" i="1"/>
  <c r="A1191" i="1"/>
  <c r="A1190" i="1"/>
  <c r="A1189" i="1"/>
  <c r="A1188" i="1"/>
  <c r="A1187" i="1"/>
  <c r="A1186" i="1"/>
  <c r="A1185" i="1"/>
  <c r="A1184" i="1"/>
  <c r="A1183" i="1"/>
  <c r="A1182" i="1"/>
  <c r="A1181" i="1"/>
  <c r="A1180" i="1"/>
  <c r="A1179" i="1"/>
  <c r="A1178" i="1"/>
  <c r="A1177" i="1"/>
  <c r="A1176" i="1"/>
  <c r="A1175" i="1"/>
  <c r="A1174" i="1"/>
  <c r="A1173" i="1"/>
  <c r="A1172" i="1"/>
  <c r="A1171" i="1"/>
  <c r="A1170" i="1"/>
  <c r="A1169" i="1"/>
  <c r="A1168" i="1"/>
  <c r="A1167" i="1"/>
  <c r="A1166" i="1"/>
  <c r="A1165" i="1"/>
  <c r="A1164" i="1"/>
  <c r="A1163" i="1"/>
  <c r="A1162" i="1"/>
  <c r="A1161" i="1"/>
  <c r="A1160" i="1"/>
  <c r="A1159" i="1"/>
  <c r="A1158" i="1"/>
  <c r="A1157" i="1"/>
  <c r="A1156" i="1"/>
  <c r="A1155" i="1"/>
  <c r="A1154" i="1"/>
  <c r="A1153" i="1"/>
  <c r="A1152" i="1"/>
  <c r="A1151" i="1"/>
  <c r="A1150" i="1"/>
  <c r="A1149" i="1"/>
  <c r="A1148" i="1"/>
  <c r="A1147" i="1"/>
  <c r="A1146" i="1"/>
  <c r="A1145" i="1"/>
  <c r="A1144" i="1"/>
  <c r="A1143" i="1"/>
  <c r="A1142" i="1"/>
  <c r="A1141" i="1"/>
  <c r="A1140" i="1"/>
  <c r="A1139" i="1"/>
  <c r="A1138" i="1"/>
  <c r="A1137" i="1"/>
  <c r="A1136" i="1"/>
  <c r="A1135" i="1"/>
  <c r="A1134" i="1"/>
  <c r="A1133" i="1"/>
  <c r="A1132" i="1"/>
  <c r="A1131" i="1"/>
  <c r="A1130" i="1"/>
  <c r="A1129" i="1"/>
  <c r="A1128" i="1"/>
  <c r="A1127" i="1"/>
  <c r="A1126" i="1"/>
  <c r="A1125" i="1"/>
  <c r="A1124" i="1"/>
  <c r="A1123" i="1"/>
  <c r="A1122" i="1"/>
  <c r="A1121" i="1"/>
  <c r="A1120" i="1"/>
  <c r="A1119" i="1"/>
  <c r="A1118" i="1"/>
  <c r="A1117" i="1"/>
  <c r="A1116" i="1"/>
  <c r="A1115" i="1"/>
  <c r="A1114" i="1"/>
  <c r="A1113" i="1"/>
  <c r="A1112" i="1"/>
  <c r="A1111" i="1"/>
  <c r="A1110" i="1"/>
  <c r="A1109" i="1"/>
  <c r="A1108" i="1"/>
  <c r="A1107" i="1"/>
  <c r="A1106" i="1"/>
  <c r="A1105" i="1"/>
  <c r="A1104" i="1"/>
  <c r="A1103" i="1"/>
  <c r="A1102" i="1"/>
  <c r="A1101" i="1"/>
  <c r="A1100" i="1"/>
  <c r="A1099" i="1"/>
  <c r="A1098" i="1"/>
  <c r="A1097" i="1"/>
  <c r="A1096" i="1"/>
  <c r="A1095" i="1"/>
  <c r="A1094" i="1"/>
  <c r="A1093" i="1"/>
  <c r="A1092" i="1"/>
  <c r="A1091" i="1"/>
  <c r="A1090" i="1"/>
  <c r="A1089" i="1"/>
  <c r="A1088" i="1"/>
  <c r="A1087" i="1"/>
  <c r="A1086" i="1"/>
  <c r="A1085" i="1"/>
  <c r="A1084" i="1"/>
  <c r="A1083" i="1"/>
  <c r="A1082" i="1"/>
  <c r="A1081" i="1"/>
  <c r="A1080" i="1"/>
  <c r="A1079" i="1"/>
  <c r="A1078" i="1"/>
  <c r="A1077" i="1"/>
  <c r="A1076" i="1"/>
  <c r="A1075" i="1"/>
  <c r="A1074" i="1"/>
  <c r="A1073" i="1"/>
  <c r="A1072" i="1"/>
  <c r="A1071" i="1"/>
  <c r="A1070" i="1"/>
  <c r="A1069" i="1"/>
  <c r="A1068" i="1"/>
  <c r="A1067" i="1"/>
  <c r="A1066" i="1"/>
  <c r="A1065" i="1"/>
  <c r="A1064" i="1"/>
  <c r="A1063" i="1"/>
  <c r="A1062" i="1"/>
  <c r="A1061" i="1"/>
  <c r="A1060" i="1"/>
  <c r="A1059" i="1"/>
  <c r="A1058" i="1"/>
  <c r="A1057" i="1"/>
  <c r="A1056" i="1"/>
  <c r="A1055" i="1"/>
  <c r="A1054" i="1"/>
  <c r="A1053" i="1"/>
  <c r="A1052" i="1"/>
  <c r="A1051" i="1"/>
  <c r="A1050" i="1"/>
  <c r="A1049" i="1"/>
  <c r="A1048" i="1"/>
  <c r="A1047" i="1"/>
  <c r="A1046" i="1"/>
  <c r="A1045" i="1"/>
  <c r="A1044" i="1"/>
  <c r="A1043" i="1"/>
  <c r="A1042" i="1"/>
  <c r="A1041" i="1"/>
  <c r="A1040" i="1"/>
  <c r="A1039" i="1"/>
  <c r="A1038" i="1"/>
  <c r="A1037" i="1"/>
  <c r="A1036" i="1"/>
  <c r="A1035" i="1"/>
  <c r="A1034" i="1"/>
  <c r="A1033" i="1"/>
  <c r="A1032" i="1"/>
  <c r="A1031" i="1"/>
  <c r="A1030" i="1"/>
  <c r="A1029" i="1"/>
  <c r="A1028" i="1"/>
  <c r="A1027" i="1"/>
  <c r="A1026" i="1"/>
  <c r="A1025" i="1"/>
  <c r="A1024" i="1"/>
  <c r="A1023" i="1"/>
  <c r="A1022" i="1"/>
  <c r="A1021" i="1"/>
  <c r="A1020" i="1"/>
  <c r="A1019" i="1"/>
  <c r="A1018" i="1"/>
  <c r="A1017" i="1"/>
  <c r="A1016" i="1"/>
  <c r="A1015" i="1"/>
  <c r="A1014" i="1"/>
  <c r="A1013" i="1"/>
  <c r="A1012" i="1"/>
  <c r="A1011" i="1"/>
  <c r="A1010" i="1"/>
  <c r="A1009" i="1"/>
  <c r="A1008" i="1"/>
  <c r="A1007" i="1"/>
  <c r="A1006" i="1"/>
  <c r="A1005" i="1"/>
  <c r="A1004" i="1"/>
  <c r="A1003" i="1"/>
  <c r="A1002" i="1"/>
  <c r="A1001" i="1"/>
  <c r="A1000" i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<sst xmlns="http://schemas.openxmlformats.org/spreadsheetml/2006/main" count="48473" uniqueCount="10859">
  <si>
    <r>
      <rPr>
        <b/>
        <sz val="11"/>
        <rFont val="Calibri"/>
      </rPr>
      <t>Name</t>
    </r>
  </si>
  <si>
    <r>
      <rPr>
        <b/>
        <sz val="11"/>
        <rFont val="Calibri"/>
      </rPr>
      <t>HCO</t>
    </r>
  </si>
  <si>
    <r>
      <rPr>
        <b/>
        <sz val="11"/>
        <rFont val="Calibri"/>
      </rPr>
      <t>Parent HCO Account</t>
    </r>
  </si>
  <si>
    <r>
      <rPr>
        <b/>
        <sz val="11"/>
        <rFont val="Calibri"/>
      </rPr>
      <t>Servier Distributor ID</t>
    </r>
  </si>
  <si>
    <r>
      <rPr>
        <b/>
        <sz val="11"/>
        <rFont val="Calibri"/>
      </rPr>
      <t>Address line 1</t>
    </r>
  </si>
  <si>
    <r>
      <rPr>
        <b/>
        <sz val="11"/>
        <rFont val="Calibri"/>
      </rPr>
      <t>Address line 2</t>
    </r>
  </si>
  <si>
    <r>
      <rPr>
        <b/>
        <sz val="11"/>
        <rFont val="Calibri"/>
      </rPr>
      <t>Address line 3</t>
    </r>
  </si>
  <si>
    <r>
      <rPr>
        <b/>
        <sz val="11"/>
        <rFont val="Calibri"/>
      </rPr>
      <t>Postal Code</t>
    </r>
  </si>
  <si>
    <t/>
  </si>
  <si>
    <t>0011i000001xn5U</t>
  </si>
  <si>
    <t>true</t>
  </si>
  <si>
    <t>100 Yishun Central</t>
  </si>
  <si>
    <t>Yishun Polyclinic</t>
  </si>
  <si>
    <t>738579</t>
  </si>
  <si>
    <t>0011i000001xmfq</t>
  </si>
  <si>
    <t>0011i000001xmrY</t>
  </si>
  <si>
    <t>#01-173</t>
  </si>
  <si>
    <t>G&amp;H Medical Clinic</t>
  </si>
  <si>
    <t>760106</t>
  </si>
  <si>
    <t>0011i000001xmr5</t>
  </si>
  <si>
    <t>10 Woodlands  St 21</t>
  </si>
  <si>
    <t>Woodlands Polyclinic</t>
  </si>
  <si>
    <t>738571</t>
  </si>
  <si>
    <t>0011i000001xnYs</t>
  </si>
  <si>
    <t>0011i000001xmq9</t>
  </si>
  <si>
    <t>0011i000001xnPj</t>
  </si>
  <si>
    <t>0011i000001xnS3</t>
  </si>
  <si>
    <t>0011i000001xnQu</t>
  </si>
  <si>
    <t>false</t>
  </si>
  <si>
    <t>149 Rochor Road</t>
  </si>
  <si>
    <t>#B1-17 Fu Lu Shou Complex</t>
  </si>
  <si>
    <t>500208</t>
  </si>
  <si>
    <t>188425</t>
  </si>
  <si>
    <t>0011i000001xmbz</t>
  </si>
  <si>
    <t>Blk 101 Towner Road</t>
  </si>
  <si>
    <t>#01-228</t>
  </si>
  <si>
    <t>322101</t>
  </si>
  <si>
    <t>0011i000001xnQ4</t>
  </si>
  <si>
    <t>Block 101 Towner Road</t>
  </si>
  <si>
    <t>0011i000001xndQ</t>
  </si>
  <si>
    <t>0011i000001xmm8</t>
  </si>
  <si>
    <t>Singapore Shopping Centre</t>
  </si>
  <si>
    <t>Ratnam's Allergy &amp; Skin Centre</t>
  </si>
  <si>
    <t>239924</t>
  </si>
  <si>
    <t>0011i000001xnDU</t>
  </si>
  <si>
    <t>Tanglin Shopping Centre</t>
  </si>
  <si>
    <t>Women's &amp; Maternity Clinic</t>
  </si>
  <si>
    <t>247909</t>
  </si>
  <si>
    <t>0011i000001xn4d</t>
  </si>
  <si>
    <t>Camden Medical Centre</t>
  </si>
  <si>
    <t>Woffles Wu Aesthetic Surg &amp; Laser</t>
  </si>
  <si>
    <t>248649</t>
  </si>
  <si>
    <t>0011i000001xmrD</t>
  </si>
  <si>
    <t>2003 Lor 8 Toa Payoh</t>
  </si>
  <si>
    <t>Toa Payoh Polyclinic</t>
  </si>
  <si>
    <t>319260</t>
  </si>
  <si>
    <t>0011i000001xn29</t>
  </si>
  <si>
    <t>21 Geylang East Central</t>
  </si>
  <si>
    <t>Geylang Polyclinic</t>
  </si>
  <si>
    <t>389707</t>
  </si>
  <si>
    <t>0011i000001xnSK</t>
  </si>
  <si>
    <t>0011i000001xmnm</t>
  </si>
  <si>
    <t>0011i000001xmuL</t>
  </si>
  <si>
    <t>0011i000001xmhw</t>
  </si>
  <si>
    <t>4/6 Napier Road</t>
  </si>
  <si>
    <t>Gleneagles Medical Centre</t>
  </si>
  <si>
    <t>300002</t>
  </si>
  <si>
    <t>258499</t>
  </si>
  <si>
    <t>0011i000001xmi5</t>
  </si>
  <si>
    <t>6 Napier Road</t>
  </si>
  <si>
    <t>0011i000001xmvN</t>
  </si>
  <si>
    <t>258449</t>
  </si>
  <si>
    <t>0011i000001xmhu</t>
  </si>
  <si>
    <t>0011i000001xmi7</t>
  </si>
  <si>
    <t>0011i000001xmgT</t>
  </si>
  <si>
    <t>#01-319 Loyang Point</t>
  </si>
  <si>
    <t>Alchemy Pharmacy</t>
  </si>
  <si>
    <t>518970</t>
  </si>
  <si>
    <t>0011i000001xnKx</t>
  </si>
  <si>
    <t>Block 289E Bukit Batok Street 25</t>
  </si>
  <si>
    <t>#01-160</t>
  </si>
  <si>
    <t>654289</t>
  </si>
  <si>
    <t>0011i000001xn73</t>
  </si>
  <si>
    <t>The Paragon</t>
  </si>
  <si>
    <t>RadLink Digital Imaging</t>
  </si>
  <si>
    <t>238859</t>
  </si>
  <si>
    <t>0011i000001xmxR</t>
  </si>
  <si>
    <t>Paragon</t>
  </si>
  <si>
    <t>Japan Green Clinic</t>
  </si>
  <si>
    <t>0011i000001xn5B</t>
  </si>
  <si>
    <t>2 Teck Whye Crescent</t>
  </si>
  <si>
    <t>Choa Chu Kang Polyclinic</t>
  </si>
  <si>
    <t>688846</t>
  </si>
  <si>
    <t>0011i000001xnQ3</t>
  </si>
  <si>
    <t>0011i000001xmpq</t>
  </si>
  <si>
    <t>0011i000001xn2c</t>
  </si>
  <si>
    <t>0011i000001xnXD</t>
  </si>
  <si>
    <t>0011i000001xnN1</t>
  </si>
  <si>
    <t>0011i000001xn6y</t>
  </si>
  <si>
    <t>Guardian Pharmacy - Maritime Square</t>
  </si>
  <si>
    <t>Gabriel's Pharmacy</t>
  </si>
  <si>
    <t>730303</t>
  </si>
  <si>
    <t>0011i000001xmp3</t>
  </si>
  <si>
    <t>321 Joo Chiat Place</t>
  </si>
  <si>
    <t>Eastshore Hospital</t>
  </si>
  <si>
    <t>427990</t>
  </si>
  <si>
    <t>0011i000001xnBo</t>
  </si>
  <si>
    <t>0011i000001xnV6</t>
  </si>
  <si>
    <t>Blk 326 Serangoon Ave 3</t>
  </si>
  <si>
    <t>#01-382</t>
  </si>
  <si>
    <t>201368</t>
  </si>
  <si>
    <t>550326</t>
  </si>
  <si>
    <t>0011i000001xmc0</t>
  </si>
  <si>
    <t>#08-00 Shaw House</t>
  </si>
  <si>
    <t>Wellness Assessment Centre</t>
  </si>
  <si>
    <t>238868</t>
  </si>
  <si>
    <t>0011i000001xnNp</t>
  </si>
  <si>
    <t>International Building</t>
  </si>
  <si>
    <t>Drs Trythall Hoy Davies(Pte)</t>
  </si>
  <si>
    <t>238869</t>
  </si>
  <si>
    <t>0011i000001xnVs</t>
  </si>
  <si>
    <t>Mt Elizabeth Medical Centre</t>
  </si>
  <si>
    <t>Pillay Ortho Spine &amp; Reconstructive</t>
  </si>
  <si>
    <t>228510</t>
  </si>
  <si>
    <t>0011i000001xnZt</t>
  </si>
  <si>
    <t>E.H. Ng Breast &amp; General Surg</t>
  </si>
  <si>
    <t>0011i000001xmen</t>
  </si>
  <si>
    <t>Mount Elizabeth Skin Clinic</t>
  </si>
  <si>
    <t>0011i000001xmtw</t>
  </si>
  <si>
    <t>Ti Surgical Clinic</t>
  </si>
  <si>
    <t>0011i000001xndM</t>
  </si>
  <si>
    <t>Ong Surgical Clinic</t>
  </si>
  <si>
    <t>0011i000001xmqB</t>
  </si>
  <si>
    <t>W K Wong Skin Clinic</t>
  </si>
  <si>
    <t>0011i000001xnSR</t>
  </si>
  <si>
    <t>Level 2</t>
  </si>
  <si>
    <t>Institute of Health</t>
  </si>
  <si>
    <t>168937</t>
  </si>
  <si>
    <t>0011i000001xnRD</t>
  </si>
  <si>
    <t>100176</t>
  </si>
  <si>
    <t>0011i000001xnUj</t>
  </si>
  <si>
    <t>0011i000001xmn1</t>
  </si>
  <si>
    <t>0011i000001xnOT</t>
  </si>
  <si>
    <t>#03-24 Orchard Towers</t>
  </si>
  <si>
    <t>Orchard Pharmacy Pte Ltd</t>
  </si>
  <si>
    <t>238875</t>
  </si>
  <si>
    <t>0011i000001xmnl</t>
  </si>
  <si>
    <t>50 Bukit Batok West Ave 3</t>
  </si>
  <si>
    <t>Bukit Batok Polyclinic</t>
  </si>
  <si>
    <t>659164</t>
  </si>
  <si>
    <t>0011i000001xnWZ</t>
  </si>
  <si>
    <t>0011i000001xmn5</t>
  </si>
  <si>
    <t>0011i000001xnMy</t>
  </si>
  <si>
    <t>0011i000001xnY6</t>
  </si>
  <si>
    <t>0011i000001xnCH</t>
  </si>
  <si>
    <t>#01-603</t>
  </si>
  <si>
    <t>Wong Clinic</t>
  </si>
  <si>
    <t>460539</t>
  </si>
  <si>
    <t>0011i000001xnUD</t>
  </si>
  <si>
    <t>548 Woodlands Drive 44 #01-40</t>
  </si>
  <si>
    <t>Avicenna Pharmacy Pte Ltd</t>
  </si>
  <si>
    <t>730548</t>
  </si>
  <si>
    <t>0011i000001xmc3</t>
  </si>
  <si>
    <t>585 North Bridge Road</t>
  </si>
  <si>
    <t>Raffles Hospital</t>
  </si>
  <si>
    <t>188770</t>
  </si>
  <si>
    <t>0011i000001xnXx</t>
  </si>
  <si>
    <t>0011i000001xnaa</t>
  </si>
  <si>
    <t>0011i000001xmfA</t>
  </si>
  <si>
    <t>0011i000001xmn9</t>
  </si>
  <si>
    <t>0011i000001xnXG</t>
  </si>
  <si>
    <t>585 Raffles Hospital</t>
  </si>
  <si>
    <t>0011i000001xmbl</t>
  </si>
  <si>
    <t>Excelsior Shopping Centre</t>
  </si>
  <si>
    <t>Sivananda Medical Centre</t>
  </si>
  <si>
    <t>179805</t>
  </si>
  <si>
    <t>0011i000001xn8U</t>
  </si>
  <si>
    <t>Blk 253 Serangoon Central Drive</t>
  </si>
  <si>
    <t>#01-187</t>
  </si>
  <si>
    <t>550253</t>
  </si>
  <si>
    <t>0011i000001xncC</t>
  </si>
  <si>
    <t>253 Serangoon Central Drive</t>
  </si>
  <si>
    <t>0011i000001xn5k</t>
  </si>
  <si>
    <t>621 Bukit Timah Road</t>
  </si>
  <si>
    <t>Bukit Timah Clinic</t>
  </si>
  <si>
    <t>269731</t>
  </si>
  <si>
    <t>0011i000001xmrt</t>
  </si>
  <si>
    <t>#01-956</t>
  </si>
  <si>
    <t>Summit Medical Clinic</t>
  </si>
  <si>
    <t>560632</t>
  </si>
  <si>
    <t>0011i000001xnai</t>
  </si>
  <si>
    <t>Blk 846 Yishun Ring Road</t>
  </si>
  <si>
    <t>#01-3619</t>
  </si>
  <si>
    <t>760846</t>
  </si>
  <si>
    <t>0011i000001xmkb</t>
  </si>
  <si>
    <t>0011i000001xnJO</t>
  </si>
  <si>
    <t>0011i000001xnbW</t>
  </si>
  <si>
    <t>0011i000001xnBJ</t>
  </si>
  <si>
    <t>Mt Alvernia Medical Centre</t>
  </si>
  <si>
    <t>Joy Lee Surgery (Ground Floor)</t>
  </si>
  <si>
    <t>574623</t>
  </si>
  <si>
    <t>0011i000001xnV2</t>
  </si>
  <si>
    <t>820 Thomson Road</t>
  </si>
  <si>
    <t>Mt Alvernia Hospital</t>
  </si>
  <si>
    <t>0011i000001xnCF</t>
  </si>
  <si>
    <t>Mt Alvernia Medical Centre(B)</t>
  </si>
  <si>
    <t>Ang Skin &amp; Hair Clinic</t>
  </si>
  <si>
    <t>0011i000001xn5n</t>
  </si>
  <si>
    <t>LP Surgery Associates</t>
  </si>
  <si>
    <t>0011i000001xnb4</t>
  </si>
  <si>
    <t>Woodlands Drive 50</t>
  </si>
  <si>
    <t>#01-739 888 Plaza</t>
  </si>
  <si>
    <t>730888</t>
  </si>
  <si>
    <t>0011i000001xmuF</t>
  </si>
  <si>
    <t>#04-06 Orchard Plaza</t>
  </si>
  <si>
    <t>150 Orchard Road</t>
  </si>
  <si>
    <t>238841</t>
  </si>
  <si>
    <t>0011i000001xn7K</t>
  </si>
  <si>
    <t>ME Hospital</t>
  </si>
  <si>
    <t>3 Mt E Road</t>
  </si>
  <si>
    <t>228570</t>
  </si>
  <si>
    <t>0011i000001xmk8</t>
  </si>
  <si>
    <t>300006</t>
  </si>
  <si>
    <t>0011i00000KM4Qc</t>
  </si>
  <si>
    <t>418 Bedok North Ave 2</t>
  </si>
  <si>
    <t>#01-63</t>
  </si>
  <si>
    <t>460418</t>
  </si>
  <si>
    <t>0011i00000ix42z</t>
  </si>
  <si>
    <t>Raffles Hospital Pte Ltd</t>
  </si>
  <si>
    <t>Department of Colorectal Surgery</t>
  </si>
  <si>
    <t>0011i000001xnZW</t>
  </si>
  <si>
    <t>2 90 Orchard Road Paragon</t>
  </si>
  <si>
    <t>#12-01</t>
  </si>
  <si>
    <t>0011i000001xnmF</t>
  </si>
  <si>
    <t>Department of Cardiology</t>
  </si>
  <si>
    <t>18870</t>
  </si>
  <si>
    <t>Raffles Diabetes &amp; Endocrine Centre</t>
  </si>
  <si>
    <t>585 North Bridge Road #02-00</t>
  </si>
  <si>
    <t>Dept of Neuroscience</t>
  </si>
  <si>
    <t>Department of Respiratory Medicine</t>
  </si>
  <si>
    <t>Dept of Psychiatry</t>
  </si>
  <si>
    <t>Department of Renal Medicine</t>
  </si>
  <si>
    <t>202315</t>
  </si>
  <si>
    <t>Department of Colorectal</t>
  </si>
  <si>
    <t>188700</t>
  </si>
  <si>
    <t>Raffles Surgery Centre</t>
  </si>
  <si>
    <t>Department of Endocrinology</t>
  </si>
  <si>
    <t>Internal Medicine and Endocrinology</t>
  </si>
  <si>
    <t>Department of Geriatric Medicine</t>
  </si>
  <si>
    <t>Dept of Surgery Centre</t>
  </si>
  <si>
    <t>0011i000001xnyS</t>
  </si>
  <si>
    <t>Singapore General Hospital</t>
  </si>
  <si>
    <t>Outram Road</t>
  </si>
  <si>
    <t>169608</t>
  </si>
  <si>
    <t>0011i000001xmmF</t>
  </si>
  <si>
    <t>3 Mt Elizabeth #07-08</t>
  </si>
  <si>
    <t>0011i00000nIAk4</t>
  </si>
  <si>
    <t>Department of General Medicine</t>
  </si>
  <si>
    <t>Moulmein Road</t>
  </si>
  <si>
    <t>100002</t>
  </si>
  <si>
    <t>308433</t>
  </si>
  <si>
    <t>Tan Tock Seng Hospital</t>
  </si>
  <si>
    <t>0011i000001xn21</t>
  </si>
  <si>
    <t>339 Thomson Road</t>
  </si>
  <si>
    <t>#03-03 Thomson Medical Centre</t>
  </si>
  <si>
    <t>202805</t>
  </si>
  <si>
    <t>307677</t>
  </si>
  <si>
    <t>0011i000001xmeX</t>
  </si>
  <si>
    <t>0011i000001xnST</t>
  </si>
  <si>
    <t>0011i000001xnFd</t>
  </si>
  <si>
    <t>820 Thomson Road #08-05</t>
  </si>
  <si>
    <t>0011i000001xmsh</t>
  </si>
  <si>
    <t>Blk 64 Yung Kuang Road</t>
  </si>
  <si>
    <t>#01-107</t>
  </si>
  <si>
    <t>201744</t>
  </si>
  <si>
    <t>610064</t>
  </si>
  <si>
    <t>0011i000001xnR9</t>
  </si>
  <si>
    <t>#01-107/111</t>
  </si>
  <si>
    <t>0011i000001xmno</t>
  </si>
  <si>
    <t>303 Woodlands Street 31</t>
  </si>
  <si>
    <t>#01-185</t>
  </si>
  <si>
    <t>0011i000001xnd6</t>
  </si>
  <si>
    <t>0011i000001xmsz</t>
  </si>
  <si>
    <t>0011i000001xmqH</t>
  </si>
  <si>
    <t>64 Yung Kuang Road</t>
  </si>
  <si>
    <t>0011i000001xnTm</t>
  </si>
  <si>
    <t>19 Adam Road</t>
  </si>
  <si>
    <t>Adam Road Hospital</t>
  </si>
  <si>
    <t>289891</t>
  </si>
  <si>
    <t>0011i000001xmf2</t>
  </si>
  <si>
    <t>#06-04 Thomson Medical Centre</t>
  </si>
  <si>
    <t>202919</t>
  </si>
  <si>
    <t>0011i000001xmsT</t>
  </si>
  <si>
    <t>1 Coleman Street #04-32</t>
  </si>
  <si>
    <t>The Adelphi</t>
  </si>
  <si>
    <t>179803</t>
  </si>
  <si>
    <t>0011i000001xnPy</t>
  </si>
  <si>
    <t>Blk 821 Tampines Street 81</t>
  </si>
  <si>
    <t>#01-210</t>
  </si>
  <si>
    <t>520821</t>
  </si>
  <si>
    <t>0011i000001xnYk</t>
  </si>
  <si>
    <t>Blk 678A Woodlands Avenue 6</t>
  </si>
  <si>
    <t>#01-14</t>
  </si>
  <si>
    <t>200254</t>
  </si>
  <si>
    <t>731678</t>
  </si>
  <si>
    <t>Blk 678A Woodland Ave 6</t>
  </si>
  <si>
    <t>805395</t>
  </si>
  <si>
    <t>0011i000001xn3x</t>
  </si>
  <si>
    <t>101 Irrawaddy Road #13-05</t>
  </si>
  <si>
    <t>Royal Square Novena</t>
  </si>
  <si>
    <t>329565</t>
  </si>
  <si>
    <t>0011i000001xnTC</t>
  </si>
  <si>
    <t>Blk 301 Ubi Ave 1</t>
  </si>
  <si>
    <t>#01-269</t>
  </si>
  <si>
    <t>202288</t>
  </si>
  <si>
    <t>400301</t>
  </si>
  <si>
    <t>0011i00000X9Nb9</t>
  </si>
  <si>
    <t>290 Orchard Road</t>
  </si>
  <si>
    <t>#18-01 Paragon Medical Tower</t>
  </si>
  <si>
    <t>Lobby 2 Orchard</t>
  </si>
  <si>
    <t>0011i00000ugAht</t>
  </si>
  <si>
    <t>467B Fernvale Link</t>
  </si>
  <si>
    <t>#01-529</t>
  </si>
  <si>
    <t>792467</t>
  </si>
  <si>
    <t>0011i000001xncN</t>
  </si>
  <si>
    <t>101 Irrawaddy Road #21-03</t>
  </si>
  <si>
    <t>Royal Square Medical Suites</t>
  </si>
  <si>
    <t>0011i000001xn9r</t>
  </si>
  <si>
    <t>#15-10/12 Paragon Medical Tower</t>
  </si>
  <si>
    <t>203236</t>
  </si>
  <si>
    <t>0011i000001xnVC</t>
  </si>
  <si>
    <t>222 Bishan Street 23</t>
  </si>
  <si>
    <t>#B1-169</t>
  </si>
  <si>
    <t>570222</t>
  </si>
  <si>
    <t>0011i000001xo1G</t>
  </si>
  <si>
    <t>Clementi Polyclinic</t>
  </si>
  <si>
    <t>Blk 451 Clementi Avenue 3</t>
  </si>
  <si>
    <t>#02-307</t>
  </si>
  <si>
    <t>120451</t>
  </si>
  <si>
    <t>Blk 451 Clementi Ave 3</t>
  </si>
  <si>
    <t>100127</t>
  </si>
  <si>
    <t>0011i000001xnP1</t>
  </si>
  <si>
    <t>38 Irrawaddy Road #06-21</t>
  </si>
  <si>
    <t>Mt Elizabeth Novena Hospital</t>
  </si>
  <si>
    <t>329563</t>
  </si>
  <si>
    <t>0011i000001xocf</t>
  </si>
  <si>
    <t>Dapartment of Pharmacy</t>
  </si>
  <si>
    <t>11 Jalan Tan Tock Seng</t>
  </si>
  <si>
    <t>0011i000001xoVt</t>
  </si>
  <si>
    <t>400 Balestier Road #01-22</t>
  </si>
  <si>
    <t>Alcare Pharmaceutical - Balestier</t>
  </si>
  <si>
    <t>329802</t>
  </si>
  <si>
    <t>0011i000001xoW3</t>
  </si>
  <si>
    <t>258 Pasir Ris Street 21</t>
  </si>
  <si>
    <t>0011i000001xmn3</t>
  </si>
  <si>
    <t>57 Dawson Road #02-02</t>
  </si>
  <si>
    <t>Dawson Place</t>
  </si>
  <si>
    <t>142057</t>
  </si>
  <si>
    <t>0011i000001xmki</t>
  </si>
  <si>
    <t>Department of Geriatric</t>
  </si>
  <si>
    <t>378 Alexandra Road</t>
  </si>
  <si>
    <t>100001</t>
  </si>
  <si>
    <t>159964</t>
  </si>
  <si>
    <t>0011i000001xml1</t>
  </si>
  <si>
    <t>378 ALexandra Road</t>
  </si>
  <si>
    <t>0011i000001xn4F</t>
  </si>
  <si>
    <t>Department of General Surgery</t>
  </si>
  <si>
    <t>0011i000001xn4p</t>
  </si>
  <si>
    <t>Department of A&amp;E</t>
  </si>
  <si>
    <t>0011i000001xmb3</t>
  </si>
  <si>
    <t>0011i000001xnS9</t>
  </si>
  <si>
    <t>0011i000001xnXd</t>
  </si>
  <si>
    <t>0011i000001xnUw</t>
  </si>
  <si>
    <t>3 Mount Elizabeth Road</t>
  </si>
  <si>
    <t>#07-07 Mount Elizabeth Medical Centre</t>
  </si>
  <si>
    <t>202144</t>
  </si>
  <si>
    <t>0011i000001xmx4</t>
  </si>
  <si>
    <t>3 Mount Elizabeth</t>
  </si>
  <si>
    <t>#05-09 Mount Elizabeth Medical Centre</t>
  </si>
  <si>
    <t>201812</t>
  </si>
  <si>
    <t>0011i000001xndW</t>
  </si>
  <si>
    <t>#11-07 Mount Elizabeth Medical Centre</t>
  </si>
  <si>
    <t>200441</t>
  </si>
  <si>
    <t>0011i000001xmp2</t>
  </si>
  <si>
    <t>#15-15 Mount Elizabeth Medical Centre</t>
  </si>
  <si>
    <t>202586</t>
  </si>
  <si>
    <t>0011i00000vJl7z</t>
  </si>
  <si>
    <t>3 Mount Elizabeth #10-07</t>
  </si>
  <si>
    <t>Mount Elizabeth Medical Centre</t>
  </si>
  <si>
    <t>202978</t>
  </si>
  <si>
    <t>3 Mount Elizabeth, #10-07</t>
  </si>
  <si>
    <t>0011i000001xohP</t>
  </si>
  <si>
    <t>Sengkang Polyclinic</t>
  </si>
  <si>
    <t>2 Sengkang Square</t>
  </si>
  <si>
    <t>#01-06 Sengkang Community Hub</t>
  </si>
  <si>
    <t>100274</t>
  </si>
  <si>
    <t>545025</t>
  </si>
  <si>
    <t>0011i000001xmvI</t>
  </si>
  <si>
    <t>#09-02 Gleneagles Medical Centre</t>
  </si>
  <si>
    <t>202977</t>
  </si>
  <si>
    <t>0011i000001xnCx</t>
  </si>
  <si>
    <t>Blk 652 Jalan Tenaga</t>
  </si>
  <si>
    <t>#01-50</t>
  </si>
  <si>
    <t>410652</t>
  </si>
  <si>
    <t>0011i000001xnbC</t>
  </si>
  <si>
    <t>6 Napier Road #02-20</t>
  </si>
  <si>
    <t>0011i000001xmgL</t>
  </si>
  <si>
    <t>11 Canberra Road</t>
  </si>
  <si>
    <t>#01-09 Sembanwang MRT</t>
  </si>
  <si>
    <t>202693</t>
  </si>
  <si>
    <t>759775</t>
  </si>
  <si>
    <t>0011i00000k1W9i</t>
  </si>
  <si>
    <t>3 Mount Elizabeth #17-16</t>
  </si>
  <si>
    <t>0011i000001xnhl</t>
  </si>
  <si>
    <t>0011i000001xoDh</t>
  </si>
  <si>
    <t>308087</t>
  </si>
  <si>
    <t>0011i000001xmzC</t>
  </si>
  <si>
    <t>10 Sinaran Drive</t>
  </si>
  <si>
    <t>#10-10 Novena Medical Centre</t>
  </si>
  <si>
    <t>530750</t>
  </si>
  <si>
    <t>0011i000001xorA</t>
  </si>
  <si>
    <t>Ar-Raudhah Medical Clinic</t>
  </si>
  <si>
    <t>Blk 372 Bukit Batok Street 31</t>
  </si>
  <si>
    <t>#01-386</t>
  </si>
  <si>
    <t>201336</t>
  </si>
  <si>
    <t>650372</t>
  </si>
  <si>
    <t>0011i000001xogK</t>
  </si>
  <si>
    <t>Department of Orthopaedic</t>
  </si>
  <si>
    <t>5 Lower Kent Ridge Road</t>
  </si>
  <si>
    <t>National University Hospital</t>
  </si>
  <si>
    <t>119074</t>
  </si>
  <si>
    <t>0011i000001xmk7</t>
  </si>
  <si>
    <t>51 Ang Mo Kio Ave 3</t>
  </si>
  <si>
    <t>#01-01Big Mac Centre</t>
  </si>
  <si>
    <t>569922</t>
  </si>
  <si>
    <t>0011i000001xnaW</t>
  </si>
  <si>
    <t>#11-12 Mount Elizabeth Medical Centre</t>
  </si>
  <si>
    <t>0011i000001xnBw</t>
  </si>
  <si>
    <t>Block 123 Toa Payoh Lorong 1</t>
  </si>
  <si>
    <t>#01-521</t>
  </si>
  <si>
    <t>201649</t>
  </si>
  <si>
    <t>310123</t>
  </si>
  <si>
    <t>0011i000001xoZ4</t>
  </si>
  <si>
    <t>0011i000001xnsq</t>
  </si>
  <si>
    <t>Lower Kent Ridge Road</t>
  </si>
  <si>
    <t>Dept of Psychological Medicine</t>
  </si>
  <si>
    <t>0011i00000wQq1A</t>
  </si>
  <si>
    <t>0011i000001xnwL</t>
  </si>
  <si>
    <t>0011i00000KMGuE</t>
  </si>
  <si>
    <t>National Heart Centre</t>
  </si>
  <si>
    <t>5 Hospital Drive</t>
  </si>
  <si>
    <t>169609</t>
  </si>
  <si>
    <t>17 Third Hospital Avenue</t>
  </si>
  <si>
    <t>100105</t>
  </si>
  <si>
    <t>168751</t>
  </si>
  <si>
    <t>0011i000001xnC7</t>
  </si>
  <si>
    <t>Blk 283 Bishan Street 22</t>
  </si>
  <si>
    <t>201202</t>
  </si>
  <si>
    <t>570283</t>
  </si>
  <si>
    <t>0011i000001xoeZ</t>
  </si>
  <si>
    <t>Joint &amp; Cartilage</t>
  </si>
  <si>
    <t>290 Orchard Road #09-09</t>
  </si>
  <si>
    <t>0011i000001xmv8</t>
  </si>
  <si>
    <t>6A Napier Rd</t>
  </si>
  <si>
    <t>#05-36 Annex Block Gleneagles Hospital</t>
  </si>
  <si>
    <t>202267</t>
  </si>
  <si>
    <t>258500</t>
  </si>
  <si>
    <t>0011i000001xnjD</t>
  </si>
  <si>
    <t>Eye Clinic Singapura</t>
  </si>
  <si>
    <t>6A Napier Road</t>
  </si>
  <si>
    <t>#02-38 Gleneagles Hospital Annexe Block</t>
  </si>
  <si>
    <t>803758</t>
  </si>
  <si>
    <t>0011i000001xoYY</t>
  </si>
  <si>
    <t>Department of Neurosurgery</t>
  </si>
  <si>
    <t>National Neuroscience Institute</t>
  </si>
  <si>
    <t>0011i000001xng9</t>
  </si>
  <si>
    <t>United Medical Clinic</t>
  </si>
  <si>
    <t>Blk 25 Jalan Berseh</t>
  </si>
  <si>
    <t>#01-144</t>
  </si>
  <si>
    <t>200025</t>
  </si>
  <si>
    <t>0011i000001xnl5</t>
  </si>
  <si>
    <t>820 Thomson Road #01-10</t>
  </si>
  <si>
    <t>0011i000001xnnC</t>
  </si>
  <si>
    <t>Gastroenterology Clinic</t>
  </si>
  <si>
    <t>#09-10 Mount Elizabeth Medical Centre</t>
  </si>
  <si>
    <t>0011i000001xnyc</t>
  </si>
  <si>
    <t>National Cancer Centre</t>
  </si>
  <si>
    <t>11 Hospital Drive</t>
  </si>
  <si>
    <t>169610</t>
  </si>
  <si>
    <t>0011i000001xnoZ</t>
  </si>
  <si>
    <t>Stanford Medical Clinic &amp; Surgery</t>
  </si>
  <si>
    <t>Blk 152 Serangoon North Ave 1</t>
  </si>
  <si>
    <t>#01-308</t>
  </si>
  <si>
    <t>200846</t>
  </si>
  <si>
    <t>550152</t>
  </si>
  <si>
    <t>0011i000001xoMK</t>
  </si>
  <si>
    <t>Our Family Physician Clinic &amp; Surgery</t>
  </si>
  <si>
    <t>829 Tampines Street 81</t>
  </si>
  <si>
    <t>#01-292</t>
  </si>
  <si>
    <t>520829</t>
  </si>
  <si>
    <t>0011i000002Id9o</t>
  </si>
  <si>
    <t>Khoo Teck Puat Hospital</t>
  </si>
  <si>
    <t>90 Yishun Central</t>
  </si>
  <si>
    <t>100342</t>
  </si>
  <si>
    <t>7688288</t>
  </si>
  <si>
    <t>Singapore</t>
  </si>
  <si>
    <t>768828</t>
  </si>
  <si>
    <t>Intemedical Kovan Clinic</t>
  </si>
  <si>
    <t>Blk 210</t>
  </si>
  <si>
    <t>Hougang street 21</t>
  </si>
  <si>
    <t>530210</t>
  </si>
  <si>
    <t>0011i000001xoFx</t>
  </si>
  <si>
    <t>Dept of Nuclear Medicine</t>
  </si>
  <si>
    <t>0011i000001xoRa</t>
  </si>
  <si>
    <t>Department of ENT</t>
  </si>
  <si>
    <t>0011i000001xnkQ</t>
  </si>
  <si>
    <t>Hougang Polyclinic</t>
  </si>
  <si>
    <t>89 Hougang Avenue 4</t>
  </si>
  <si>
    <t>538829</t>
  </si>
  <si>
    <t>0011i000001xoNA</t>
  </si>
  <si>
    <t>Choa Chu Kang Polcylinic</t>
  </si>
  <si>
    <t>Choa Chu KangPolyclinic</t>
  </si>
  <si>
    <t>0011i000001xnsi</t>
  </si>
  <si>
    <t>Chua Chu Kang Clinic</t>
  </si>
  <si>
    <t>Blk 347 Bukit Batok Street 34</t>
  </si>
  <si>
    <t>#01-258</t>
  </si>
  <si>
    <t>200122</t>
  </si>
  <si>
    <t>650347</t>
  </si>
  <si>
    <t>0011i000001xoOP</t>
  </si>
  <si>
    <t>0011i000001xoJX</t>
  </si>
  <si>
    <t>International Women's Clinic</t>
  </si>
  <si>
    <t>6 Napier Road #05-06</t>
  </si>
  <si>
    <t>202360</t>
  </si>
  <si>
    <t>0011i000001xoTa</t>
  </si>
  <si>
    <t>100124</t>
  </si>
  <si>
    <t>0011i000001xoe0</t>
  </si>
  <si>
    <t>Singapore Sports And Orthopaedic Clinic Pte Ltd</t>
  </si>
  <si>
    <t>#02-12 Gleneagles Medical Centre</t>
  </si>
  <si>
    <t>202392</t>
  </si>
  <si>
    <t>0011i000001xniS</t>
  </si>
  <si>
    <t>Fullerton Healthcare Group</t>
  </si>
  <si>
    <t>Screening Centre @ Ngee Ann City</t>
  </si>
  <si>
    <t>391B Orchard Road #25-07</t>
  </si>
  <si>
    <t>238874</t>
  </si>
  <si>
    <t>0011i00000pb5If</t>
  </si>
  <si>
    <t>Bedok Polyclinic</t>
  </si>
  <si>
    <t>Heartbeat @ Bedok</t>
  </si>
  <si>
    <t>11 Bedok North Street 1 #02-01</t>
  </si>
  <si>
    <t>469662</t>
  </si>
  <si>
    <t>0011i000001xols</t>
  </si>
  <si>
    <t>Marine Parade Polyclinic</t>
  </si>
  <si>
    <t>Blk 80</t>
  </si>
  <si>
    <t>#01-792 Marine Parade Central</t>
  </si>
  <si>
    <t>100132</t>
  </si>
  <si>
    <t>440080</t>
  </si>
  <si>
    <t>0011i000001xoYo</t>
  </si>
  <si>
    <t>Whampoa Clinic</t>
  </si>
  <si>
    <t>Blk 88 Whampoa Drive</t>
  </si>
  <si>
    <t>#01-863</t>
  </si>
  <si>
    <t>200668</t>
  </si>
  <si>
    <t>320088</t>
  </si>
  <si>
    <t>0011i000001xoOF</t>
  </si>
  <si>
    <t>Thomson Women's Clinic</t>
  </si>
  <si>
    <t>Blk 355  Sembawang Way</t>
  </si>
  <si>
    <t>#01-02</t>
  </si>
  <si>
    <t>750355</t>
  </si>
  <si>
    <t>0011i00000Xf1IV</t>
  </si>
  <si>
    <t>OncoCare Cancer Centre</t>
  </si>
  <si>
    <t>38 Irrawaddy Road, #09-59/60/61/62/63</t>
  </si>
  <si>
    <t>Mount Elizabeth Novena Specialist Ctr</t>
  </si>
  <si>
    <t>0011i000001xoRQ</t>
  </si>
  <si>
    <t>Blk 703 Bedok Reservoir Road</t>
  </si>
  <si>
    <t>#01-3506</t>
  </si>
  <si>
    <t>Joy Family Clinic</t>
  </si>
  <si>
    <t>470703</t>
  </si>
  <si>
    <t>0011i000001xoFA</t>
  </si>
  <si>
    <t>Dept of Rehabilitation</t>
  </si>
  <si>
    <t>0011i000001xojY</t>
  </si>
  <si>
    <t>Shenton Medical Group</t>
  </si>
  <si>
    <t>Blk 625 Elias Road</t>
  </si>
  <si>
    <t>#01-3248</t>
  </si>
  <si>
    <t>510625</t>
  </si>
  <si>
    <t>0011i000001xoFm</t>
  </si>
  <si>
    <t>Changi General Hospital</t>
  </si>
  <si>
    <t>2 Simei Street 3</t>
  </si>
  <si>
    <t>529889</t>
  </si>
  <si>
    <t>Dept of Gastroenterology</t>
  </si>
  <si>
    <t>0011i000001xoGk</t>
  </si>
  <si>
    <t>0011i00000raTHg</t>
  </si>
  <si>
    <t>Punggol Polyclinic</t>
  </si>
  <si>
    <t>681 Punggol Drive</t>
  </si>
  <si>
    <t>Oasis Terraces #02-01</t>
  </si>
  <si>
    <t>820681</t>
  </si>
  <si>
    <t>0011i00000Xf1Hm</t>
  </si>
  <si>
    <t>1E Kent Ridge Road, Level 13</t>
  </si>
  <si>
    <t>NUHS Tower Block, Department of Heamtology-Oncology</t>
  </si>
  <si>
    <t>119228</t>
  </si>
  <si>
    <t>0011i000001xnUu</t>
  </si>
  <si>
    <t>#15-08 Mount Elizabeth Medical Centre</t>
  </si>
  <si>
    <t>200865</t>
  </si>
  <si>
    <t>0011i000001xnc0</t>
  </si>
  <si>
    <t>202 Ang Mo Kio Avenue 3</t>
  </si>
  <si>
    <t>#01-1676</t>
  </si>
  <si>
    <t>560202</t>
  </si>
  <si>
    <t>0011i000001xnTu</t>
  </si>
  <si>
    <t>4190 Ang Mo Kio Avenue 6</t>
  </si>
  <si>
    <t>Broadway Plaza #03-01</t>
  </si>
  <si>
    <t>569841</t>
  </si>
  <si>
    <t>0011i000001xnZ3</t>
  </si>
  <si>
    <t>Ang Mo Kio Ave 9</t>
  </si>
  <si>
    <t>569766</t>
  </si>
  <si>
    <t>0011i000001xnPv</t>
  </si>
  <si>
    <t>100097</t>
  </si>
  <si>
    <t>0011i000001xmjG</t>
  </si>
  <si>
    <t>Block 157 Ang Mo Kio Avenue 4</t>
  </si>
  <si>
    <t>#01-558</t>
  </si>
  <si>
    <t>200017</t>
  </si>
  <si>
    <t>560157</t>
  </si>
  <si>
    <t>Blk 157 Ang Mo Kio Ave 4</t>
  </si>
  <si>
    <t>#01-358</t>
  </si>
  <si>
    <t>0011i000001xmyq</t>
  </si>
  <si>
    <t>0011i000001xn08</t>
  </si>
  <si>
    <t>Blk 723 Ang Mo Kio Ave 8</t>
  </si>
  <si>
    <t>#01-4136</t>
  </si>
  <si>
    <t>560723</t>
  </si>
  <si>
    <t>0011i000001xnIh</t>
  </si>
  <si>
    <t>0011i000001xnVg</t>
  </si>
  <si>
    <t>Blk 723 Ang Mo Kio Avenue 8</t>
  </si>
  <si>
    <t>#$01-4136</t>
  </si>
  <si>
    <t>0011i000001xnKW</t>
  </si>
  <si>
    <t>0011i000001xnIt</t>
  </si>
  <si>
    <t>0011i000001xn8R</t>
  </si>
  <si>
    <t>#11-09 Paragon</t>
  </si>
  <si>
    <t>804853</t>
  </si>
  <si>
    <t>0011i000001xoJo</t>
  </si>
  <si>
    <t>Department of Surgery</t>
  </si>
  <si>
    <t>0011i000001xoKb</t>
  </si>
  <si>
    <t>Shifa Clinic &amp; Surgery</t>
  </si>
  <si>
    <t>668 Chander Road</t>
  </si>
  <si>
    <t>#01-18</t>
  </si>
  <si>
    <t>210668</t>
  </si>
  <si>
    <t>0011i000001xnYR</t>
  </si>
  <si>
    <t>(C/o Anteh Dispensary Pte Ltd)</t>
  </si>
  <si>
    <t>368 Geylang Road</t>
  </si>
  <si>
    <t>200019</t>
  </si>
  <si>
    <t>389381</t>
  </si>
  <si>
    <t>0011i000001xnpD</t>
  </si>
  <si>
    <t>0011i000001xmvF</t>
  </si>
  <si>
    <t>#05-02 Gleneagles Medical Centre</t>
  </si>
  <si>
    <t>200918</t>
  </si>
  <si>
    <t>0011i000001xotJ</t>
  </si>
  <si>
    <t>Department of Internal Medicine</t>
  </si>
  <si>
    <t>0011i000001xnEo</t>
  </si>
  <si>
    <t>Block 844 Yishun Street 81</t>
  </si>
  <si>
    <t>#01-162</t>
  </si>
  <si>
    <t>201014</t>
  </si>
  <si>
    <t>760844</t>
  </si>
  <si>
    <t>0011i000001xncU</t>
  </si>
  <si>
    <t>306 Woodlands Street 31</t>
  </si>
  <si>
    <t>#01-39</t>
  </si>
  <si>
    <t>730306</t>
  </si>
  <si>
    <t>0011i000001xo43</t>
  </si>
  <si>
    <t>Ng Teng Fong General Hospital</t>
  </si>
  <si>
    <t>1 Jurong East Street 21</t>
  </si>
  <si>
    <t>609606</t>
  </si>
  <si>
    <t>0011i00000TWxbV</t>
  </si>
  <si>
    <t>38 Irrawaddy Road #08-32</t>
  </si>
  <si>
    <t>Mount Elizabeth Novena specialist centre</t>
  </si>
  <si>
    <t>0011i000001xniC</t>
  </si>
  <si>
    <t>0011i000001xnIl</t>
  </si>
  <si>
    <t>0011i000001xoZI</t>
  </si>
  <si>
    <t>0011i000001xoEc</t>
  </si>
  <si>
    <t>0011i000001xnyZ</t>
  </si>
  <si>
    <t>0011i000007FFe1</t>
  </si>
  <si>
    <t>0011i000001xnH6</t>
  </si>
  <si>
    <t>304 Orchard Road</t>
  </si>
  <si>
    <t>#05-06 Lucky Plaza</t>
  </si>
  <si>
    <t>238863</t>
  </si>
  <si>
    <t>0011i000001xnCY</t>
  </si>
  <si>
    <t>350 Orchard Road</t>
  </si>
  <si>
    <t>201964</t>
  </si>
  <si>
    <t>0011i000001xmxX</t>
  </si>
  <si>
    <t>805229</t>
  </si>
  <si>
    <t>0011i000001xn0a</t>
  </si>
  <si>
    <t>3 Mt Elizabeth #17-08</t>
  </si>
  <si>
    <t>0011i000001xnFi</t>
  </si>
  <si>
    <t>38 Irrawaddy Road #08-58/63</t>
  </si>
  <si>
    <t>Mt Elizabeth Novena Medical Centre</t>
  </si>
  <si>
    <t>0011i000001xmlW</t>
  </si>
  <si>
    <t>6 Napier Road #04-13</t>
  </si>
  <si>
    <t>0011i000001xnAK</t>
  </si>
  <si>
    <t>Mt Elizabeth Novena Mediical Centre</t>
  </si>
  <si>
    <t>629563</t>
  </si>
  <si>
    <t>0011i000001xnHl</t>
  </si>
  <si>
    <t>6A Napier Road #01-39</t>
  </si>
  <si>
    <t>0011i000001xnHv</t>
  </si>
  <si>
    <t>0011i000001xnHr</t>
  </si>
  <si>
    <t>0011i000001xnFv</t>
  </si>
  <si>
    <t>0011i00000uRlkt</t>
  </si>
  <si>
    <t>10 Woodlands Street 21</t>
  </si>
  <si>
    <t>0011i000001xn7y</t>
  </si>
  <si>
    <t>Tampines Polyclinic</t>
  </si>
  <si>
    <t>411 Tampines Street</t>
  </si>
  <si>
    <t>529203</t>
  </si>
  <si>
    <t>0011i000001xnEj</t>
  </si>
  <si>
    <t>391B Orchard Road #13-10/10A</t>
  </si>
  <si>
    <t>Ngee Ann City Tower B</t>
  </si>
  <si>
    <t>203235</t>
  </si>
  <si>
    <t>0011i000001xnpM</t>
  </si>
  <si>
    <t>Jurong Polyclinic</t>
  </si>
  <si>
    <t>190 Jurong East Ave 1</t>
  </si>
  <si>
    <t>609788</t>
  </si>
  <si>
    <t>100159</t>
  </si>
  <si>
    <t>768826</t>
  </si>
  <si>
    <t>0011i000001xmce</t>
  </si>
  <si>
    <t>435 Orchard Road</t>
  </si>
  <si>
    <t>#11-05 Wisma Atria</t>
  </si>
  <si>
    <t>238877</t>
  </si>
  <si>
    <t>0011i000001xnE2</t>
  </si>
  <si>
    <t>Blk 532 Ang Mo Kio Ave 10</t>
  </si>
  <si>
    <t>#01-2461</t>
  </si>
  <si>
    <t>560532</t>
  </si>
  <si>
    <t>0011i000001xnDy</t>
  </si>
  <si>
    <t>0011i000001xnDx</t>
  </si>
  <si>
    <t>Blk 291 Yishun St 22</t>
  </si>
  <si>
    <t>#01-349</t>
  </si>
  <si>
    <t>760291</t>
  </si>
  <si>
    <t>0011i000001xohS</t>
  </si>
  <si>
    <t>290 Orchard Road #10-01</t>
  </si>
  <si>
    <t>0011i000001xoZa</t>
  </si>
  <si>
    <t>10 Anson Road</t>
  </si>
  <si>
    <t>#36-01 International Plaza</t>
  </si>
  <si>
    <t>202503</t>
  </si>
  <si>
    <t>79903</t>
  </si>
  <si>
    <t>0011i000001xnpp</t>
  </si>
  <si>
    <t>0011i000001xoWN</t>
  </si>
  <si>
    <t>50 Bukit Batok West Avenue 3</t>
  </si>
  <si>
    <t>0011i000001xmsS</t>
  </si>
  <si>
    <t>6 Sin Ming Road #01-18</t>
  </si>
  <si>
    <t>Tower 2 Sin Ming Plaza</t>
  </si>
  <si>
    <t>575585</t>
  </si>
  <si>
    <t>0011i000001xoGw</t>
  </si>
  <si>
    <t>T M Auw Clinic</t>
  </si>
  <si>
    <t>Blk 123 Hougang Avenue 1</t>
  </si>
  <si>
    <t>#01-1406</t>
  </si>
  <si>
    <t>530123</t>
  </si>
  <si>
    <t>0011i000001xoJ1</t>
  </si>
  <si>
    <t>Lily Aw Pasir Ris Family Clinic</t>
  </si>
  <si>
    <t>Blk 446 Pasir Ris Drive 6</t>
  </si>
  <si>
    <t>#01-116</t>
  </si>
  <si>
    <t>510446</t>
  </si>
  <si>
    <t>0011i000001xnnX</t>
  </si>
  <si>
    <t>Institute of Health, Level 2</t>
  </si>
  <si>
    <t>3 Second Hospital Avenue</t>
  </si>
  <si>
    <t>0011i000001xoFu</t>
  </si>
  <si>
    <t>0011i000001xoKK</t>
  </si>
  <si>
    <t>Admiralty Family Clinic</t>
  </si>
  <si>
    <t>0011i000001xnzL</t>
  </si>
  <si>
    <t>Tampines 24hrs Family Clinic Pte Ltd</t>
  </si>
  <si>
    <t>Blk 201D Tampines Street 21</t>
  </si>
  <si>
    <t>#01-1151</t>
  </si>
  <si>
    <t>202152</t>
  </si>
  <si>
    <t>524201</t>
  </si>
  <si>
    <t>0011i000001xop5</t>
  </si>
  <si>
    <t>0011i000001xoLg</t>
  </si>
  <si>
    <t>0011i00000uRllR</t>
  </si>
  <si>
    <t>0011i000001xoOX</t>
  </si>
  <si>
    <t>Supreme Clinic For Women Pte Ltd</t>
  </si>
  <si>
    <t>Mt Alvernia Medical Ctr</t>
  </si>
  <si>
    <t>820 Thomson Rd Blk B #03-12</t>
  </si>
  <si>
    <t>0011i000001xoRF</t>
  </si>
  <si>
    <t>Department of Renal</t>
  </si>
  <si>
    <t>0011i000001xonp</t>
  </si>
  <si>
    <t>0011i000001xoNn</t>
  </si>
  <si>
    <t>Clifford Dispensary Pte Ltd</t>
  </si>
  <si>
    <t>20 Airport Boulevard</t>
  </si>
  <si>
    <t>2nd Storey SATS ICC 1</t>
  </si>
  <si>
    <t>202522</t>
  </si>
  <si>
    <t>819659</t>
  </si>
  <si>
    <t>0011i000001xnqm</t>
  </si>
  <si>
    <t>Baldev Singh Cardiology Clinic Pte Ltd</t>
  </si>
  <si>
    <t>319 Joo Chiat Place</t>
  </si>
  <si>
    <t>#02-02 Parkway East Medical Centre</t>
  </si>
  <si>
    <t>200877</t>
  </si>
  <si>
    <t>427989</t>
  </si>
  <si>
    <t>0011i000001xnLq</t>
  </si>
  <si>
    <t>12 Farrer Park Station Road</t>
  </si>
  <si>
    <t>#05/01</t>
  </si>
  <si>
    <t>217565</t>
  </si>
  <si>
    <t>0011i000001xoOs</t>
  </si>
  <si>
    <t>Balkis Family Clinic</t>
  </si>
  <si>
    <t>Blk 631 Bedok Reservoir Road</t>
  </si>
  <si>
    <t>#01-968</t>
  </si>
  <si>
    <t>200033</t>
  </si>
  <si>
    <t>470631</t>
  </si>
  <si>
    <t>0011i000001xn4q</t>
  </si>
  <si>
    <t>271 Bukit Timah Road</t>
  </si>
  <si>
    <t>#02-12 Balmoral Plaza</t>
  </si>
  <si>
    <t>259708</t>
  </si>
  <si>
    <t>0011i000001xna0</t>
  </si>
  <si>
    <t>201508</t>
  </si>
  <si>
    <t>0011i000001xnDB</t>
  </si>
  <si>
    <t>146 Potong Pasir Ave 1</t>
  </si>
  <si>
    <t>#01-141</t>
  </si>
  <si>
    <t>350146</t>
  </si>
  <si>
    <t>0011i000001xnKf</t>
  </si>
  <si>
    <t>Blk 768 Woodlands Ave 6</t>
  </si>
  <si>
    <t>#02-04 Woodlands Mart</t>
  </si>
  <si>
    <t>202305</t>
  </si>
  <si>
    <t>730768</t>
  </si>
  <si>
    <t>0011i000001xnKg</t>
  </si>
  <si>
    <t>Block 768 Woodlands Avenue 6</t>
  </si>
  <si>
    <t>0011i000001xona</t>
  </si>
  <si>
    <t>0011i000001xolQ</t>
  </si>
  <si>
    <t>0011i000001xosP</t>
  </si>
  <si>
    <t>Institute of Mental Health</t>
  </si>
  <si>
    <t>10 Buangkok Green</t>
  </si>
  <si>
    <t>539747</t>
  </si>
  <si>
    <t>0011i000001xnlP</t>
  </si>
  <si>
    <t>Complete Healthcare Internationals</t>
  </si>
  <si>
    <t>45 Rochester Park</t>
  </si>
  <si>
    <t>203133</t>
  </si>
  <si>
    <t>139249</t>
  </si>
  <si>
    <t>0011i000001xoRP</t>
  </si>
  <si>
    <t>Bukit Timah Family Clinic</t>
  </si>
  <si>
    <t>833 Bukit Timah Road</t>
  </si>
  <si>
    <t>#01-07 Royalville</t>
  </si>
  <si>
    <t>279887</t>
  </si>
  <si>
    <t>0011i000001xn2D</t>
  </si>
  <si>
    <t>Blk 418 Bedok North Ave 2</t>
  </si>
  <si>
    <t>#01-85</t>
  </si>
  <si>
    <t>0011i000001xnKo</t>
  </si>
  <si>
    <t>218 Bedok North St 1</t>
  </si>
  <si>
    <t>#01-17</t>
  </si>
  <si>
    <t>460218</t>
  </si>
  <si>
    <t>0011i000001xnWv</t>
  </si>
  <si>
    <t>Blk 123 Bedok North Street 2</t>
  </si>
  <si>
    <t>200035</t>
  </si>
  <si>
    <t>460123</t>
  </si>
  <si>
    <t>0011i000001xn5X</t>
  </si>
  <si>
    <t>Blk 88 Bedok North Street 4</t>
  </si>
  <si>
    <t>#01-139</t>
  </si>
  <si>
    <t>460088</t>
  </si>
  <si>
    <t>0011i000001xmig</t>
  </si>
  <si>
    <t>Blk 212 Bedok North Street 1</t>
  </si>
  <si>
    <t>#03-147</t>
  </si>
  <si>
    <t>100123</t>
  </si>
  <si>
    <t>460212</t>
  </si>
  <si>
    <t>0011i000001xmwo</t>
  </si>
  <si>
    <t>Blk 212 Bedok North Street 11</t>
  </si>
  <si>
    <t>0011i000001xnJf</t>
  </si>
  <si>
    <t>0011i000001xnJ9</t>
  </si>
  <si>
    <t>0011i000001xmlf</t>
  </si>
  <si>
    <t>0011i000001xmm7</t>
  </si>
  <si>
    <t>0011i000001xmzV</t>
  </si>
  <si>
    <t>0011i000001xnJe</t>
  </si>
  <si>
    <t>0011i000001xnVQ</t>
  </si>
  <si>
    <t>0011i000001xoVI</t>
  </si>
  <si>
    <t>400101</t>
  </si>
  <si>
    <t>0011i000001xnzZ</t>
  </si>
  <si>
    <t>Beh's Clinic For Women Pte Ltd</t>
  </si>
  <si>
    <t>#05-03 Thomson Medical Centre</t>
  </si>
  <si>
    <t>202589</t>
  </si>
  <si>
    <t>0011i000001xmb4</t>
  </si>
  <si>
    <t>0011i000001xn91</t>
  </si>
  <si>
    <t>0011i000001xmdJ</t>
  </si>
  <si>
    <t>Blk 40 Beo Crescent</t>
  </si>
  <si>
    <t>160040</t>
  </si>
  <si>
    <t>0011i000001xn2w</t>
  </si>
  <si>
    <t>9 Tanglin Hill</t>
  </si>
  <si>
    <t>248047</t>
  </si>
  <si>
    <t>0011i000001xmvK</t>
  </si>
  <si>
    <t>6 Napier Rd</t>
  </si>
  <si>
    <t>#03-05 Gleneagles Medical Centre</t>
  </si>
  <si>
    <t>200874</t>
  </si>
  <si>
    <t>0011i000001xnYt</t>
  </si>
  <si>
    <t>28 Irrawaddy Road #08-52</t>
  </si>
  <si>
    <t>Mt Elizabeth Novena Medical Specialist Ctr</t>
  </si>
  <si>
    <t>0011i000001xn37</t>
  </si>
  <si>
    <t>6 Napier Road #09-02/03</t>
  </si>
  <si>
    <t>0011i000001xmyr</t>
  </si>
  <si>
    <t>3 Temasek Boulevard</t>
  </si>
  <si>
    <t>#B1-124 Suntec City Mall</t>
  </si>
  <si>
    <t>38983</t>
  </si>
  <si>
    <t>0011i000001xmf1</t>
  </si>
  <si>
    <t>Novena Medical Centre</t>
  </si>
  <si>
    <t>10 Sinaran Drive #10-10</t>
  </si>
  <si>
    <t>307506</t>
  </si>
  <si>
    <t>0011i000001xojU</t>
  </si>
  <si>
    <t>0011i000001xoUs</t>
  </si>
  <si>
    <t>Corporate Medical Centre</t>
  </si>
  <si>
    <t>190 Middle Road</t>
  </si>
  <si>
    <t>#02-01 Fortune Centre</t>
  </si>
  <si>
    <t>200147</t>
  </si>
  <si>
    <t>188979</t>
  </si>
  <si>
    <t>0011i000001xnsm</t>
  </si>
  <si>
    <t>Colorectal Clinic Associates</t>
  </si>
  <si>
    <t>Mt Elizabeth Specialist Centre</t>
  </si>
  <si>
    <t>38 Irrawaddy Road #10-48/49</t>
  </si>
  <si>
    <t>0011i000001xoph</t>
  </si>
  <si>
    <t>0011i000001xnXu</t>
  </si>
  <si>
    <t>Block 150 Bishan Street 11</t>
  </si>
  <si>
    <t>#01-151</t>
  </si>
  <si>
    <t>202486</t>
  </si>
  <si>
    <t>570150</t>
  </si>
  <si>
    <t>0011i000001xn4Y</t>
  </si>
  <si>
    <t>#04-147</t>
  </si>
  <si>
    <t>0011i000001xnSo</t>
  </si>
  <si>
    <t>0011i000001xnSQ</t>
  </si>
  <si>
    <t>0011i000001xnTH</t>
  </si>
  <si>
    <t>#01-212</t>
  </si>
  <si>
    <t>Neptune Clinic</t>
  </si>
  <si>
    <t>120328</t>
  </si>
  <si>
    <t>0011i000001xn2d</t>
  </si>
  <si>
    <t>0011i000001xmji</t>
  </si>
  <si>
    <t>0011i000001xmkD</t>
  </si>
  <si>
    <t>0011i000001xnRH</t>
  </si>
  <si>
    <t>0011i000001xnaf</t>
  </si>
  <si>
    <t>0011i000001xn79</t>
  </si>
  <si>
    <t>#01-792</t>
  </si>
  <si>
    <t>0011i000001xnaF</t>
  </si>
  <si>
    <t>0011i000001xnXC</t>
  </si>
  <si>
    <t>0011i000001xoHe</t>
  </si>
  <si>
    <t>0011i000001xnzd</t>
  </si>
  <si>
    <t>Boey Mee Leng Rheumatology Medical Clinic</t>
  </si>
  <si>
    <t>#13-05 Mount Elizabeth Medical Centre</t>
  </si>
  <si>
    <t>202069</t>
  </si>
  <si>
    <t>0011i000001xnur</t>
  </si>
  <si>
    <t>Outram Polyclinic</t>
  </si>
  <si>
    <t>#02-00 Health Promotion Board Building</t>
  </si>
  <si>
    <t>0011i00000llqpQ</t>
  </si>
  <si>
    <t>0011i000007FAmQ</t>
  </si>
  <si>
    <t>Island Family Clinic (Anchorvale)</t>
  </si>
  <si>
    <t>Blk 338 Anchorvale Cres</t>
  </si>
  <si>
    <t>540338</t>
  </si>
  <si>
    <t>0011i000007FFb7</t>
  </si>
  <si>
    <t>0011i000001xoiu</t>
  </si>
  <si>
    <t>Healthway Medical Group</t>
  </si>
  <si>
    <t>Blk 443 Clementi Avenue 3</t>
  </si>
  <si>
    <t>301-63</t>
  </si>
  <si>
    <t>120443</t>
  </si>
  <si>
    <t>0011i000001xoUH</t>
  </si>
  <si>
    <t>Standard Clinic &amp; Surgery</t>
  </si>
  <si>
    <t>261 Punggol Way</t>
  </si>
  <si>
    <t>#01-05</t>
  </si>
  <si>
    <t>820261</t>
  </si>
  <si>
    <t>0011i000001xnWa</t>
  </si>
  <si>
    <t>Blk 11 Upper Boon Keng Road</t>
  </si>
  <si>
    <t>#01-919</t>
  </si>
  <si>
    <t>804433</t>
  </si>
  <si>
    <t>380011</t>
  </si>
  <si>
    <t>0011i000001xnNf</t>
  </si>
  <si>
    <t>221 Boon Lay Place</t>
  </si>
  <si>
    <t>#01-240/244 Boon Lay Shopping Centre</t>
  </si>
  <si>
    <t>640221</t>
  </si>
  <si>
    <t>0011i000001xmxG</t>
  </si>
  <si>
    <t>#14-12 Mount Elizabeth Medical Centre</t>
  </si>
  <si>
    <t>202321</t>
  </si>
  <si>
    <t>0011i00000FF6yJ</t>
  </si>
  <si>
    <t>Braddell Family Clinic</t>
  </si>
  <si>
    <t>124 Lorong 1 Toa Payoh #01-489</t>
  </si>
  <si>
    <t>310124</t>
  </si>
  <si>
    <t>0011i000001xmtf</t>
  </si>
  <si>
    <t>339 Thomson Road #04-07</t>
  </si>
  <si>
    <t>Thomson Medical Centre</t>
  </si>
  <si>
    <t>0011i000001xnOH</t>
  </si>
  <si>
    <t>6 Napier Road #03-01</t>
  </si>
  <si>
    <t>0011i000001xmyR</t>
  </si>
  <si>
    <t>#03-01 Gleneagles Medical Centre</t>
  </si>
  <si>
    <t>203206</t>
  </si>
  <si>
    <t>0011i000001xmtm</t>
  </si>
  <si>
    <t>#09-02 Mount Elizabeth Medical Centre</t>
  </si>
  <si>
    <t>202203</t>
  </si>
  <si>
    <t>0011i000001xnQ0</t>
  </si>
  <si>
    <t>Blk 252 Jurong East Street 24</t>
  </si>
  <si>
    <t>#01-109</t>
  </si>
  <si>
    <t>201319</t>
  </si>
  <si>
    <t>600252</t>
  </si>
  <si>
    <t>0011i000001xnFs</t>
  </si>
  <si>
    <t>#14-02 Mount Elizabeth Medical Centre</t>
  </si>
  <si>
    <t>0011i000001xmsr</t>
  </si>
  <si>
    <t>B T Lee Surgery</t>
  </si>
  <si>
    <t>3 Mt Elizabeth #16-13</t>
  </si>
  <si>
    <t>0011i000001xn9O</t>
  </si>
  <si>
    <t>Blk 207 Bukit Batok Street 21</t>
  </si>
  <si>
    <t>#01-114</t>
  </si>
  <si>
    <t>200045</t>
  </si>
  <si>
    <t>650207</t>
  </si>
  <si>
    <t>0011i000001xmsL</t>
  </si>
  <si>
    <t>0011i000001xnZs</t>
  </si>
  <si>
    <t>Blk 55 Lengkok Bahru</t>
  </si>
  <si>
    <t>#01-399</t>
  </si>
  <si>
    <t>151055</t>
  </si>
  <si>
    <t>0011i000001xnJC</t>
  </si>
  <si>
    <t>Blk 163</t>
  </si>
  <si>
    <t>#04-3565 Bukit Merah Central</t>
  </si>
  <si>
    <t>150163</t>
  </si>
  <si>
    <t>0011i000001xmlo</t>
  </si>
  <si>
    <t>100125</t>
  </si>
  <si>
    <t>0011i000001xmu5</t>
  </si>
  <si>
    <t>0011i000001xmzk</t>
  </si>
  <si>
    <t>0011i000001xmzm</t>
  </si>
  <si>
    <t>0011i000001xn9h</t>
  </si>
  <si>
    <t>200046</t>
  </si>
  <si>
    <t>0011i000001xmuQ</t>
  </si>
  <si>
    <t>279857</t>
  </si>
  <si>
    <t>0011i000001xn5d</t>
  </si>
  <si>
    <t>0011i000001xn2j</t>
  </si>
  <si>
    <t>108 Upper East Coast Road</t>
  </si>
  <si>
    <t>455297</t>
  </si>
  <si>
    <t>0011i000001xoSC</t>
  </si>
  <si>
    <t>0011i000001xnze</t>
  </si>
  <si>
    <t>0011i000001xnkF</t>
  </si>
  <si>
    <t>3 Cheong Chin Nam Road</t>
  </si>
  <si>
    <t>599728</t>
  </si>
  <si>
    <t>0011i000001xmsU</t>
  </si>
  <si>
    <t>501 Orchard Road</t>
  </si>
  <si>
    <t>#05-11 Wheelock Place</t>
  </si>
  <si>
    <t>203004</t>
  </si>
  <si>
    <t>238880</t>
  </si>
  <si>
    <t>0011i000001xmwe</t>
  </si>
  <si>
    <t>Block 250 Tampines Street 21</t>
  </si>
  <si>
    <t>#01-510</t>
  </si>
  <si>
    <t>200048</t>
  </si>
  <si>
    <t>520250</t>
  </si>
  <si>
    <t>0011i000001xmd2</t>
  </si>
  <si>
    <t>95 Lorong 4 Toa Payoh</t>
  </si>
  <si>
    <t>#01-66</t>
  </si>
  <si>
    <t>310095</t>
  </si>
  <si>
    <t>0011i000001xn5H</t>
  </si>
  <si>
    <t>Blk 95 Toa Payoh Lorong 4</t>
  </si>
  <si>
    <t>202109</t>
  </si>
  <si>
    <t>0011i000001xnKk</t>
  </si>
  <si>
    <t>Blk 328 Clementi Ave 2</t>
  </si>
  <si>
    <t>#01-202</t>
  </si>
  <si>
    <t>203017</t>
  </si>
  <si>
    <t>0011i00000pbjlr</t>
  </si>
  <si>
    <t>Mount Elizabeth Medical Centre #14-04</t>
  </si>
  <si>
    <t>0011i00000XhmXC</t>
  </si>
  <si>
    <t>Gleneagles Medical Centre - Odd</t>
  </si>
  <si>
    <t>Gleneagles Hospital</t>
  </si>
  <si>
    <t>0011i000001xnAS</t>
  </si>
  <si>
    <t>3 Mount Elizabeth #07-04</t>
  </si>
  <si>
    <t>0011i000001xnRe</t>
  </si>
  <si>
    <t>3 Mt Elizabeth Road #16-07</t>
  </si>
  <si>
    <t>0011i000001xn8e</t>
  </si>
  <si>
    <t>290 Orchard Road #09-11</t>
  </si>
  <si>
    <t>201239</t>
  </si>
  <si>
    <t>0011i000001xnDs</t>
  </si>
  <si>
    <t>0011i000001xncz</t>
  </si>
  <si>
    <t>#17-06 Mount Elizabeth Medical Centre</t>
  </si>
  <si>
    <t>201636</t>
  </si>
  <si>
    <t>0011i000001xmqE</t>
  </si>
  <si>
    <t>#17-17/18 Mount Elizabeth Medical Centre</t>
  </si>
  <si>
    <t>0011i000001xmi4</t>
  </si>
  <si>
    <t>#04-12/13 Gleneagles Medical Centre</t>
  </si>
  <si>
    <t>802923</t>
  </si>
  <si>
    <t>0011i000001xnBN</t>
  </si>
  <si>
    <t>Blk 683 Hougang Ave 8</t>
  </si>
  <si>
    <t>#01-931</t>
  </si>
  <si>
    <t>804439</t>
  </si>
  <si>
    <t>530683</t>
  </si>
  <si>
    <t>0011i000001xmgq</t>
  </si>
  <si>
    <t>304 Ubi Avenue 1</t>
  </si>
  <si>
    <t>#01-127</t>
  </si>
  <si>
    <t>400304</t>
  </si>
  <si>
    <t>0011i000001xnXl</t>
  </si>
  <si>
    <t>34 Cassia Crescent</t>
  </si>
  <si>
    <t>#01-76</t>
  </si>
  <si>
    <t>390034</t>
  </si>
  <si>
    <t>0011i000001xnNi</t>
  </si>
  <si>
    <t>0011i000001xmwj</t>
  </si>
  <si>
    <t>Blk 136 Marsiling Road</t>
  </si>
  <si>
    <t>#01-2176</t>
  </si>
  <si>
    <t>200053</t>
  </si>
  <si>
    <t>730136</t>
  </si>
  <si>
    <t>0011i000001xnCM</t>
  </si>
  <si>
    <t>Blk 304 Choa Chu Kang Ave 4</t>
  </si>
  <si>
    <t>#01-653</t>
  </si>
  <si>
    <t>804889</t>
  </si>
  <si>
    <t>680304</t>
  </si>
  <si>
    <t>0011i000001xnHI</t>
  </si>
  <si>
    <t>Blk 484 Tampines Street 43</t>
  </si>
  <si>
    <t>#01-224</t>
  </si>
  <si>
    <t>520484</t>
  </si>
  <si>
    <t>0011i000001xn7r</t>
  </si>
  <si>
    <t>Blk 11 Jalan Bukit Merah</t>
  </si>
  <si>
    <t>#01-4442</t>
  </si>
  <si>
    <t>200987</t>
  </si>
  <si>
    <t>150011</t>
  </si>
  <si>
    <t>0011i000001xmnH</t>
  </si>
  <si>
    <t>#03-10 Mount Elizabeth Medical Centre</t>
  </si>
  <si>
    <t>203037</t>
  </si>
  <si>
    <t>0011i000001xnFN</t>
  </si>
  <si>
    <t>304 Orchard Road #05-23</t>
  </si>
  <si>
    <t>Lucky Plaza</t>
  </si>
  <si>
    <t>0011i000001xnZk</t>
  </si>
  <si>
    <t>201474</t>
  </si>
  <si>
    <t>0011i000001xn9j</t>
  </si>
  <si>
    <t>3 mt Elizabeth #11-13/14/15</t>
  </si>
  <si>
    <t>202590</t>
  </si>
  <si>
    <t>0011i000001xnIW</t>
  </si>
  <si>
    <t>3 Mt Elizabeth #11-13/14/15</t>
  </si>
  <si>
    <t>0011i000001xnIo</t>
  </si>
  <si>
    <t>0011i000001xnIJ</t>
  </si>
  <si>
    <t>Mt Elizabetjh Medical Centre</t>
  </si>
  <si>
    <t>0011i00000nIBEN</t>
  </si>
  <si>
    <t>0011i000001xnQS</t>
  </si>
  <si>
    <t>#04-06 Mount Elizabeth Medical Centre</t>
  </si>
  <si>
    <t>202209</t>
  </si>
  <si>
    <t>0011i000001xobT</t>
  </si>
  <si>
    <t>First Light Family Clinic Surgery</t>
  </si>
  <si>
    <t>Blk 272 Bukit Batok East Ave 4</t>
  </si>
  <si>
    <t>#01-72</t>
  </si>
  <si>
    <t>202614</t>
  </si>
  <si>
    <t>650272</t>
  </si>
  <si>
    <t>0011i000001xood</t>
  </si>
  <si>
    <t>0011i000001xogC</t>
  </si>
  <si>
    <t>Little Cross Family Clinic</t>
  </si>
  <si>
    <t>Blk 929 Tampines Street 91</t>
  </si>
  <si>
    <t>#01-445</t>
  </si>
  <si>
    <t>520929</t>
  </si>
  <si>
    <t>0011i00000ugBCS</t>
  </si>
  <si>
    <t>1 Tampines Street 41</t>
  </si>
  <si>
    <t>100114</t>
  </si>
  <si>
    <t>0011i000001xnm8</t>
  </si>
  <si>
    <t>Bukit Merah Polyclinic</t>
  </si>
  <si>
    <t>Blk 163 Bukit Merah Central</t>
  </si>
  <si>
    <t>#04-3565</t>
  </si>
  <si>
    <t>0011i000001xoGo</t>
  </si>
  <si>
    <t>0011i000001xmuv</t>
  </si>
  <si>
    <t>Blk 111 Toa Payoh Lorong 1</t>
  </si>
  <si>
    <t>#01-350</t>
  </si>
  <si>
    <t>200095</t>
  </si>
  <si>
    <t>310111</t>
  </si>
  <si>
    <t>0011i000001xodl</t>
  </si>
  <si>
    <t>Orthopaedic International</t>
  </si>
  <si>
    <t>6A Gleneagles Road</t>
  </si>
  <si>
    <t>#02-42 Gleneagles Hospital, Annexe Block</t>
  </si>
  <si>
    <t>203403</t>
  </si>
  <si>
    <t>258509</t>
  </si>
  <si>
    <t>0011i000001xoSK</t>
  </si>
  <si>
    <t>0011i000001xoaG</t>
  </si>
  <si>
    <t>The Women's Specialist Centre</t>
  </si>
  <si>
    <t>Block 684 Hougang Avenue 8</t>
  </si>
  <si>
    <t>#01-981</t>
  </si>
  <si>
    <t>530684</t>
  </si>
  <si>
    <t>0011i000001xodK</t>
  </si>
  <si>
    <t>Oxford Medical Centre</t>
  </si>
  <si>
    <t>Blk 735 Pasir Ris Street 72</t>
  </si>
  <si>
    <t>#02-330 Pasir Ris West Plaza</t>
  </si>
  <si>
    <t>510735</t>
  </si>
  <si>
    <t>0011i000001xoij</t>
  </si>
  <si>
    <t>Caritas Clinic</t>
  </si>
  <si>
    <t>0011i000001xoj3</t>
  </si>
  <si>
    <t>Chan Clinic &amp; Surgery</t>
  </si>
  <si>
    <t>153 Bukit Batok Street 11</t>
  </si>
  <si>
    <t>#01-288</t>
  </si>
  <si>
    <t>650153</t>
  </si>
  <si>
    <t>0011i000001xoab</t>
  </si>
  <si>
    <t>0011i00000Xf1Ig</t>
  </si>
  <si>
    <t>Icon Cancer CTR</t>
  </si>
  <si>
    <t>3 Mount Elizabeth #13-09/10</t>
  </si>
  <si>
    <t>0011i00000oXwBT</t>
  </si>
  <si>
    <t>Queenstown Polyclinic</t>
  </si>
  <si>
    <t>580 Stirling Road</t>
  </si>
  <si>
    <t>Queenstown  Polyclinic</t>
  </si>
  <si>
    <t>148958</t>
  </si>
  <si>
    <t>0011i00000vHmZF</t>
  </si>
  <si>
    <t>0011i000001xojJ</t>
  </si>
  <si>
    <t>Trinity Medical Group</t>
  </si>
  <si>
    <t>6 Shenton Way #21-10</t>
  </si>
  <si>
    <t>OUE Downtown 2</t>
  </si>
  <si>
    <t>68809</t>
  </si>
  <si>
    <t>0011i000001xnzg</t>
  </si>
  <si>
    <t>Dr Yvonne Chan Clinic For Women</t>
  </si>
  <si>
    <t>#06-06 Thomson Medical Centre</t>
  </si>
  <si>
    <t>202245</t>
  </si>
  <si>
    <t>0011i000001xoC2</t>
  </si>
  <si>
    <t>Calvin Chan Aesthetic &amp; Laser Clinic</t>
  </si>
  <si>
    <t>0011i00000XhmYV</t>
  </si>
  <si>
    <t>Capital Mindhealth Clinic</t>
  </si>
  <si>
    <t>0011i000001xnzl</t>
  </si>
  <si>
    <t>HS Chan Surgery Pte Ltd</t>
  </si>
  <si>
    <t>Gleneagles Annexe Blk, #03-37D</t>
  </si>
  <si>
    <t>Gleneagles Annexe Blk, #03-37D, 258500</t>
  </si>
  <si>
    <t>0011i000001xokl</t>
  </si>
  <si>
    <t>Parkway Shenton Pte Ltd</t>
  </si>
  <si>
    <t>1000 Toa Payoh North</t>
  </si>
  <si>
    <t>Annex Block 3nd Floor</t>
  </si>
  <si>
    <t>202428</t>
  </si>
  <si>
    <t>318994</t>
  </si>
  <si>
    <t>0011i000001xoZM</t>
  </si>
  <si>
    <t>0011i000001xnkc</t>
  </si>
  <si>
    <t>Shenton Wellness Centre</t>
  </si>
  <si>
    <t>460 Alexandra rOAD #02-15</t>
  </si>
  <si>
    <t>PSA Building (Alexandra Retail Ctr)</t>
  </si>
  <si>
    <t>119963</t>
  </si>
  <si>
    <t>0011i000001xoma</t>
  </si>
  <si>
    <t>ST Medical Services Pte Ltd</t>
  </si>
  <si>
    <t>492 Airport Road</t>
  </si>
  <si>
    <t>Aeromedical Centre</t>
  </si>
  <si>
    <t>539945</t>
  </si>
  <si>
    <t>0011i000001xoms</t>
  </si>
  <si>
    <t>Meng's Clinic</t>
  </si>
  <si>
    <t>Block 47 Tanglin Halt Road</t>
  </si>
  <si>
    <t>#01-321</t>
  </si>
  <si>
    <t>200395</t>
  </si>
  <si>
    <t>141047</t>
  </si>
  <si>
    <t>0011i000001xnzo</t>
  </si>
  <si>
    <t>Chan KM Geriatric &amp; Medical Clinic</t>
  </si>
  <si>
    <t>#08-10 Gleneagles Medical Centre</t>
  </si>
  <si>
    <t>202227</t>
  </si>
  <si>
    <t>0011i000001xnvF</t>
  </si>
  <si>
    <t>K W Chan Medical Clinic</t>
  </si>
  <si>
    <t>2 First Street</t>
  </si>
  <si>
    <t>#01-10 Siglap V</t>
  </si>
  <si>
    <t>458278</t>
  </si>
  <si>
    <t>0011i000001xont</t>
  </si>
  <si>
    <t>Link Medical @ Kovan</t>
  </si>
  <si>
    <t>Blk 208 Hougang Street 21</t>
  </si>
  <si>
    <t>#01-205</t>
  </si>
  <si>
    <t>530208</t>
  </si>
  <si>
    <t>0011i000001xoI0</t>
  </si>
  <si>
    <t>0011i000001xooo</t>
  </si>
  <si>
    <t>2003 Toa Payoh Lorong 8</t>
  </si>
  <si>
    <t>100111</t>
  </si>
  <si>
    <t>0011i000001xnhN</t>
  </si>
  <si>
    <t>0011i000001xolK</t>
  </si>
  <si>
    <t>0011i000001xosf</t>
  </si>
  <si>
    <t>0011i000001xorX</t>
  </si>
  <si>
    <t>Dr Chan &amp; Tang Family Clinic</t>
  </si>
  <si>
    <t>125 Toa Payoh Lorong 1</t>
  </si>
  <si>
    <t>#01-549</t>
  </si>
  <si>
    <t>201810</t>
  </si>
  <si>
    <t>310125</t>
  </si>
  <si>
    <t>0011i000001xobA</t>
  </si>
  <si>
    <t>Frontier Medical Associates</t>
  </si>
  <si>
    <t>Blk 899C Woodlands Drive 50</t>
  </si>
  <si>
    <t>#01-296</t>
  </si>
  <si>
    <t>732899</t>
  </si>
  <si>
    <t>0011i000001xnzs</t>
  </si>
  <si>
    <t>Dept of General Surgery</t>
  </si>
  <si>
    <t>0011i000001xoIe</t>
  </si>
  <si>
    <t>Dover Clinic &amp; Surgery</t>
  </si>
  <si>
    <t>Blk 28 Dover Crescent</t>
  </si>
  <si>
    <t>#01-89</t>
  </si>
  <si>
    <t>130028</t>
  </si>
  <si>
    <t>0011i000001xnwT</t>
  </si>
  <si>
    <t>Charles Chan Heart Clinic Pte Ltd</t>
  </si>
  <si>
    <t>#02-02 Gleneagles Medical Centre</t>
  </si>
  <si>
    <t>0011i000001xntX</t>
  </si>
  <si>
    <t>0011i000001xnvO</t>
  </si>
  <si>
    <t>Alexandra Hospital</t>
  </si>
  <si>
    <t>0011i000001xofA</t>
  </si>
  <si>
    <t>0011i000001xos1</t>
  </si>
  <si>
    <t>Dr Chan Peng Mun Clinic &amp; Surgery</t>
  </si>
  <si>
    <t>5 Koek Road</t>
  </si>
  <si>
    <t>#01-23 Cuppage Plaza</t>
  </si>
  <si>
    <t>200795</t>
  </si>
  <si>
    <t>238796</t>
  </si>
  <si>
    <t>0011i000001xoHv</t>
  </si>
  <si>
    <t>0011i000001xoLF</t>
  </si>
  <si>
    <t>Department of Neurology</t>
  </si>
  <si>
    <t>0011i000001xoZP</t>
  </si>
  <si>
    <t>Kingsley Family Clinic</t>
  </si>
  <si>
    <t>Blk 704 Ang Mo Kio Ave 8</t>
  </si>
  <si>
    <t>#01-2551</t>
  </si>
  <si>
    <t>560704</t>
  </si>
  <si>
    <t>0011i000001xno1</t>
  </si>
  <si>
    <t>0011i00000X8u7q</t>
  </si>
  <si>
    <t>0011i000001xosd</t>
  </si>
  <si>
    <t>Ang &amp; Kong Behavioural Medicine Clinic Pte Ltd</t>
  </si>
  <si>
    <t>0011i000001xoTD</t>
  </si>
  <si>
    <t>Pharmacy Department</t>
  </si>
  <si>
    <t>100128</t>
  </si>
  <si>
    <t>0011i000001xotW</t>
  </si>
  <si>
    <t>CityMed Health Associates Pte Ltd</t>
  </si>
  <si>
    <t>19 Keppel Road</t>
  </si>
  <si>
    <t>#01-01 Jit Poh Building Ground Floor</t>
  </si>
  <si>
    <t>201021</t>
  </si>
  <si>
    <t>89058</t>
  </si>
  <si>
    <t>0011i000001xnfg</t>
  </si>
  <si>
    <t>Tanny Chan Women Clinic</t>
  </si>
  <si>
    <t>#06-11 Gleneagles Medical Centre</t>
  </si>
  <si>
    <t>200071</t>
  </si>
  <si>
    <t>0011i000001xoIT</t>
  </si>
  <si>
    <t>TC Family Clinic</t>
  </si>
  <si>
    <t>Blk 526 Jurong West Street 52</t>
  </si>
  <si>
    <t>#01-325</t>
  </si>
  <si>
    <t>202481</t>
  </si>
  <si>
    <t>640526</t>
  </si>
  <si>
    <t>0011i000001xoRm</t>
  </si>
  <si>
    <t>Jurong East Ave 1</t>
  </si>
  <si>
    <t>0011i000001xnfQ</t>
  </si>
  <si>
    <t>Cough &amp; Chest Specialist</t>
  </si>
  <si>
    <t>#17-02 Mount Elizabeth Medical Centre</t>
  </si>
  <si>
    <t>201315</t>
  </si>
  <si>
    <t>0011i000001xnid</t>
  </si>
  <si>
    <t>Ridgewood Medical Clinic</t>
  </si>
  <si>
    <t>5 Ridgewood Close</t>
  </si>
  <si>
    <t>#G4 Ridgewood Condominin</t>
  </si>
  <si>
    <t>276676</t>
  </si>
  <si>
    <t>0011i000001xo41</t>
  </si>
  <si>
    <t>0011i000001xnzu</t>
  </si>
  <si>
    <t>TTSH Rehab Services</t>
  </si>
  <si>
    <t>17 Ang Mo Kio Ave 9</t>
  </si>
  <si>
    <t>Ang Mo Kio Hospital</t>
  </si>
  <si>
    <t>0011i000001xnfR</t>
  </si>
  <si>
    <t>Regional Patientcare Med Grp</t>
  </si>
  <si>
    <t>Blk 414 Yishun Ring Road</t>
  </si>
  <si>
    <t>#01-1869</t>
  </si>
  <si>
    <t>760414</t>
  </si>
  <si>
    <t>0011i000001xng6</t>
  </si>
  <si>
    <t>#08-13 Gleneagles Medical Centre</t>
  </si>
  <si>
    <t>202631</t>
  </si>
  <si>
    <t>0011i000001xoJf</t>
  </si>
  <si>
    <t>0011i000001xnzv</t>
  </si>
  <si>
    <t>Department of Opthalmology</t>
  </si>
  <si>
    <t>0011i000001xoKj</t>
  </si>
  <si>
    <t>400153</t>
  </si>
  <si>
    <t>0011i000001xoQb</t>
  </si>
  <si>
    <t>0011i000001xnwo</t>
  </si>
  <si>
    <t>0011i000001xoaw</t>
  </si>
  <si>
    <t>Mount Alvernia Hospital</t>
  </si>
  <si>
    <t>300005</t>
  </si>
  <si>
    <t>0011i000001xnyL</t>
  </si>
  <si>
    <t>0011i000001xngF</t>
  </si>
  <si>
    <t>Y M Chan Clinic &amp; Surgery</t>
  </si>
  <si>
    <t>406 Tampines Street 41</t>
  </si>
  <si>
    <t>#01-31</t>
  </si>
  <si>
    <t>520406</t>
  </si>
  <si>
    <t>0011i000001xopQ</t>
  </si>
  <si>
    <t>Healthway Medical Clinic</t>
  </si>
  <si>
    <t>Blk 748 Yishun Street 72</t>
  </si>
  <si>
    <t>#01-230</t>
  </si>
  <si>
    <t>760748</t>
  </si>
  <si>
    <t>0011i000001xnmm</t>
  </si>
  <si>
    <t>0011i000001xop4</t>
  </si>
  <si>
    <t>Dr Jeremy CHan Medical Clinic</t>
  </si>
  <si>
    <t>Blk 123 Toa Payoh Lorong 1</t>
  </si>
  <si>
    <t>#01-493</t>
  </si>
  <si>
    <t>0011i000002Iocj</t>
  </si>
  <si>
    <t>#01-207</t>
  </si>
  <si>
    <t>201804</t>
  </si>
  <si>
    <t>0011i000001xo0x</t>
  </si>
  <si>
    <t>Chang Clinic &amp; Surgery</t>
  </si>
  <si>
    <t>Block 7 Everton Park</t>
  </si>
  <si>
    <t>#01-21</t>
  </si>
  <si>
    <t>201292</t>
  </si>
  <si>
    <t>80007</t>
  </si>
  <si>
    <t>0011i000001xoaE</t>
  </si>
  <si>
    <t>Department of Orthopaedic Surgery</t>
  </si>
  <si>
    <t>Blk 6 Level 7 Outram Road</t>
  </si>
  <si>
    <t>0011i000001xoXy</t>
  </si>
  <si>
    <t>Healthspring Family Clinic &amp; Surgery</t>
  </si>
  <si>
    <t>347 Bukit Batok Street 34</t>
  </si>
  <si>
    <t>#01-260</t>
  </si>
  <si>
    <t>0011i000001xnxu</t>
  </si>
  <si>
    <t>0011i000001xnyU</t>
  </si>
  <si>
    <t>Chang Clinic</t>
  </si>
  <si>
    <t>1 Jalan Anak Bukit</t>
  </si>
  <si>
    <t>#B1-08/10 Bukit Timah Plaza</t>
  </si>
  <si>
    <t>200063</t>
  </si>
  <si>
    <t>588996</t>
  </si>
  <si>
    <t>0011i000001xoQ2</t>
  </si>
  <si>
    <t>#B1-09/10 Bukit Timah Plaza</t>
  </si>
  <si>
    <t>0011i000001xo03</t>
  </si>
  <si>
    <t>0011i000001xnkq</t>
  </si>
  <si>
    <t>0011i000001xok8</t>
  </si>
  <si>
    <t>Q&amp;M Medical Clinic</t>
  </si>
  <si>
    <t>Blk 151 Bukit Batok Street 11</t>
  </si>
  <si>
    <t>#01-252</t>
  </si>
  <si>
    <t>650151</t>
  </si>
  <si>
    <t>0011i000001xnDt</t>
  </si>
  <si>
    <t>0011i000001xn1j</t>
  </si>
  <si>
    <t>0011i000001xmbB</t>
  </si>
  <si>
    <t>1 Jalan Anak Bukit B1-08/10</t>
  </si>
  <si>
    <t>Bukit Timah Plaza</t>
  </si>
  <si>
    <t>0011i000001xn5V</t>
  </si>
  <si>
    <t>0011i000001xnWN</t>
  </si>
  <si>
    <t>Blk 848 Sims Avenue</t>
  </si>
  <si>
    <t>#01-734 Eunosville</t>
  </si>
  <si>
    <t>200065</t>
  </si>
  <si>
    <t>400848</t>
  </si>
  <si>
    <t>0011i000001xmys</t>
  </si>
  <si>
    <t>100060</t>
  </si>
  <si>
    <t>0011i000001xnCT</t>
  </si>
  <si>
    <t>Multiphasic Health Screening</t>
  </si>
  <si>
    <t>0011i000001xnFD</t>
  </si>
  <si>
    <t>Department of Infectious Diseases</t>
  </si>
  <si>
    <t>0011i000001xnGO</t>
  </si>
  <si>
    <t>Department of Rehabilitation Medicine</t>
  </si>
  <si>
    <t>Blk/House 2 Simei Street 3</t>
  </si>
  <si>
    <t>0011i000001xnXZ</t>
  </si>
  <si>
    <t>0011i000001xmda</t>
  </si>
  <si>
    <t>0011i000001xnRK</t>
  </si>
  <si>
    <t>0011i000001xnSn</t>
  </si>
  <si>
    <t>0011i000001xnTl</t>
  </si>
  <si>
    <t>3 Simei Street 3</t>
  </si>
  <si>
    <t>Department of Psychological Medicine</t>
  </si>
  <si>
    <t>2 Simei Street</t>
  </si>
  <si>
    <t>0011i000001xnZQ</t>
  </si>
  <si>
    <t>0011i000001xnZj</t>
  </si>
  <si>
    <t>0011i000001xncE</t>
  </si>
  <si>
    <t>0011i000001xmdp</t>
  </si>
  <si>
    <t>0011i000001xmgu</t>
  </si>
  <si>
    <t>Department of Orthopaedics</t>
  </si>
  <si>
    <t>0011i000001xmmN</t>
  </si>
  <si>
    <t>0011i000001xmsd</t>
  </si>
  <si>
    <t>0011i000001xmuz</t>
  </si>
  <si>
    <t>0011i000001xn4e</t>
  </si>
  <si>
    <t>Department of Psychiatry</t>
  </si>
  <si>
    <t>0011i000001xn5K</t>
  </si>
  <si>
    <t>0011i000001xn5P</t>
  </si>
  <si>
    <t>0011i000001xn61</t>
  </si>
  <si>
    <t>0011i000001xnCU</t>
  </si>
  <si>
    <t>Department of Rehab Medicine</t>
  </si>
  <si>
    <t>0011i000001xnEa</t>
  </si>
  <si>
    <t>0011i000001xnIB</t>
  </si>
  <si>
    <t>0011i000001xnPc</t>
  </si>
  <si>
    <t>0011i000001xmcJ</t>
  </si>
  <si>
    <t>0011i000001xmny</t>
  </si>
  <si>
    <t>0011i000001xnEs</t>
  </si>
  <si>
    <t>0011i000001xnMh</t>
  </si>
  <si>
    <t>Department Of Orthopaedic</t>
  </si>
  <si>
    <t>0011i000001xnUT</t>
  </si>
  <si>
    <t>0011i000001xna9</t>
  </si>
  <si>
    <t>77 Telok Blangah Drive</t>
  </si>
  <si>
    <t>#01-244</t>
  </si>
  <si>
    <t>201006</t>
  </si>
  <si>
    <t>100077</t>
  </si>
  <si>
    <t>0011i000001xms2</t>
  </si>
  <si>
    <t>0011i000001xmi0</t>
  </si>
  <si>
    <t>#08-05 Gleneagles Med Centre</t>
  </si>
  <si>
    <t>200069</t>
  </si>
  <si>
    <t>0011i000001xo4p</t>
  </si>
  <si>
    <t>0011i000001xoMP</t>
  </si>
  <si>
    <t>Department of Cardiothoracic Surgery</t>
  </si>
  <si>
    <t>0011i000001xoIh</t>
  </si>
  <si>
    <t>Char Medical</t>
  </si>
  <si>
    <t>Blk 276 Jurong West St 25</t>
  </si>
  <si>
    <t>#01-06</t>
  </si>
  <si>
    <t>202115</t>
  </si>
  <si>
    <t>640276</t>
  </si>
  <si>
    <t>0011i000001xn1Y</t>
  </si>
  <si>
    <t>#13-02 Mount Elizabeth Medical Centre</t>
  </si>
  <si>
    <t>200727</t>
  </si>
  <si>
    <t>0011i000001xn1o</t>
  </si>
  <si>
    <t>0011i00000w07ld</t>
  </si>
  <si>
    <t>Department Advanced Internal Med</t>
  </si>
  <si>
    <t>0011i000001xoCs</t>
  </si>
  <si>
    <t>Freia Medical Aesthetics</t>
  </si>
  <si>
    <t>77 &amp; 79 East Coast Road</t>
  </si>
  <si>
    <t>#01-01</t>
  </si>
  <si>
    <t>202981</t>
  </si>
  <si>
    <t>428783</t>
  </si>
  <si>
    <t>0011i000007DNKW</t>
  </si>
  <si>
    <t>0011i000001xnmA</t>
  </si>
  <si>
    <t>0011i000001xoL2</t>
  </si>
  <si>
    <t>0011i000001xo85</t>
  </si>
  <si>
    <t>0011i000007DbW3</t>
  </si>
  <si>
    <t>Pioneer Polyclinic</t>
  </si>
  <si>
    <t>26 Jurong West</t>
  </si>
  <si>
    <t>Street 61</t>
  </si>
  <si>
    <t>648201</t>
  </si>
  <si>
    <t>0011i000001xnjx</t>
  </si>
  <si>
    <t>Cheah Family Clinic &amp; Surgery</t>
  </si>
  <si>
    <t>Blk 804 Hougang Central</t>
  </si>
  <si>
    <t>#01-118</t>
  </si>
  <si>
    <t>201801</t>
  </si>
  <si>
    <t>530804</t>
  </si>
  <si>
    <t>0011i000007DNJO</t>
  </si>
  <si>
    <t>0011i000001xoNW</t>
  </si>
  <si>
    <t>400191</t>
  </si>
  <si>
    <t>0011i000001xnxC</t>
  </si>
  <si>
    <t>Family Care Clinic &amp; Surgery</t>
  </si>
  <si>
    <t>Blk 608 Ang Mo Kio Ave 5</t>
  </si>
  <si>
    <t>#01-2785</t>
  </si>
  <si>
    <t>201434</t>
  </si>
  <si>
    <t>560608</t>
  </si>
  <si>
    <t>0011i000001xnkG</t>
  </si>
  <si>
    <t>The Eye Centre</t>
  </si>
  <si>
    <t>#11-17/18 Mount Elizabeth Medical Centre</t>
  </si>
  <si>
    <t>200957</t>
  </si>
  <si>
    <t>0011i000001xnkg</t>
  </si>
  <si>
    <t>Sengkang General Hospital</t>
  </si>
  <si>
    <t>110 Sengkang East Way</t>
  </si>
  <si>
    <t>544886</t>
  </si>
  <si>
    <t>0011i000001xnkW</t>
  </si>
  <si>
    <t>Kong Kian Clinic</t>
  </si>
  <si>
    <t>187 Upper Paya Lebar Road</t>
  </si>
  <si>
    <t>200288</t>
  </si>
  <si>
    <t>534869</t>
  </si>
  <si>
    <t>0011i000001xoN9</t>
  </si>
  <si>
    <t>Alexius Chee Gastroenterology &amp; Medical Clinic</t>
  </si>
  <si>
    <t>0011i000001xooG</t>
  </si>
  <si>
    <t>0011i000001xoQ0</t>
  </si>
  <si>
    <t>0011i000001xoHf</t>
  </si>
  <si>
    <t>Horizon Medical Centre</t>
  </si>
  <si>
    <t>200 Upper Thomson Road</t>
  </si>
  <si>
    <t>#01-11 Thomson Imperial Court</t>
  </si>
  <si>
    <t>202202</t>
  </si>
  <si>
    <t>574424</t>
  </si>
  <si>
    <t>0011i000001xoN0</t>
  </si>
  <si>
    <t>G Chee Ear Nose Throat Sinus &amp; Dizziness Centre</t>
  </si>
  <si>
    <t>#12-06 Mount Elizabeth Medical Centre</t>
  </si>
  <si>
    <t>203075</t>
  </si>
  <si>
    <t>0011i000001xnvu</t>
  </si>
  <si>
    <t>0011i000001xoNN</t>
  </si>
  <si>
    <t>K C Chee Surgery</t>
  </si>
  <si>
    <t>3 Mt Elizabeth #13-07</t>
  </si>
  <si>
    <t>0011i000001xoIp</t>
  </si>
  <si>
    <t>Pro-Life Medical Associates</t>
  </si>
  <si>
    <t>Blk 253 Choa Chu Kang Ave 1</t>
  </si>
  <si>
    <t>#01-20</t>
  </si>
  <si>
    <t>201929</t>
  </si>
  <si>
    <t>680253</t>
  </si>
  <si>
    <t>0011i000001xnyB</t>
  </si>
  <si>
    <t>Well Medical &amp; Surgery</t>
  </si>
  <si>
    <t>Blk 739 Pasir Ris Drive 10</t>
  </si>
  <si>
    <t>#01-11</t>
  </si>
  <si>
    <t>201922</t>
  </si>
  <si>
    <t>510739</t>
  </si>
  <si>
    <t>0011i000001xoNg</t>
  </si>
  <si>
    <t>Chee Heart Specialist Clinic Pte Ltd</t>
  </si>
  <si>
    <t>#04-02 Parkway East Medical Centre</t>
  </si>
  <si>
    <t>201814</t>
  </si>
  <si>
    <t>0011i000001xoMh</t>
  </si>
  <si>
    <t>Japan Clinic &amp; Surgery</t>
  </si>
  <si>
    <t>Blk 802 French Road</t>
  </si>
  <si>
    <t>#01-55</t>
  </si>
  <si>
    <t>200246</t>
  </si>
  <si>
    <t>200802</t>
  </si>
  <si>
    <t>0011i000001xoOM</t>
  </si>
  <si>
    <t>0011i00000Xf1HE</t>
  </si>
  <si>
    <t>0011i000001xoLn</t>
  </si>
  <si>
    <t>The Medical &amp; Rejuvenation Centre</t>
  </si>
  <si>
    <t>18 Cross Street</t>
  </si>
  <si>
    <t>#02-33 China Square Central</t>
  </si>
  <si>
    <t>202462</t>
  </si>
  <si>
    <t>48423</t>
  </si>
  <si>
    <t>0011i000001xnzp</t>
  </si>
  <si>
    <t>Liang Clinic</t>
  </si>
  <si>
    <t>695D East Coast Road</t>
  </si>
  <si>
    <t>459059</t>
  </si>
  <si>
    <t>0011i000001xmm3</t>
  </si>
  <si>
    <t>0011i000001xo0X</t>
  </si>
  <si>
    <t>25 Airline Road</t>
  </si>
  <si>
    <t>60 Airline House</t>
  </si>
  <si>
    <t>819829</t>
  </si>
  <si>
    <t>0011i000001xopI</t>
  </si>
  <si>
    <t>The Clinic @ Asperia</t>
  </si>
  <si>
    <t>Blk 12 Kallang Avenue</t>
  </si>
  <si>
    <t>#03-15</t>
  </si>
  <si>
    <t>339511</t>
  </si>
  <si>
    <t>0011i00000C6tL0</t>
  </si>
  <si>
    <t>0011i000001xnv7</t>
  </si>
  <si>
    <t>Chen &amp; Low Family Doctors</t>
  </si>
  <si>
    <t>Blk 548 Woodlands Drive 44</t>
  </si>
  <si>
    <t>#02-22</t>
  </si>
  <si>
    <t>0011i000001xoJt</t>
  </si>
  <si>
    <t>Dept of Colorectal Surgery</t>
  </si>
  <si>
    <t>0011i000001xo0h</t>
  </si>
  <si>
    <t>0011i000001xo0A</t>
  </si>
  <si>
    <t>0011i000002Id9s</t>
  </si>
  <si>
    <t>0011i000001xoOI</t>
  </si>
  <si>
    <t>Pariqua Clinic</t>
  </si>
  <si>
    <t>Blk 47 Bendemeer Road</t>
  </si>
  <si>
    <t>#01-1463</t>
  </si>
  <si>
    <t>200464</t>
  </si>
  <si>
    <t>330047</t>
  </si>
  <si>
    <t>0011i000001xngy</t>
  </si>
  <si>
    <t>Crawfurd Medical</t>
  </si>
  <si>
    <t>#02-482/484 Suntec City</t>
  </si>
  <si>
    <t>0011i000007F9u3</t>
  </si>
  <si>
    <t>0011i000002IdA4</t>
  </si>
  <si>
    <t>0011i000001xoOt</t>
  </si>
  <si>
    <t>Chen Family Clinic</t>
  </si>
  <si>
    <t>Blk 153 Serangoon North Ave 1</t>
  </si>
  <si>
    <t>#01-490</t>
  </si>
  <si>
    <t>201367</t>
  </si>
  <si>
    <t>550153</t>
  </si>
  <si>
    <t>0011i000001xoP4</t>
  </si>
  <si>
    <t>Dr Beatrice Chen's Clinic</t>
  </si>
  <si>
    <t>#03-02 Parkway East Medical Centre</t>
  </si>
  <si>
    <t>200717</t>
  </si>
  <si>
    <t>0011i00000Ju24x</t>
  </si>
  <si>
    <t>0011i000001xoES</t>
  </si>
  <si>
    <t>0011i00000UMnUl</t>
  </si>
  <si>
    <t>#01-310 Elias Mall</t>
  </si>
  <si>
    <t>201653</t>
  </si>
  <si>
    <t>K B Tan Clinic &amp; Surgery</t>
  </si>
  <si>
    <t>0011i000001xnKr</t>
  </si>
  <si>
    <t>Block 548 Woodlands Drive 44</t>
  </si>
  <si>
    <t>#02-22 Vista Point</t>
  </si>
  <si>
    <t>202190</t>
  </si>
  <si>
    <t>0011i000001xo0K</t>
  </si>
  <si>
    <t>Alfred Cheng Cardiac Care Pte Ltd</t>
  </si>
  <si>
    <t>0011i000001xoPW</t>
  </si>
  <si>
    <t>Cheng Clinic</t>
  </si>
  <si>
    <t>447 Ang Mo Kio Avenue 10</t>
  </si>
  <si>
    <t>#01-1677</t>
  </si>
  <si>
    <t>560447</t>
  </si>
  <si>
    <t>0011i000001xoeR</t>
  </si>
  <si>
    <t>Department of Orthopaedics Surgery</t>
  </si>
  <si>
    <t>0011i000001xoPk</t>
  </si>
  <si>
    <t>201948</t>
  </si>
  <si>
    <t>0011i00000Y0Ks0</t>
  </si>
  <si>
    <t>150167</t>
  </si>
  <si>
    <t>0011i00000Y0Jnd</t>
  </si>
  <si>
    <t>Ivy Cheng Medical Clinic</t>
  </si>
  <si>
    <t>Blk 111, #01-111</t>
  </si>
  <si>
    <t>Jurong West ST 111</t>
  </si>
  <si>
    <t>640111</t>
  </si>
  <si>
    <t>0011i000001xoWR</t>
  </si>
  <si>
    <t>Joyhealth Medical Clinic &amp; Surgery</t>
  </si>
  <si>
    <t>Blk 825 Tampines Street 81</t>
  </si>
  <si>
    <t>202975</t>
  </si>
  <si>
    <t>520825</t>
  </si>
  <si>
    <t>0011i000001xocB</t>
  </si>
  <si>
    <t>0011i000001xoQc</t>
  </si>
  <si>
    <t>0011i000001xo0L</t>
  </si>
  <si>
    <t>Department of Urology</t>
  </si>
  <si>
    <t>0011i000001xo2q</t>
  </si>
  <si>
    <t>Allergy, Arthritis And Rheumatism Clinic</t>
  </si>
  <si>
    <t>0011i000001xn23</t>
  </si>
  <si>
    <t>0011i000001xnYr</t>
  </si>
  <si>
    <t>#15-06 Mount Elizabeth Medical Centre</t>
  </si>
  <si>
    <t>201309</t>
  </si>
  <si>
    <t>0011i000001xmuY</t>
  </si>
  <si>
    <t>#03-03 Mount Elizabeth Medical Centre</t>
  </si>
  <si>
    <t>201887</t>
  </si>
  <si>
    <t>0011i000001xoNa</t>
  </si>
  <si>
    <t>0011i000001xon7</t>
  </si>
  <si>
    <t>Healthmark Family Clinic</t>
  </si>
  <si>
    <t>Blk 263 Compassvale Street</t>
  </si>
  <si>
    <t>#01-02/03</t>
  </si>
  <si>
    <t>540263</t>
  </si>
  <si>
    <t>0011i000001xole</t>
  </si>
  <si>
    <t>Mint Medical Centre</t>
  </si>
  <si>
    <t>1 Harbourfront Place</t>
  </si>
  <si>
    <t>#01-10</t>
  </si>
  <si>
    <t>98633</t>
  </si>
  <si>
    <t>1 HarbourFront Place #01-10</t>
  </si>
  <si>
    <t>HarbourFront Tower One</t>
  </si>
  <si>
    <t>0011i000001xosJ</t>
  </si>
  <si>
    <t>Bllk 273C Punggol Place</t>
  </si>
  <si>
    <t>#01-880</t>
  </si>
  <si>
    <t>823273</t>
  </si>
  <si>
    <t>0011i000001xoRY</t>
  </si>
  <si>
    <t>Health Partnership Medical Centre</t>
  </si>
  <si>
    <t>109 Bukit Purmei Road</t>
  </si>
  <si>
    <t>#01-145</t>
  </si>
  <si>
    <t>90109</t>
  </si>
  <si>
    <t>0011i000001xoId</t>
  </si>
  <si>
    <t>Cheong Medical Clinic</t>
  </si>
  <si>
    <t>76 Jalan Jurong Kechil</t>
  </si>
  <si>
    <t>200085</t>
  </si>
  <si>
    <t>598589</t>
  </si>
  <si>
    <t>0011i000001xo0N</t>
  </si>
  <si>
    <t>Ang Mo Kio Polyclinic</t>
  </si>
  <si>
    <t>0011i000001xoRp</t>
  </si>
  <si>
    <t>Cheong Chest &amp; Medical Clinic</t>
  </si>
  <si>
    <t>#10-08 Mount Elizabeth Medical Centre</t>
  </si>
  <si>
    <t>0011i000001xo0O</t>
  </si>
  <si>
    <t>Division of Colorectal Surgery</t>
  </si>
  <si>
    <t>0011i000001xoWq</t>
  </si>
  <si>
    <t>Ophthalmic Consultants Pte Ltd c/o Pauline YY Cheo</t>
  </si>
  <si>
    <t>#06-18/19 Gleneagles Medical Centre</t>
  </si>
  <si>
    <t>201547</t>
  </si>
  <si>
    <t>0011i000001xnKi</t>
  </si>
  <si>
    <t>Blk 45 Owen Road</t>
  </si>
  <si>
    <t>#01-293</t>
  </si>
  <si>
    <t>201535</t>
  </si>
  <si>
    <t>210045</t>
  </si>
  <si>
    <t>0011i000001xmej</t>
  </si>
  <si>
    <t>0011i000001xocU</t>
  </si>
  <si>
    <t>Executive Heath Screeners</t>
  </si>
  <si>
    <t>#05-36 Gleneagles Hospital Annexe Block</t>
  </si>
  <si>
    <t>0011i000001xnPw</t>
  </si>
  <si>
    <t>138 Tampines Street 11</t>
  </si>
  <si>
    <t>#01-112</t>
  </si>
  <si>
    <t>521138</t>
  </si>
  <si>
    <t>0011i000001xoSc</t>
  </si>
  <si>
    <t>B S Chew Clinic</t>
  </si>
  <si>
    <t>0011i000001xoSp</t>
  </si>
  <si>
    <t>Drs Chew, Da Costa &amp; Partners</t>
  </si>
  <si>
    <t>1 Grange Road</t>
  </si>
  <si>
    <t>#10-11 Orchard Building</t>
  </si>
  <si>
    <t>200089</t>
  </si>
  <si>
    <t>239693</t>
  </si>
  <si>
    <t>0011i000001xoSz</t>
  </si>
  <si>
    <t>CN Chew Internal Medicine &amp; Gastroenterology Clinic</t>
  </si>
  <si>
    <t>#01-05 Mount Alvernia Medical Centre</t>
  </si>
  <si>
    <t>201544</t>
  </si>
  <si>
    <t>0011i000001xo7s</t>
  </si>
  <si>
    <t>0011i000001xo18</t>
  </si>
  <si>
    <t>Pasir Ris Polyclinic</t>
  </si>
  <si>
    <t>1 Pasir Ris Drive 4</t>
  </si>
  <si>
    <t>100202</t>
  </si>
  <si>
    <t>519457</t>
  </si>
  <si>
    <t>0011i000001xoeM</t>
  </si>
  <si>
    <t>Department of Rheumatology</t>
  </si>
  <si>
    <t>0011i000001xoTi</t>
  </si>
  <si>
    <t>0011i000001xnMQ</t>
  </si>
  <si>
    <t>0011i000001xo3z</t>
  </si>
  <si>
    <t>Dr Maurice Chew Clinic &amp; Surgery</t>
  </si>
  <si>
    <t>144 Upper Bukit Timah Road</t>
  </si>
  <si>
    <t>#03-05 Beauty World Centre</t>
  </si>
  <si>
    <t>200090</t>
  </si>
  <si>
    <t>588177</t>
  </si>
  <si>
    <t>0011i000001xoTm</t>
  </si>
  <si>
    <t>KK Chew Ear, Nose &amp; Throat Surgery</t>
  </si>
  <si>
    <t>#06-08 Gleneagles Medical Centre</t>
  </si>
  <si>
    <t>201407</t>
  </si>
  <si>
    <t>0011i000001xoTt</t>
  </si>
  <si>
    <t>Kian Ann Clinic &amp; Surgery</t>
  </si>
  <si>
    <t>501 West Coast Drive</t>
  </si>
  <si>
    <t>#01-250</t>
  </si>
  <si>
    <t>200274</t>
  </si>
  <si>
    <t>120501</t>
  </si>
  <si>
    <t>0011i000001xojb</t>
  </si>
  <si>
    <t>31 Kaki Bukit Road 3</t>
  </si>
  <si>
    <t>#01-05 Techlink</t>
  </si>
  <si>
    <t>417818</t>
  </si>
  <si>
    <t>0011i000001xo4t</t>
  </si>
  <si>
    <t>Trinity Medical Centre</t>
  </si>
  <si>
    <t>Blk 87 Maraine Parade Central</t>
  </si>
  <si>
    <t>#01-503</t>
  </si>
  <si>
    <t>440087</t>
  </si>
  <si>
    <t>0011i000001xof2</t>
  </si>
  <si>
    <t>0011i000001xoHr</t>
  </si>
  <si>
    <t>Medipoint Medical Centre</t>
  </si>
  <si>
    <t>#02-24 Vista Point</t>
  </si>
  <si>
    <t>202200</t>
  </si>
  <si>
    <t>0011i000001xnku</t>
  </si>
  <si>
    <t>Peace Family Clinic &amp; Surgery</t>
  </si>
  <si>
    <t>Blk 452 Ang Mo Kio Avenue 10</t>
  </si>
  <si>
    <t>#01-1787</t>
  </si>
  <si>
    <t>560452</t>
  </si>
  <si>
    <t>0011i000001xofC</t>
  </si>
  <si>
    <t>0011i000001xoKa</t>
  </si>
  <si>
    <t>Aeromedical &amp; Emotional Wellness</t>
  </si>
  <si>
    <t>0011i000001xoUb</t>
  </si>
  <si>
    <t>Teban Garden Clinic</t>
  </si>
  <si>
    <t>Blk 61 Teban Garden Road</t>
  </si>
  <si>
    <t>200590</t>
  </si>
  <si>
    <t>600061</t>
  </si>
  <si>
    <t>0011i000001xoSl</t>
  </si>
  <si>
    <t>0011i000001xoUt</t>
  </si>
  <si>
    <t>SY Chew Women's Clinic</t>
  </si>
  <si>
    <t>#07-18/19 Gleneagles Medical Centre</t>
  </si>
  <si>
    <t>201387</t>
  </si>
  <si>
    <t>0011i000001xo0U</t>
  </si>
  <si>
    <t>0011i000001xo0V</t>
  </si>
  <si>
    <t>0011i000001xofF</t>
  </si>
  <si>
    <t>Centre For Orthopaedics And Hip And Knee Surgery</t>
  </si>
  <si>
    <t>0011i000001xoYi</t>
  </si>
  <si>
    <t>0011i000001xoYC</t>
  </si>
  <si>
    <t>0011i000001xoVK</t>
  </si>
  <si>
    <t>Christopher Chew Cardiology Pte Ltd</t>
  </si>
  <si>
    <t>#06-07 Mount Elizabeth Medical Centre</t>
  </si>
  <si>
    <t>202491</t>
  </si>
  <si>
    <t>0011i00000Eh4Yk</t>
  </si>
  <si>
    <t>0011i00000wTa38</t>
  </si>
  <si>
    <t>0011i000001xoVa</t>
  </si>
  <si>
    <t>Dr Chia Boon Hock</t>
  </si>
  <si>
    <t>19 Tanglin Road</t>
  </si>
  <si>
    <t>#06-47 Tanglin Shopping Centre</t>
  </si>
  <si>
    <t>201376</t>
  </si>
  <si>
    <t>0011i000001xoVg</t>
  </si>
  <si>
    <t>Chia &amp; Lee Medical Clinic</t>
  </si>
  <si>
    <t>Block 802 Tampines Avenue 4</t>
  </si>
  <si>
    <t>#01-15</t>
  </si>
  <si>
    <t>200094</t>
  </si>
  <si>
    <t>520802</t>
  </si>
  <si>
    <t>0011i000001xo4J</t>
  </si>
  <si>
    <t>0011i000001xoVq</t>
  </si>
  <si>
    <t>National Clinic</t>
  </si>
  <si>
    <t>Blk 352 Clementi Ave 2</t>
  </si>
  <si>
    <t>#01-119</t>
  </si>
  <si>
    <t>201314</t>
  </si>
  <si>
    <t>120352</t>
  </si>
  <si>
    <t>0011i000001xoIP</t>
  </si>
  <si>
    <t>Sunshine Family Clinic</t>
  </si>
  <si>
    <t>Blk 491 Jurong West Street 41</t>
  </si>
  <si>
    <t>#01-153</t>
  </si>
  <si>
    <t>202114</t>
  </si>
  <si>
    <t>640491</t>
  </si>
  <si>
    <t>0011i000001xoW0</t>
  </si>
  <si>
    <t>0011i000001xoWI</t>
  </si>
  <si>
    <t>Advance Clinic &amp; Surgery</t>
  </si>
  <si>
    <t>0011i000001xoWS</t>
  </si>
  <si>
    <t>Vernon Clinic &amp; Surgery</t>
  </si>
  <si>
    <t>100 Jalan Sultan</t>
  </si>
  <si>
    <t>02-25/26 Sultan Plaza</t>
  </si>
  <si>
    <t>200655</t>
  </si>
  <si>
    <t>199001</t>
  </si>
  <si>
    <t>0011i00000oYBjo</t>
  </si>
  <si>
    <t>Endoscopy, Veins &amp; Piles Center</t>
  </si>
  <si>
    <t>1 Farrer Park Station Road</t>
  </si>
  <si>
    <t>#13-13</t>
  </si>
  <si>
    <t>217562</t>
  </si>
  <si>
    <t>0011i000001xoWf</t>
  </si>
  <si>
    <t>New Town Clinic</t>
  </si>
  <si>
    <t>#01-929</t>
  </si>
  <si>
    <t>200417</t>
  </si>
  <si>
    <t>0011i000001xofE</t>
  </si>
  <si>
    <t>0011i000001xnge</t>
  </si>
  <si>
    <t>Crawfurd Medical Centre</t>
  </si>
  <si>
    <t>3 Temasek Boulavard #02-482</t>
  </si>
  <si>
    <t>Suntec City Mall</t>
  </si>
  <si>
    <t>5 Temasek Boulevard #02-482</t>
  </si>
  <si>
    <t>Suntec City</t>
  </si>
  <si>
    <t>3 Temasek Boulevard #02-482</t>
  </si>
  <si>
    <t>28983</t>
  </si>
  <si>
    <t>0011i000001xoJs</t>
  </si>
  <si>
    <t>0011i000001xni3</t>
  </si>
  <si>
    <t>0011i00000Xf1Hq</t>
  </si>
  <si>
    <t>Tan Tock Seng Hospital Level 5 TTSH Medical Centre</t>
  </si>
  <si>
    <t>0011i000001xoig</t>
  </si>
  <si>
    <t>Blk 721 Ang Mo Kio Ave 8</t>
  </si>
  <si>
    <t>#01-2801</t>
  </si>
  <si>
    <t>560721</t>
  </si>
  <si>
    <t>0011i000001xoMy</t>
  </si>
  <si>
    <t>0011i000001xoW9</t>
  </si>
  <si>
    <t>820 Thomson Road #02-05</t>
  </si>
  <si>
    <t>0011i00000LHDrw</t>
  </si>
  <si>
    <t>Vervendeavour Pte Ltd</t>
  </si>
  <si>
    <t>Novena Specialist Centre</t>
  </si>
  <si>
    <t>8 Sinaran Drive #07-10/11</t>
  </si>
  <si>
    <t>307470</t>
  </si>
  <si>
    <t>0011i000001xoXA</t>
  </si>
  <si>
    <t>Asian Heart &amp; Vascular Centre</t>
  </si>
  <si>
    <t>0011i000001xoXr</t>
  </si>
  <si>
    <t>The Endocrine Clinic</t>
  </si>
  <si>
    <t>38 Irrawaddy Road #08-55/56/57</t>
  </si>
  <si>
    <t>Mt Elizabeth Novena Spec Ctr</t>
  </si>
  <si>
    <t>0011i000001xorE</t>
  </si>
  <si>
    <t>0011i000001xoWu</t>
  </si>
  <si>
    <t>Chia Clinic</t>
  </si>
  <si>
    <t>27 Foch Road</t>
  </si>
  <si>
    <t>#01-04 Hoanam Building</t>
  </si>
  <si>
    <t>200098</t>
  </si>
  <si>
    <t>209264</t>
  </si>
  <si>
    <t>0011i000001xoNX</t>
  </si>
  <si>
    <t>0011i000001xoOw</t>
  </si>
  <si>
    <t>TMVC Singapore Pte Ltd / International Medical Clinic</t>
  </si>
  <si>
    <t>1 Orchard Boulevard</t>
  </si>
  <si>
    <t>#14-05/06/07 Camden Medical Centre</t>
  </si>
  <si>
    <t>0011i00000Xf1Ht</t>
  </si>
  <si>
    <t>0011i000001xoQi</t>
  </si>
  <si>
    <t>The Obstetrics &amp; Gynaecology Practice</t>
  </si>
  <si>
    <t>#13-13 Mount Elizabeth Medical Centre</t>
  </si>
  <si>
    <t>201689</t>
  </si>
  <si>
    <t>0011i000001xnqQ</t>
  </si>
  <si>
    <t>0011i000001xoQf</t>
  </si>
  <si>
    <t>Seacare Maritime Medical Centre Pte Ltd</t>
  </si>
  <si>
    <t>100 Tras Street</t>
  </si>
  <si>
    <t>#18-02/03 Amara Corporate Tower</t>
  </si>
  <si>
    <t>201883</t>
  </si>
  <si>
    <t>88539</t>
  </si>
  <si>
    <t>0011i000001xomj</t>
  </si>
  <si>
    <t>Cynthia Kew Clinic for Women &amp; Lap Surg</t>
  </si>
  <si>
    <t>38 Irrawaddy Road #04-26</t>
  </si>
  <si>
    <t>0011i000001xo01</t>
  </si>
  <si>
    <t>Jurong East Avenue 1</t>
  </si>
  <si>
    <t>0011i000001xoXD</t>
  </si>
  <si>
    <t>President Medical Clinic</t>
  </si>
  <si>
    <t>74 Whampoa Drive</t>
  </si>
  <si>
    <t>#01-338</t>
  </si>
  <si>
    <t>320074</t>
  </si>
  <si>
    <t>0011i000001xoXJ</t>
  </si>
  <si>
    <t>8A Marina Boulevard #B2-76</t>
  </si>
  <si>
    <t>Marina Bay Link Mall</t>
  </si>
  <si>
    <t>18984</t>
  </si>
  <si>
    <t>0011i000001xn5w</t>
  </si>
  <si>
    <t>0011i000001xoJP</t>
  </si>
  <si>
    <t>Dayspring Medical Clinic Pte Ltd</t>
  </si>
  <si>
    <t>1 Pasir Ris Central Street 3</t>
  </si>
  <si>
    <t>#05-09 White Sands</t>
  </si>
  <si>
    <t>07511F</t>
  </si>
  <si>
    <t>518457</t>
  </si>
  <si>
    <t>0011i000001xohL</t>
  </si>
  <si>
    <t>Chaim Clinic</t>
  </si>
  <si>
    <t>0011i000001xo0e</t>
  </si>
  <si>
    <t>Department of General Psychiatry</t>
  </si>
  <si>
    <t>100065</t>
  </si>
  <si>
    <t>0011i000001xocz</t>
  </si>
  <si>
    <t>John Chiam Medical Clinic</t>
  </si>
  <si>
    <t>Blk 21 Ghim Moh Road</t>
  </si>
  <si>
    <t>270021</t>
  </si>
  <si>
    <t>0011i000001xoXl</t>
  </si>
  <si>
    <t>Executive Health Screeners</t>
  </si>
  <si>
    <t>38 Irrawaddy Road #02-02</t>
  </si>
  <si>
    <t>0011i000001xnl3</t>
  </si>
  <si>
    <t>0011i000001xoch</t>
  </si>
  <si>
    <t>E Medical Clinic &amp; Surgery</t>
  </si>
  <si>
    <t>Blk 639 Bukit Batok Central</t>
  </si>
  <si>
    <t>#01-34</t>
  </si>
  <si>
    <t>202829</t>
  </si>
  <si>
    <t>650639</t>
  </si>
  <si>
    <t>0011i000001xoTP</t>
  </si>
  <si>
    <t>Chiew Clinic</t>
  </si>
  <si>
    <t>2 Kovan Road</t>
  </si>
  <si>
    <t>#01-09 Simon Plaza</t>
  </si>
  <si>
    <t>200151</t>
  </si>
  <si>
    <t>548008</t>
  </si>
  <si>
    <t>0011i000007DNKH</t>
  </si>
  <si>
    <t>0011i000001xmvc</t>
  </si>
  <si>
    <t>Gleneagles Medical Centre #04-11</t>
  </si>
  <si>
    <t>0011i000001xoEO</t>
  </si>
  <si>
    <t>0011i000001xoaC</t>
  </si>
  <si>
    <t>0011i000001xoY0</t>
  </si>
  <si>
    <t>E.L. Chin Family Clinic &amp; Surgery</t>
  </si>
  <si>
    <t>Blk 432 Clementi Ave 3</t>
  </si>
  <si>
    <t>#01-272</t>
  </si>
  <si>
    <t>200657</t>
  </si>
  <si>
    <t>120432</t>
  </si>
  <si>
    <t>0011i000001xnyu</t>
  </si>
  <si>
    <t>Parway Shenton Med Grp</t>
  </si>
  <si>
    <t>Mt Elizabeth Novena Med Ctr</t>
  </si>
  <si>
    <t>0011i00000oYBI3</t>
  </si>
  <si>
    <t>0011i000001xoYJ</t>
  </si>
  <si>
    <t>Balestier Clinic &amp; Health Screening</t>
  </si>
  <si>
    <t>#03-04</t>
  </si>
  <si>
    <t>StarMed Specialist centre</t>
  </si>
  <si>
    <t>#05-01</t>
  </si>
  <si>
    <t>0011i000001xoDR</t>
  </si>
  <si>
    <t>Dept of Geriatric Medicine</t>
  </si>
  <si>
    <t>0011i000001xnwf</t>
  </si>
  <si>
    <t>0011i000001xoAD</t>
  </si>
  <si>
    <t>Tay Family Clinic</t>
  </si>
  <si>
    <t>326 Serangoon Ave 3</t>
  </si>
  <si>
    <t>#01-376</t>
  </si>
  <si>
    <t>0011i000001xoYg</t>
  </si>
  <si>
    <t>N K Chin Chest &amp; Medical Clinic</t>
  </si>
  <si>
    <t>#12-01 Mount Elizabeth Medical Centre</t>
  </si>
  <si>
    <t>0011i000001xodp</t>
  </si>
  <si>
    <t>The Orthopaedic Centre</t>
  </si>
  <si>
    <t>38 Irrawaddy Road #09-42</t>
  </si>
  <si>
    <t>CtrMt Elizabeth Novena Med</t>
  </si>
  <si>
    <t>0011i00000ULbZC</t>
  </si>
  <si>
    <t>0011i000001xoe2</t>
  </si>
  <si>
    <t>0011i000001xoZG</t>
  </si>
  <si>
    <t>Lifeline Medical Group</t>
  </si>
  <si>
    <t>103 Gangsa Road</t>
  </si>
  <si>
    <t>#01-37</t>
  </si>
  <si>
    <t>670103</t>
  </si>
  <si>
    <t>0011i000007CD9A</t>
  </si>
  <si>
    <t>0011i000001xmhI</t>
  </si>
  <si>
    <t>Blk 531 Upper Cross Street</t>
  </si>
  <si>
    <t>#02-64 Hong Lim Complex</t>
  </si>
  <si>
    <t>202358</t>
  </si>
  <si>
    <t>50531</t>
  </si>
  <si>
    <t>0011i000001xnC2</t>
  </si>
  <si>
    <t>35 Circuit Road</t>
  </si>
  <si>
    <t>#01-430</t>
  </si>
  <si>
    <t>370035</t>
  </si>
  <si>
    <t>0011i000001xofW</t>
  </si>
  <si>
    <t>0011i000001xmbD</t>
  </si>
  <si>
    <t>517 West Coast Road</t>
  </si>
  <si>
    <t>#01-555</t>
  </si>
  <si>
    <t>120517</t>
  </si>
  <si>
    <t>0011i000001xnE4</t>
  </si>
  <si>
    <t>#07-09 Gleneagles Medical Centre</t>
  </si>
  <si>
    <t>201691</t>
  </si>
  <si>
    <t>0011i000001xoM1</t>
  </si>
  <si>
    <t>Famicare Bedok Clinic</t>
  </si>
  <si>
    <t>Blk 158 Bedok South Ave 3</t>
  </si>
  <si>
    <t>#01-581</t>
  </si>
  <si>
    <t>202290</t>
  </si>
  <si>
    <t>460158</t>
  </si>
  <si>
    <t>0011i000001xo5B</t>
  </si>
  <si>
    <t>0011i00000S3HGI</t>
  </si>
  <si>
    <t>0011i000001xocd</t>
  </si>
  <si>
    <t>Department of Pharmacy</t>
  </si>
  <si>
    <t>0011i000001xo21</t>
  </si>
  <si>
    <t>Regional Patientcare</t>
  </si>
  <si>
    <t>678 Woodlands Avenue 6</t>
  </si>
  <si>
    <t>#01-726</t>
  </si>
  <si>
    <t>730678</t>
  </si>
  <si>
    <t>0011i000001xo0l</t>
  </si>
  <si>
    <t>0011i000001xoGH</t>
  </si>
  <si>
    <t>0011i000001xo0m</t>
  </si>
  <si>
    <t>0011i000001xnBV</t>
  </si>
  <si>
    <t>#10-02 Mount Elizabeth Medcal Centre</t>
  </si>
  <si>
    <t>201978</t>
  </si>
  <si>
    <t>0011i000001xod6</t>
  </si>
  <si>
    <t>NTUC Medicare Family Clinic</t>
  </si>
  <si>
    <t>1 Jurong West Central 2</t>
  </si>
  <si>
    <t>#06-07 Jurong Point Shopping Centre</t>
  </si>
  <si>
    <t>202680</t>
  </si>
  <si>
    <t>648886</t>
  </si>
  <si>
    <t>0011i00000uPPxH</t>
  </si>
  <si>
    <t>0011i000001xoJT</t>
  </si>
  <si>
    <t>0011i000001xmpp</t>
  </si>
  <si>
    <t>0011i000001xmqm</t>
  </si>
  <si>
    <t>0011i000001xn7X</t>
  </si>
  <si>
    <t>100158</t>
  </si>
  <si>
    <t>0011i000001xnQq</t>
  </si>
  <si>
    <t>0011i000001xnz6</t>
  </si>
  <si>
    <t>0011i000001xoae</t>
  </si>
  <si>
    <t>Chok Clinic</t>
  </si>
  <si>
    <t>407 Clementi Avenue 1</t>
  </si>
  <si>
    <t>#01-52</t>
  </si>
  <si>
    <t>120407</t>
  </si>
  <si>
    <t>0011i000001xoas</t>
  </si>
  <si>
    <t>Healthway Medical Clinic (My Family Doctor)</t>
  </si>
  <si>
    <t>Blk 330 Ang Mo Kio Ave 1</t>
  </si>
  <si>
    <t>#01-1803</t>
  </si>
  <si>
    <t>201335</t>
  </si>
  <si>
    <t>560330</t>
  </si>
  <si>
    <t>0011i000007FG3Y</t>
  </si>
  <si>
    <t>Northeast Medical Group</t>
  </si>
  <si>
    <t>Blk 25 Ghim Moh Link</t>
  </si>
  <si>
    <t>270025</t>
  </si>
  <si>
    <t>0011i000001xo0n</t>
  </si>
  <si>
    <t>Maven Surgery</t>
  </si>
  <si>
    <t>38 Irrawaddy Road #07-49</t>
  </si>
  <si>
    <t>Mount Elizabeth Novena Specialist Centre</t>
  </si>
  <si>
    <t>0011i000001xo5i</t>
  </si>
  <si>
    <t>0011i000001xoVb</t>
  </si>
  <si>
    <t>0011i000001xo0o</t>
  </si>
  <si>
    <t>Dept of Rheumatology &amp; Immunology</t>
  </si>
  <si>
    <t>0011i00000Xf1GW</t>
  </si>
  <si>
    <t>National Cancer Centre Singapore</t>
  </si>
  <si>
    <t>11 Hospital Drive, Level 3</t>
  </si>
  <si>
    <t>Division of Medical Oncology</t>
  </si>
  <si>
    <t>0011i000001xnrm</t>
  </si>
  <si>
    <t>Drs Trythall Hoy, Davies (Pte)</t>
  </si>
  <si>
    <t>20 Malacca Street</t>
  </si>
  <si>
    <t>#03-03 Royal Brothers Building</t>
  </si>
  <si>
    <t>48980</t>
  </si>
  <si>
    <t>0011i000001xobM</t>
  </si>
  <si>
    <t>Grace Clinic</t>
  </si>
  <si>
    <t>333 Kreta Ayer Road</t>
  </si>
  <si>
    <t>#02-14</t>
  </si>
  <si>
    <t>200201</t>
  </si>
  <si>
    <t>80333</t>
  </si>
  <si>
    <t>0011i000001xoMZ</t>
  </si>
  <si>
    <t>0011i000001xobQ</t>
  </si>
  <si>
    <t>Chong &amp; Lim Family Clinic</t>
  </si>
  <si>
    <t>201282</t>
  </si>
  <si>
    <t>0011i000001xobZ</t>
  </si>
  <si>
    <t>Choong's Clinic</t>
  </si>
  <si>
    <t>480 Tampines Street 44</t>
  </si>
  <si>
    <t>#01-261</t>
  </si>
  <si>
    <t>520480</t>
  </si>
  <si>
    <t>0011i000001xobe</t>
  </si>
  <si>
    <t>Block 21 Old Airport Road</t>
  </si>
  <si>
    <t>#01-97</t>
  </si>
  <si>
    <t>390021</t>
  </si>
  <si>
    <t>0011i000001xo4A</t>
  </si>
  <si>
    <t>0011i000001xoku</t>
  </si>
  <si>
    <t>Hisemann Medical Clinic</t>
  </si>
  <si>
    <t>0011i000001xocN</t>
  </si>
  <si>
    <t>The Orthoklinic</t>
  </si>
  <si>
    <t>#08-01 Gleneagles Medical Centre</t>
  </si>
  <si>
    <t>0011i000001xoQh</t>
  </si>
  <si>
    <t>Island Orthopaedic Consultants</t>
  </si>
  <si>
    <t>#02-16 Gleneagles Medical Centre</t>
  </si>
  <si>
    <t>201526</t>
  </si>
  <si>
    <t>0011i000001xo0p</t>
  </si>
  <si>
    <t>0011i000001xoB0</t>
  </si>
  <si>
    <t>K N Chin &amp; Associates Pte Ltd</t>
  </si>
  <si>
    <t>#02-400 Suntec City Mall</t>
  </si>
  <si>
    <t>0011i000001xo6E</t>
  </si>
  <si>
    <t>Lee Clinic</t>
  </si>
  <si>
    <t>Blk 325 Clementi Ave 5</t>
  </si>
  <si>
    <t>200433</t>
  </si>
  <si>
    <t>120325</t>
  </si>
  <si>
    <t>0011i00000pb4Vn</t>
  </si>
  <si>
    <t>0011i000001xo6X</t>
  </si>
  <si>
    <t>0011i000001xoc2</t>
  </si>
  <si>
    <t>P N Chong Neurology Clinic</t>
  </si>
  <si>
    <t>#12-17 Mount Elizabeth Medical Centre</t>
  </si>
  <si>
    <t>0011i000001xo6f</t>
  </si>
  <si>
    <t>Victoria Medical House</t>
  </si>
  <si>
    <t>Blk 888 Woodlands Drive 50</t>
  </si>
  <si>
    <t>#02-739</t>
  </si>
  <si>
    <t>201890</t>
  </si>
  <si>
    <t>731888</t>
  </si>
  <si>
    <t>0011i000001xo5M</t>
  </si>
  <si>
    <t>0011i000001xoVo</t>
  </si>
  <si>
    <t>0011i000001xo0s</t>
  </si>
  <si>
    <t>0011i000001xoox</t>
  </si>
  <si>
    <t>0011i000001xorG</t>
  </si>
  <si>
    <t>Dawson Place Clinic</t>
  </si>
  <si>
    <t>57 Dawson Road #02-03</t>
  </si>
  <si>
    <t>0011i00000Xf1HF</t>
  </si>
  <si>
    <t>0011i000005xAvH</t>
  </si>
  <si>
    <t>The Clinic @ Business City</t>
  </si>
  <si>
    <t>20 Pasir Panjang Road</t>
  </si>
  <si>
    <t>#02-26 Mapletree Business City</t>
  </si>
  <si>
    <t>117439</t>
  </si>
  <si>
    <t>0011i000001xopC</t>
  </si>
  <si>
    <t>0011i000001xo0t</t>
  </si>
  <si>
    <t>10 Sengkang Central #01-04</t>
  </si>
  <si>
    <t>Buangkok NEL MRT Stn</t>
  </si>
  <si>
    <t>545061</t>
  </si>
  <si>
    <t>0011i000001xoSE</t>
  </si>
  <si>
    <t>0011i000001xocu</t>
  </si>
  <si>
    <t>Singapore Medical Specilaists Ctr</t>
  </si>
  <si>
    <t>#09-23/27 Paragon</t>
  </si>
  <si>
    <t>0011i000001xoWJ</t>
  </si>
  <si>
    <t>Chris Chong Clinic Pte Ltd</t>
  </si>
  <si>
    <t>#02-35 Gleneagles Medical Centre Annexe Block</t>
  </si>
  <si>
    <t>202869</t>
  </si>
  <si>
    <t>0011i000001xoYF</t>
  </si>
  <si>
    <t>0011i000001xoeG</t>
  </si>
  <si>
    <t>0011i000001xmx3</t>
  </si>
  <si>
    <t>234 Upper Thomson Road</t>
  </si>
  <si>
    <t>574365</t>
  </si>
  <si>
    <t>0011i000001xnN2</t>
  </si>
  <si>
    <t>190 Clemenceau Avenue</t>
  </si>
  <si>
    <t>#01-29/30 Singapore Shopping Centre</t>
  </si>
  <si>
    <t>200109</t>
  </si>
  <si>
    <t>0011i000001xnN4</t>
  </si>
  <si>
    <t>0011i000001xmw5</t>
  </si>
  <si>
    <t>0011i000001xoGT</t>
  </si>
  <si>
    <t>Lifecare Family Clinic</t>
  </si>
  <si>
    <t>Blk 524A Jelapang Road</t>
  </si>
  <si>
    <t>#02-15 Greenridge Shopping Centre</t>
  </si>
  <si>
    <t>202411</t>
  </si>
  <si>
    <t>671524</t>
  </si>
  <si>
    <t>0011i000001xohx</t>
  </si>
  <si>
    <t>Department of Nephrology</t>
  </si>
  <si>
    <t>0011i000001xoHM</t>
  </si>
  <si>
    <t>Caring Family Clinic</t>
  </si>
  <si>
    <t>Blk 501 Jurong West St 51</t>
  </si>
  <si>
    <t>#01-271</t>
  </si>
  <si>
    <t>640501</t>
  </si>
  <si>
    <t>0011i000001xoXz</t>
  </si>
  <si>
    <t>Balestier Dispensary Medical &amp; Surgery Clinic</t>
  </si>
  <si>
    <t>163 Thomson Road</t>
  </si>
  <si>
    <t>Goldhill Shopping Centre</t>
  </si>
  <si>
    <t>307616</t>
  </si>
  <si>
    <t>0011i000001xodZ</t>
  </si>
  <si>
    <t>Choo Clinic</t>
  </si>
  <si>
    <t>46 Bedok South Avenue 3</t>
  </si>
  <si>
    <t>460046</t>
  </si>
  <si>
    <t>0011i000001xnjZ</t>
  </si>
  <si>
    <t>0011i000001xoXk</t>
  </si>
  <si>
    <t>Pacific Healthcare Specialist Centre</t>
  </si>
  <si>
    <t>#19-01 Paragon</t>
  </si>
  <si>
    <t>0011i00000vHmnx</t>
  </si>
  <si>
    <t>0011i000001xoeb</t>
  </si>
  <si>
    <t>United Medical Practitioners Pte Ltd</t>
  </si>
  <si>
    <t>Blk 139 Tampines Street 11</t>
  </si>
  <si>
    <t>#01-16</t>
  </si>
  <si>
    <t>200650</t>
  </si>
  <si>
    <t>521139</t>
  </si>
  <si>
    <t>0011i000001xoei</t>
  </si>
  <si>
    <t>Clifford Dispensary</t>
  </si>
  <si>
    <t>77 Robinson Road</t>
  </si>
  <si>
    <t>#06-02 SIA Building</t>
  </si>
  <si>
    <t>68896</t>
  </si>
  <si>
    <t>0011i000001xnN7</t>
  </si>
  <si>
    <t>0011i00000Xf1IS</t>
  </si>
  <si>
    <t>OncoCare Cancer CNTRE</t>
  </si>
  <si>
    <t>6A Napier Road #05-36C</t>
  </si>
  <si>
    <t>Annexe Block Gleneagles Hospital</t>
  </si>
  <si>
    <t>0011i000001xoNe</t>
  </si>
  <si>
    <t>Family Health Medical Centre</t>
  </si>
  <si>
    <t>Blk 226G Ang Mo Kio Ave 1</t>
  </si>
  <si>
    <t>#01-681</t>
  </si>
  <si>
    <t>201313</t>
  </si>
  <si>
    <t>567226</t>
  </si>
  <si>
    <t>0011i000001xmrw</t>
  </si>
  <si>
    <t>733 Havelock Road</t>
  </si>
  <si>
    <t>200119</t>
  </si>
  <si>
    <t>169651</t>
  </si>
  <si>
    <t>0011i000001xooE</t>
  </si>
  <si>
    <t>0011i00000ugAry</t>
  </si>
  <si>
    <t>0011i000001xohB</t>
  </si>
  <si>
    <t>0011i000001xocv</t>
  </si>
  <si>
    <t>0011i000001xo7w</t>
  </si>
  <si>
    <t>0011i000001xnga</t>
  </si>
  <si>
    <t>Singaporen General Hospital</t>
  </si>
  <si>
    <t>0011i000001xo7z</t>
  </si>
  <si>
    <t>Friendship Clinic &amp; Surgery</t>
  </si>
  <si>
    <t>Blk 1 Jalan Bukit Merah</t>
  </si>
  <si>
    <t>#01-4524</t>
  </si>
  <si>
    <t>201447</t>
  </si>
  <si>
    <t>150001</t>
  </si>
  <si>
    <t>0011i000001xnzB</t>
  </si>
  <si>
    <t>0011i000001xofw</t>
  </si>
  <si>
    <t>OneLife Family Clinic</t>
  </si>
  <si>
    <t>Blk 534 Choa Chu Kang Street 51</t>
  </si>
  <si>
    <t>#01-41</t>
  </si>
  <si>
    <t>201780</t>
  </si>
  <si>
    <t>680534</t>
  </si>
  <si>
    <t>0011i000001xo84</t>
  </si>
  <si>
    <t>0011i000001xon3</t>
  </si>
  <si>
    <t>Raffles Neuroscience Centre</t>
  </si>
  <si>
    <t>0011i000001xmhj</t>
  </si>
  <si>
    <t>0011i000001xnF9</t>
  </si>
  <si>
    <t>0011i000007E5lH</t>
  </si>
  <si>
    <t>0011i000001xnfm</t>
  </si>
  <si>
    <t>0011i000001xorj</t>
  </si>
  <si>
    <t>Green Cross Medical Centre</t>
  </si>
  <si>
    <t>Blk 824 Tampines St 81</t>
  </si>
  <si>
    <t>#01-30</t>
  </si>
  <si>
    <t>520824</t>
  </si>
  <si>
    <t>0011i000001xogO</t>
  </si>
  <si>
    <t>Blk 824 Tampines Street 81</t>
  </si>
  <si>
    <t>201708</t>
  </si>
  <si>
    <t>0011i000001xonZ</t>
  </si>
  <si>
    <t>Vascular Interventional Centre</t>
  </si>
  <si>
    <t>38 Irrawaddy Road #07-38</t>
  </si>
  <si>
    <t>0011i000001xocW</t>
  </si>
  <si>
    <t>National University Of Singapore</t>
  </si>
  <si>
    <t>University Health Centre</t>
  </si>
  <si>
    <t>20 Lower Kent Ridge Road</t>
  </si>
  <si>
    <t>Level 1</t>
  </si>
  <si>
    <t>119080</t>
  </si>
  <si>
    <t>0011i000001xoFI</t>
  </si>
  <si>
    <t>Margaret Drive</t>
  </si>
  <si>
    <t>149296</t>
  </si>
  <si>
    <t>0011i000001xoDq</t>
  </si>
  <si>
    <t>Silvercross Yishun Clinic (Healthway Med Grp)</t>
  </si>
  <si>
    <t>#01-3661</t>
  </si>
  <si>
    <t>Healthway Medical (Lengkong Tiga)</t>
  </si>
  <si>
    <t>Blk 110 Lengkong Tiga</t>
  </si>
  <si>
    <t>#01-231</t>
  </si>
  <si>
    <t>410110</t>
  </si>
  <si>
    <t>0011i000001xogk</t>
  </si>
  <si>
    <t>Hougang Clinic</t>
  </si>
  <si>
    <t>Block 631 Hougang Avenue 8</t>
  </si>
  <si>
    <t>200829</t>
  </si>
  <si>
    <t>530631</t>
  </si>
  <si>
    <t>0011i000001xogt</t>
  </si>
  <si>
    <t>Chua Surgical Centre &amp; Endoscopic Surgery</t>
  </si>
  <si>
    <t>#05-10 Gleneagles Medical Centre</t>
  </si>
  <si>
    <t>201738</t>
  </si>
  <si>
    <t>0011i000001xoRt</t>
  </si>
  <si>
    <t>0011i000001xoIK</t>
  </si>
  <si>
    <t>LightHouse Clinic &amp; Surgery</t>
  </si>
  <si>
    <t>Blk 642 Bukit Batok Central</t>
  </si>
  <si>
    <t>202122</t>
  </si>
  <si>
    <t>650642</t>
  </si>
  <si>
    <t>0011i000001xoPe</t>
  </si>
  <si>
    <t>Department of O&amp;G</t>
  </si>
  <si>
    <t>0011i000001xoGI</t>
  </si>
  <si>
    <t>Drs Chua &amp; Partners</t>
  </si>
  <si>
    <t>1 Tanjong Pagar Plaza</t>
  </si>
  <si>
    <t>200126</t>
  </si>
  <si>
    <t>82001</t>
  </si>
  <si>
    <t>0011i000001xobW</t>
  </si>
  <si>
    <t>Well Family Clinic &amp; Surgery</t>
  </si>
  <si>
    <t>Blk 555 Ang Mo Kio Ave 10</t>
  </si>
  <si>
    <t>#01-1948</t>
  </si>
  <si>
    <t>202642</t>
  </si>
  <si>
    <t>560555</t>
  </si>
  <si>
    <t>0011i000001xoha</t>
  </si>
  <si>
    <t>Chua Clinic &amp; Surgery</t>
  </si>
  <si>
    <t>Blk 769 Yishun Avenue 3</t>
  </si>
  <si>
    <t>#01-281</t>
  </si>
  <si>
    <t>760769</t>
  </si>
  <si>
    <t>0011i000001xo94</t>
  </si>
  <si>
    <t>Chua &amp; Partners Family Clinic Pte Ltd</t>
  </si>
  <si>
    <t>Blk 18 Jalan Membina</t>
  </si>
  <si>
    <t>#02-05</t>
  </si>
  <si>
    <t>202436</t>
  </si>
  <si>
    <t>164018</t>
  </si>
  <si>
    <t>0011i000001xoGv</t>
  </si>
  <si>
    <t>Heart Partners Pte Ltd</t>
  </si>
  <si>
    <t>#03-09 Gleneagles Medical Centre</t>
  </si>
  <si>
    <t>201087</t>
  </si>
  <si>
    <t>203346</t>
  </si>
  <si>
    <t>0011i000001xnmL</t>
  </si>
  <si>
    <t>1 Pasir Ris Dr 4</t>
  </si>
  <si>
    <t>0011i000001xni8</t>
  </si>
  <si>
    <t>0011i000001xoWs</t>
  </si>
  <si>
    <t>Women's Specialist Associates Pte Ltd</t>
  </si>
  <si>
    <t>#14-07/08 Mount Elizabeth Medical Centre</t>
  </si>
  <si>
    <t>202579</t>
  </si>
  <si>
    <t>0011i000001xoP5</t>
  </si>
  <si>
    <t>0011i000001xoiv</t>
  </si>
  <si>
    <t>0011i000001xokn</t>
  </si>
  <si>
    <t>0011i000001xo15</t>
  </si>
  <si>
    <t>0011i000001xorg</t>
  </si>
  <si>
    <t>Raffles Counselling Centre</t>
  </si>
  <si>
    <t>585 North Bridge Road #13-00</t>
  </si>
  <si>
    <t>0011i000001xobw</t>
  </si>
  <si>
    <t>391B Orchard Road #25-01/07/08</t>
  </si>
  <si>
    <t>0011i000001xoi2</t>
  </si>
  <si>
    <t>S.M. Chua Clinic &amp; Surgery For Women</t>
  </si>
  <si>
    <t>#03-29 Singapore Shopping Centre</t>
  </si>
  <si>
    <t>200983</t>
  </si>
  <si>
    <t>0011i000001xoIa</t>
  </si>
  <si>
    <t>Centre for Spine &amp; Orthopaedic Surgery</t>
  </si>
  <si>
    <t>3 Mt Elizabeth Suite 11-13/14/15</t>
  </si>
  <si>
    <t>0011i000001xo16</t>
  </si>
  <si>
    <t>0011i000001xoi4</t>
  </si>
  <si>
    <t>0011i000001xoiG</t>
  </si>
  <si>
    <t>Chua Medical Centre</t>
  </si>
  <si>
    <t>Blk 248 Simei Street 3</t>
  </si>
  <si>
    <t>#01-134</t>
  </si>
  <si>
    <t>200853</t>
  </si>
  <si>
    <t>520248</t>
  </si>
  <si>
    <t>0011i000001xoRg</t>
  </si>
  <si>
    <t>Siglap Clinic Pte Ltd</t>
  </si>
  <si>
    <t>308 Telok Kurau Road #01-08</t>
  </si>
  <si>
    <t>Vibes @ East Coast</t>
  </si>
  <si>
    <t>202463</t>
  </si>
  <si>
    <t>423858</t>
  </si>
  <si>
    <t>0011i000001xoBq</t>
  </si>
  <si>
    <t>AliveoMedical</t>
  </si>
  <si>
    <t>0011i000001xoSQ</t>
  </si>
  <si>
    <t>0011i00000KM4Qm</t>
  </si>
  <si>
    <t>A1 Medical Clinic</t>
  </si>
  <si>
    <t>0011i00000NqmJi</t>
  </si>
  <si>
    <t>0011i000001xoiK</t>
  </si>
  <si>
    <t>Chua Medico Clinic</t>
  </si>
  <si>
    <t>Blk 529 Ang Mo Kio Ave 10</t>
  </si>
  <si>
    <t>#01-2323</t>
  </si>
  <si>
    <t>200390</t>
  </si>
  <si>
    <t>560529</t>
  </si>
  <si>
    <t>0011i00000ugBEi</t>
  </si>
  <si>
    <t>0011i000001xmkz</t>
  </si>
  <si>
    <t>0011i000001xmbx</t>
  </si>
  <si>
    <t>0011i000001xmkB</t>
  </si>
  <si>
    <t>844 Yishun Street 81</t>
  </si>
  <si>
    <t>#01-156</t>
  </si>
  <si>
    <t>0011i000001xnOX</t>
  </si>
  <si>
    <t>0011i000007DDyj</t>
  </si>
  <si>
    <t>0011i000001xoiM</t>
  </si>
  <si>
    <t>Elias Family Clinic &amp; Surgery</t>
  </si>
  <si>
    <t>Elias Mall #01-320</t>
  </si>
  <si>
    <t>0011i000001xnpq</t>
  </si>
  <si>
    <t>Town Hall Clinic</t>
  </si>
  <si>
    <t>456 Alexandra Road</t>
  </si>
  <si>
    <t>#02-01 NOL Building</t>
  </si>
  <si>
    <t>119962</t>
  </si>
  <si>
    <t>Drs Thompson &amp; Thomson (Radlink Medicare)</t>
  </si>
  <si>
    <t>24 Raffles Placa#02-08</t>
  </si>
  <si>
    <t>#02-08</t>
  </si>
  <si>
    <t>48621</t>
  </si>
  <si>
    <t>0011i000001xoTF</t>
  </si>
  <si>
    <t>Blk 80 Marine Parade Central</t>
  </si>
  <si>
    <t>0011i000001xopZ</t>
  </si>
  <si>
    <t>0011i00000XhmZI</t>
  </si>
  <si>
    <t>GI Associates Gastroenterology</t>
  </si>
  <si>
    <t>6 Nappier Road</t>
  </si>
  <si>
    <t>0011i000001xoiQ</t>
  </si>
  <si>
    <t>Chuah Clinic &amp; Surgery</t>
  </si>
  <si>
    <t>Block 113 Aljunied Crescent Avenue 2</t>
  </si>
  <si>
    <t>#01-19</t>
  </si>
  <si>
    <t>200125</t>
  </si>
  <si>
    <t>380113</t>
  </si>
  <si>
    <t>0011i000001xoiS</t>
  </si>
  <si>
    <t>The Skin Clinic</t>
  </si>
  <si>
    <t>80 Marine Parade Road</t>
  </si>
  <si>
    <t>#04-03 Parkway Parade</t>
  </si>
  <si>
    <t>449269</t>
  </si>
  <si>
    <t>0011i000001xodD</t>
  </si>
  <si>
    <t>BLK 625 Elias Road</t>
  </si>
  <si>
    <t>#01-320 Elias Mall</t>
  </si>
  <si>
    <t>0011i000001xmv0</t>
  </si>
  <si>
    <t>0011i000001xmuw</t>
  </si>
  <si>
    <t>0011i000001xnTS</t>
  </si>
  <si>
    <t>0011i000001xoKG</t>
  </si>
  <si>
    <t>0011i000001xord</t>
  </si>
  <si>
    <t>0011i000001xoiY</t>
  </si>
  <si>
    <t>West Point Clinic</t>
  </si>
  <si>
    <t>#01-333</t>
  </si>
  <si>
    <t>853 Jurong West Street 81</t>
  </si>
  <si>
    <t>201543</t>
  </si>
  <si>
    <t>640853</t>
  </si>
  <si>
    <t>0011i000001xnKZ</t>
  </si>
  <si>
    <t>0011i000001xoia</t>
  </si>
  <si>
    <t>Sunnyvale Clinic &amp; Surgery</t>
  </si>
  <si>
    <t>498 Jurong West Street 41</t>
  </si>
  <si>
    <t>#01-466</t>
  </si>
  <si>
    <t>640498</t>
  </si>
  <si>
    <t>0011i000001xoib</t>
  </si>
  <si>
    <t>Evercare Medical Clinic</t>
  </si>
  <si>
    <t>Blk 253 Choa Chu Kang Avenue 1</t>
  </si>
  <si>
    <t>#01-14A</t>
  </si>
  <si>
    <t>201499</t>
  </si>
  <si>
    <t>0011i000001xoIo</t>
  </si>
  <si>
    <t>Block 475 Choa Chu Kang Avenue 3</t>
  </si>
  <si>
    <t>#02-02</t>
  </si>
  <si>
    <t>202119</t>
  </si>
  <si>
    <t>680475</t>
  </si>
  <si>
    <t>0011i000001xnzz</t>
  </si>
  <si>
    <t>0011i000001xno2</t>
  </si>
  <si>
    <t>OneDoctors Family Clinic</t>
  </si>
  <si>
    <t>Blk 253 Holland Avenue</t>
  </si>
  <si>
    <t>#02-01</t>
  </si>
  <si>
    <t>278982</t>
  </si>
  <si>
    <t>0011i00000llqqJ</t>
  </si>
  <si>
    <t>0011i000001xo9z</t>
  </si>
  <si>
    <t>0011i000001xnj8</t>
  </si>
  <si>
    <t>Finest Health Medical Centre</t>
  </si>
  <si>
    <t>19 Toa Payoh Lorong 7</t>
  </si>
  <si>
    <t>#01-268</t>
  </si>
  <si>
    <t>310019</t>
  </si>
  <si>
    <t>0011i00000X992G</t>
  </si>
  <si>
    <t>10 Telok Blangah Crescent</t>
  </si>
  <si>
    <t>090010</t>
  </si>
  <si>
    <t>0011i000001xnHY</t>
  </si>
  <si>
    <t>118 Upper Bukit Timah Road</t>
  </si>
  <si>
    <t>588173</t>
  </si>
  <si>
    <t>0011i000001xoNl</t>
  </si>
  <si>
    <t>0011i000001xnBU</t>
  </si>
  <si>
    <t>215 Jurong East St 21</t>
  </si>
  <si>
    <t>#01-539</t>
  </si>
  <si>
    <t>600215</t>
  </si>
  <si>
    <t>0011i000001xnFP</t>
  </si>
  <si>
    <t>Blk 102 Yishun Ave 5</t>
  </si>
  <si>
    <t>#01-117</t>
  </si>
  <si>
    <t>200129</t>
  </si>
  <si>
    <t>760102</t>
  </si>
  <si>
    <t>0011i000001xnCE</t>
  </si>
  <si>
    <t>#01-01 Jit Poh Building</t>
  </si>
  <si>
    <t>0011i000001xnVo</t>
  </si>
  <si>
    <t>Blk 537 Bedok North Street 3</t>
  </si>
  <si>
    <t>#01-515</t>
  </si>
  <si>
    <t>200133</t>
  </si>
  <si>
    <t>460537</t>
  </si>
  <si>
    <t>0011i000001xnDE</t>
  </si>
  <si>
    <t>Blk 125 Toa Payoh Lorong 1</t>
  </si>
  <si>
    <t>#01-537</t>
  </si>
  <si>
    <t>201359</t>
  </si>
  <si>
    <t>0011i00000FG3e5</t>
  </si>
  <si>
    <t>0011i000001xmsa</t>
  </si>
  <si>
    <t>970 Geylang Road</t>
  </si>
  <si>
    <t>#01-08</t>
  </si>
  <si>
    <t>203202</t>
  </si>
  <si>
    <t>423492</t>
  </si>
  <si>
    <t>0011i000001xnb5</t>
  </si>
  <si>
    <t>Block 308 Clementi Avenue 4</t>
  </si>
  <si>
    <t>#01-351</t>
  </si>
  <si>
    <t>201635</t>
  </si>
  <si>
    <t>120308</t>
  </si>
  <si>
    <t>0011i000001xmsW</t>
  </si>
  <si>
    <t>0011i000001xnVR</t>
  </si>
  <si>
    <t>0011i000001xn04</t>
  </si>
  <si>
    <t>0011i000001xn05</t>
  </si>
  <si>
    <t>0011i000001xn06</t>
  </si>
  <si>
    <t>0011i000001xmbZ</t>
  </si>
  <si>
    <t>3 Harbourfront Place #04-01</t>
  </si>
  <si>
    <t>Harbourfront Tower 2</t>
  </si>
  <si>
    <t>99254</t>
  </si>
  <si>
    <t>0011i000001xmkJ</t>
  </si>
  <si>
    <t>#15-03 Shaw House</t>
  </si>
  <si>
    <t>200137</t>
  </si>
  <si>
    <t>0011i000001xmcc</t>
  </si>
  <si>
    <t>0011i000001xn9e</t>
  </si>
  <si>
    <t>0011i000001xn9I</t>
  </si>
  <si>
    <t>0011i000001xml9</t>
  </si>
  <si>
    <t>220252</t>
  </si>
  <si>
    <t>0011i000001xnAy</t>
  </si>
  <si>
    <t>0011i000001xnEV</t>
  </si>
  <si>
    <t>0011i000001xnHG</t>
  </si>
  <si>
    <t>0011i000001xnFj</t>
  </si>
  <si>
    <t>70 Stamford Road #B1-21</t>
  </si>
  <si>
    <t>Li Ka Shing Building</t>
  </si>
  <si>
    <t>178901</t>
  </si>
  <si>
    <t>0011i000001xnbl</t>
  </si>
  <si>
    <t>84 Bayshore Road</t>
  </si>
  <si>
    <t>#01-36</t>
  </si>
  <si>
    <t>469994</t>
  </si>
  <si>
    <t>0011i000001xmqJ</t>
  </si>
  <si>
    <t>644 Pasir Ris Drive 10</t>
  </si>
  <si>
    <t>201694</t>
  </si>
  <si>
    <t>510644</t>
  </si>
  <si>
    <t>0011i000001xnHu</t>
  </si>
  <si>
    <t>#02-05 Parkway EAst Medical Centre</t>
  </si>
  <si>
    <t>0011i000001xmuK</t>
  </si>
  <si>
    <t>Blk 46 Bedok South Ave 3</t>
  </si>
  <si>
    <t>#01-276</t>
  </si>
  <si>
    <t>0011i000001xn1d</t>
  </si>
  <si>
    <t>3 Second Hospital Avenue, Level 2</t>
  </si>
  <si>
    <t>HPB Building</t>
  </si>
  <si>
    <t>0011i000001xmqC</t>
  </si>
  <si>
    <t>#08-01 Paragon</t>
  </si>
  <si>
    <t>200533</t>
  </si>
  <si>
    <t>0011i00000vwapb</t>
  </si>
  <si>
    <t>21 Choa Chu Kang North 6</t>
  </si>
  <si>
    <t>01-01,</t>
  </si>
  <si>
    <t>689578</t>
  </si>
  <si>
    <t>0011i000001xmiP</t>
  </si>
  <si>
    <t>#12-02 Mount Elizabeth Medical Centre</t>
  </si>
  <si>
    <t>202243</t>
  </si>
  <si>
    <t>0011i000001xmyF</t>
  </si>
  <si>
    <t>Mt Elizabeth Novena Specialist Centre</t>
  </si>
  <si>
    <t>33 Irrawaddy Road #06-30</t>
  </si>
  <si>
    <t>0011i000001xmwK</t>
  </si>
  <si>
    <t>221 Boon Lay Place #02-160</t>
  </si>
  <si>
    <t>Boon Lay Shpg Centre</t>
  </si>
  <si>
    <t>0011i000001xoTE</t>
  </si>
  <si>
    <t>No.1 Jalan Anak Bukit #01-08</t>
  </si>
  <si>
    <t>Community Pharmacy</t>
  </si>
  <si>
    <t>0011i000001xmlz</t>
  </si>
  <si>
    <t>Blk 297A Compassvale Street</t>
  </si>
  <si>
    <t>541297</t>
  </si>
  <si>
    <t>0011i000001xnPB</t>
  </si>
  <si>
    <t>0011i000001xo49</t>
  </si>
  <si>
    <t>0011i000001xn5a</t>
  </si>
  <si>
    <t>0011i000001xmbk</t>
  </si>
  <si>
    <t>0011i000001xn3S</t>
  </si>
  <si>
    <t>#02-23 Mount Alvernia Hospital Medical Centre A</t>
  </si>
  <si>
    <t>202672</t>
  </si>
  <si>
    <t>0011i000001xnBE</t>
  </si>
  <si>
    <t>0011i000001xnXe</t>
  </si>
  <si>
    <t>Blk 106 Yishun Rin Road</t>
  </si>
  <si>
    <t>#01-189</t>
  </si>
  <si>
    <t>0011i000001xnAB</t>
  </si>
  <si>
    <t>0011i000001xn8y</t>
  </si>
  <si>
    <t>Blk 1A Eunos Crescent</t>
  </si>
  <si>
    <t>#01-2473</t>
  </si>
  <si>
    <t>401001</t>
  </si>
  <si>
    <t>0011i00000UMnHv</t>
  </si>
  <si>
    <t>Blk 601B Tampines Ave 9</t>
  </si>
  <si>
    <t>#01-10 Tampines Greenridges</t>
  </si>
  <si>
    <t>522601</t>
  </si>
  <si>
    <t>0011i00000Xf145</t>
  </si>
  <si>
    <t>38 Irrawaddy Road #08-21</t>
  </si>
  <si>
    <t>Mount Elizabeth Novena Medical Centre</t>
  </si>
  <si>
    <t>0011i00000Xf146</t>
  </si>
  <si>
    <t>1 Farrer Park Station Road, #10-05/06/07</t>
  </si>
  <si>
    <t>Farrer Park Medical Centre, Connexion</t>
  </si>
  <si>
    <t>0011i000001xoih</t>
  </si>
  <si>
    <t>Chew, Da Costa Pte Ltd</t>
  </si>
  <si>
    <t>0011i000001xnb8</t>
  </si>
  <si>
    <t>Blk 159 Hougang Street 11</t>
  </si>
  <si>
    <t>202034</t>
  </si>
  <si>
    <t>530159</t>
  </si>
  <si>
    <t>0011i000001xnar</t>
  </si>
  <si>
    <t>3 Mt Elizabeth #03-04</t>
  </si>
  <si>
    <t>203631</t>
  </si>
  <si>
    <t>0011i000001xmtb</t>
  </si>
  <si>
    <t>0011i00000FF6yO</t>
  </si>
  <si>
    <t>0011i000001xoXw</t>
  </si>
  <si>
    <t>Blk 406 Sembawang Drive</t>
  </si>
  <si>
    <t>#01-820</t>
  </si>
  <si>
    <t>202361</t>
  </si>
  <si>
    <t>750406</t>
  </si>
  <si>
    <t>0011i000001xoRX</t>
  </si>
  <si>
    <t>0011i000001xngQ</t>
  </si>
  <si>
    <t>0011i000001xn0g</t>
  </si>
  <si>
    <t>391B Orchard Road</t>
  </si>
  <si>
    <t>#09-04 Ngee Ann City Tower B</t>
  </si>
  <si>
    <t>203163</t>
  </si>
  <si>
    <t>0011i000001xn0N</t>
  </si>
  <si>
    <t>Blk 85 Dawson Road</t>
  </si>
  <si>
    <t>141085</t>
  </si>
  <si>
    <t>0011i000001xncr</t>
  </si>
  <si>
    <t>0011i000001xnMr</t>
  </si>
  <si>
    <t>Block 1 Pasir Ris Central Street 3</t>
  </si>
  <si>
    <t>0011i000001xn1u</t>
  </si>
  <si>
    <t>0011i000001xoky</t>
  </si>
  <si>
    <t>0011i000001xoCX</t>
  </si>
  <si>
    <t>0011i00000Xf1Hd</t>
  </si>
  <si>
    <t>0011i000001xoit</t>
  </si>
  <si>
    <t>The Women's Specialist</t>
  </si>
  <si>
    <t>Blk 113 Aljunied Ave 2</t>
  </si>
  <si>
    <t>#01-21 Geylang East Town Centre</t>
  </si>
  <si>
    <t>0011i000001xnY0</t>
  </si>
  <si>
    <t>0011i000001xmcN</t>
  </si>
  <si>
    <t>0011i000001xn45</t>
  </si>
  <si>
    <t>0011i000001xnS7</t>
  </si>
  <si>
    <t>0011i000001xnaP</t>
  </si>
  <si>
    <t>0011i000001xnPC</t>
  </si>
  <si>
    <t>0011i000001xnRq</t>
  </si>
  <si>
    <t>0011i000001xnXs</t>
  </si>
  <si>
    <t>0011i000001xmdf</t>
  </si>
  <si>
    <t>0011i000001xmrG</t>
  </si>
  <si>
    <t>0011i000001xmrJ</t>
  </si>
  <si>
    <t>0011i000001xmg3</t>
  </si>
  <si>
    <t>0011i000001xmrA</t>
  </si>
  <si>
    <t>0011i000001xn3u</t>
  </si>
  <si>
    <t>0011i000001xnXM</t>
  </si>
  <si>
    <t>0011i000001xnXo</t>
  </si>
  <si>
    <t>0011i000001xnDH</t>
  </si>
  <si>
    <t>0011i000001xn8N</t>
  </si>
  <si>
    <t>0011i000001xnMG</t>
  </si>
  <si>
    <t>0011i000001xmdd</t>
  </si>
  <si>
    <t>0011i000001xnan</t>
  </si>
  <si>
    <t>0011i000001xmr9</t>
  </si>
  <si>
    <t>0011i000001xnPk</t>
  </si>
  <si>
    <t>0011i000001xmcI</t>
  </si>
  <si>
    <t>0011i000001xnNj</t>
  </si>
  <si>
    <t>0011i000001xnTB</t>
  </si>
  <si>
    <t>0011i000001xnZR</t>
  </si>
  <si>
    <t>0011i000001xn6b</t>
  </si>
  <si>
    <t>0011i000001xnNq</t>
  </si>
  <si>
    <t>0011i000001xn5N</t>
  </si>
  <si>
    <t>0011i000001xnNl</t>
  </si>
  <si>
    <t>0011i000001xmtK</t>
  </si>
  <si>
    <t>0011i000001xmuT</t>
  </si>
  <si>
    <t>0011i000001xmpl</t>
  </si>
  <si>
    <t>0011i000001xmnU</t>
  </si>
  <si>
    <t>0011i000001xmck</t>
  </si>
  <si>
    <t>0011i000001xnRu</t>
  </si>
  <si>
    <t>0011i000001xnNa</t>
  </si>
  <si>
    <t>0011i000001xmr1</t>
  </si>
  <si>
    <t>0011i000001xnPG</t>
  </si>
  <si>
    <t>0011i000001xmol</t>
  </si>
  <si>
    <t>0011i000001xnae</t>
  </si>
  <si>
    <t>0011i000001xmg4</t>
  </si>
  <si>
    <t>0011i000001xn7J</t>
  </si>
  <si>
    <t>0011i000001xmcv</t>
  </si>
  <si>
    <t>0011i000001xn6s</t>
  </si>
  <si>
    <t>0011i000001xn3f</t>
  </si>
  <si>
    <t>0011i000001xnDd</t>
  </si>
  <si>
    <t>0011i000001xmpu</t>
  </si>
  <si>
    <t>0011i000001xnP2</t>
  </si>
  <si>
    <t>807038</t>
  </si>
  <si>
    <t>0011i000001xnPU</t>
  </si>
  <si>
    <t>0011i000001xmeZ</t>
  </si>
  <si>
    <t>0011i000001xmmh</t>
  </si>
  <si>
    <t>0011i000001xnXE</t>
  </si>
  <si>
    <t>0011i000001xmax</t>
  </si>
  <si>
    <t>0011i000001xn6c</t>
  </si>
  <si>
    <t>0011i000001xnM9</t>
  </si>
  <si>
    <t>0011i000001xnNJ</t>
  </si>
  <si>
    <t>0011i000001xmdX</t>
  </si>
  <si>
    <t>0011i000001xmdu</t>
  </si>
  <si>
    <t>0011i000001xn4c</t>
  </si>
  <si>
    <t>0011i000001xn6q</t>
  </si>
  <si>
    <t>0011i000001xnXR</t>
  </si>
  <si>
    <t>0011i000001xmiw</t>
  </si>
  <si>
    <t>0011i000001xmri</t>
  </si>
  <si>
    <t>0011i000001xnSC</t>
  </si>
  <si>
    <t>0011i000001xmrh</t>
  </si>
  <si>
    <t>0011i000001xn3v</t>
  </si>
  <si>
    <t>0011i000001xnM8</t>
  </si>
  <si>
    <t>0011i000001xnLc</t>
  </si>
  <si>
    <t>0011i000001xmla</t>
  </si>
  <si>
    <t>0011i000001xnYj</t>
  </si>
  <si>
    <t>0011i000001xmex</t>
  </si>
  <si>
    <t>0011i000001xmqG</t>
  </si>
  <si>
    <t>0011i000001xnZD</t>
  </si>
  <si>
    <t>0011i000001xnbE</t>
  </si>
  <si>
    <t>0011i000001xmta</t>
  </si>
  <si>
    <t>0011i000001xn7W</t>
  </si>
  <si>
    <t>0011i000001xmwb</t>
  </si>
  <si>
    <t>0011i000001xnN3</t>
  </si>
  <si>
    <t>0011i000001xnML</t>
  </si>
  <si>
    <t>0011i000001xnQC</t>
  </si>
  <si>
    <t>0011i000001xnZ7</t>
  </si>
  <si>
    <t>0011i000001xmjg</t>
  </si>
  <si>
    <t>0011i000001xnUV</t>
  </si>
  <si>
    <t>0011i000001xnUY</t>
  </si>
  <si>
    <t>0011i000001xnZ4</t>
  </si>
  <si>
    <t>0011i000001xn5A</t>
  </si>
  <si>
    <t>0011i000001xnQ2</t>
  </si>
  <si>
    <t>0011i000001xnUR</t>
  </si>
  <si>
    <t>0011i000001xnZ5</t>
  </si>
  <si>
    <t>0011i000001xnJr</t>
  </si>
  <si>
    <t>0011i000001xnL4</t>
  </si>
  <si>
    <t>0011i000001xmbc</t>
  </si>
  <si>
    <t>0011i000001xmry</t>
  </si>
  <si>
    <t>0011i000001xnZ8</t>
  </si>
  <si>
    <t>0011i000001xnaN</t>
  </si>
  <si>
    <t>0011i000001xmj1</t>
  </si>
  <si>
    <t>0011i000001xmch</t>
  </si>
  <si>
    <t>0011i000001xn6h</t>
  </si>
  <si>
    <t>0011i000001xnN9</t>
  </si>
  <si>
    <t>0011i000001xnNB</t>
  </si>
  <si>
    <t>0011i000001xmhT</t>
  </si>
  <si>
    <t>0011i000001xmnY</t>
  </si>
  <si>
    <t>0011i000001xmqe</t>
  </si>
  <si>
    <t>0011i000001xn1z</t>
  </si>
  <si>
    <t>0011i000001xnPh</t>
  </si>
  <si>
    <t>0011i000001xmfv</t>
  </si>
  <si>
    <t>0011i000001xn6i</t>
  </si>
  <si>
    <t>0011i000001xn6j</t>
  </si>
  <si>
    <t>0011i000001xnNC</t>
  </si>
  <si>
    <t>0011i000001xnND</t>
  </si>
  <si>
    <t>0011i000001xmnG</t>
  </si>
  <si>
    <t>0011i000001xmwq</t>
  </si>
  <si>
    <t>0011i000001xnRG</t>
  </si>
  <si>
    <t>0011i000001xnSp</t>
  </si>
  <si>
    <t>0011i000001xmdr</t>
  </si>
  <si>
    <t>0011i000001xmmx</t>
  </si>
  <si>
    <t>0011i000001xmof</t>
  </si>
  <si>
    <t>0011i000001xmoj</t>
  </si>
  <si>
    <t>0011i000001xmqf</t>
  </si>
  <si>
    <t>0011i000001xmqi</t>
  </si>
  <si>
    <t>0011i000001xmu4</t>
  </si>
  <si>
    <t>0011i000001xn1v</t>
  </si>
  <si>
    <t>0011i000001xnM6</t>
  </si>
  <si>
    <t>0011i000001xnRW</t>
  </si>
  <si>
    <t>0011i000001xmmi</t>
  </si>
  <si>
    <t>0011i000001xmqS</t>
  </si>
  <si>
    <t>0011i000001xmqj</t>
  </si>
  <si>
    <t>0011i000001xmth</t>
  </si>
  <si>
    <t>0011i000001xmuJ</t>
  </si>
  <si>
    <t>0011i000001xn4k</t>
  </si>
  <si>
    <t>0011i000001xnTF</t>
  </si>
  <si>
    <t>0011i000001xnUA</t>
  </si>
  <si>
    <t>0011i000001xnUL</t>
  </si>
  <si>
    <t>0011i000001xnUQ</t>
  </si>
  <si>
    <t>0011i000001xmq7</t>
  </si>
  <si>
    <t>0011i000001xn2U</t>
  </si>
  <si>
    <t>0011i000001xn44</t>
  </si>
  <si>
    <t>0011i000001xn5T</t>
  </si>
  <si>
    <t>0011i000001xnKu</t>
  </si>
  <si>
    <t>0011i000001xnRi</t>
  </si>
  <si>
    <t>0011i000001xmcH</t>
  </si>
  <si>
    <t>0011i000001xmom</t>
  </si>
  <si>
    <t>0011i000001xn3d</t>
  </si>
  <si>
    <t>0011i000001xn6n</t>
  </si>
  <si>
    <t>0011i000001xnLb</t>
  </si>
  <si>
    <t>0011i000001xnN8</t>
  </si>
  <si>
    <t>0011i000001xnQ5</t>
  </si>
  <si>
    <t>0011i000001xnUr</t>
  </si>
  <si>
    <t>0011i000001xmrk</t>
  </si>
  <si>
    <t>0011i000001xmg0</t>
  </si>
  <si>
    <t>0011i000001xmfz</t>
  </si>
  <si>
    <t>0011i000001xmgf</t>
  </si>
  <si>
    <t>0011i000001xmjw</t>
  </si>
  <si>
    <t>0011i000001xmf8</t>
  </si>
  <si>
    <t>0011i000001xmhZ</t>
  </si>
  <si>
    <t>0011i000001xmrN</t>
  </si>
  <si>
    <t>0011i000001xnNL</t>
  </si>
  <si>
    <t>0011i000001xmrB</t>
  </si>
  <si>
    <t>0011i000001xmtI</t>
  </si>
  <si>
    <t>0011i000001xnUs</t>
  </si>
  <si>
    <t>0011i000001xnXm</t>
  </si>
  <si>
    <t>0011i00000FG1FA</t>
  </si>
  <si>
    <t>Affinity Medical Clinic</t>
  </si>
  <si>
    <t>0011i000001xmmO</t>
  </si>
  <si>
    <t>38 Irrawaddy Road #06-35</t>
  </si>
  <si>
    <t>Mt Elizabeth Novena Specialist Ctr</t>
  </si>
  <si>
    <t>329513</t>
  </si>
  <si>
    <t>0011i000001xnmN</t>
  </si>
  <si>
    <t>0011i000001xnkt</t>
  </si>
  <si>
    <t>0011i000001xo1D</t>
  </si>
  <si>
    <t>0011i000001xoBs</t>
  </si>
  <si>
    <t>10 Woodlands Street 31</t>
  </si>
  <si>
    <t>0011i000001xnDc</t>
  </si>
  <si>
    <t>820 Thomson Road #06/63/64</t>
  </si>
  <si>
    <t>Mount Alvernia Medical Centre</t>
  </si>
  <si>
    <t>0011i000001xn9W</t>
  </si>
  <si>
    <t>Blk 24 Whampoa West</t>
  </si>
  <si>
    <t>#01-47</t>
  </si>
  <si>
    <t>330034</t>
  </si>
  <si>
    <t>0011i000001xnMf</t>
  </si>
  <si>
    <t>Blk 94 Toa Payoh Lorong 4</t>
  </si>
  <si>
    <t>#01-24</t>
  </si>
  <si>
    <t>310094</t>
  </si>
  <si>
    <t>0011i000001xoJR</t>
  </si>
  <si>
    <t>0011i000001xnOU</t>
  </si>
  <si>
    <t>820 Thosom Road #03-12</t>
  </si>
  <si>
    <t>0011i000001xocc</t>
  </si>
  <si>
    <t>0011i000001xo1E</t>
  </si>
  <si>
    <t>0011i000001xnCA</t>
  </si>
  <si>
    <t>115 Kiliney Road</t>
  </si>
  <si>
    <t>239553</t>
  </si>
  <si>
    <t>0011i000001xmh4</t>
  </si>
  <si>
    <t>Blk 190 Toa Payoh Lorong 6</t>
  </si>
  <si>
    <t>#01-590</t>
  </si>
  <si>
    <t>202828</t>
  </si>
  <si>
    <t>310190</t>
  </si>
  <si>
    <t>0011i000001xmkT</t>
  </si>
  <si>
    <t>0011i000001xnc6</t>
  </si>
  <si>
    <t>Blk 415 Pandan Gardens</t>
  </si>
  <si>
    <t>#01-120</t>
  </si>
  <si>
    <t>600415</t>
  </si>
  <si>
    <t>0011i000001xoj1</t>
  </si>
  <si>
    <t>Dr Lim Don and Associates</t>
  </si>
  <si>
    <t>#03-06/08 Mount Elizabeth Medical Centre</t>
  </si>
  <si>
    <t>0011i000001xoAd</t>
  </si>
  <si>
    <t>0011i000001xoKD</t>
  </si>
  <si>
    <t>Haig Specialist Medical Clinic Pte Ltd</t>
  </si>
  <si>
    <t>#03-01 Parkway East Medical Centre</t>
  </si>
  <si>
    <t>200206</t>
  </si>
  <si>
    <t>0011i000001xnCS</t>
  </si>
  <si>
    <t>#01-89 Multi Storey Car Park</t>
  </si>
  <si>
    <t>200154</t>
  </si>
  <si>
    <t>0011i000001xnTc</t>
  </si>
  <si>
    <t>0011i00000Xf147</t>
  </si>
  <si>
    <t>38 Irrawaddy Road #06-44/45</t>
  </si>
  <si>
    <t>0011i000001xn0w</t>
  </si>
  <si>
    <t>6 Napier Road #10-05</t>
  </si>
  <si>
    <t>0011i000001xoah</t>
  </si>
  <si>
    <t>0011i000001xn0o</t>
  </si>
  <si>
    <t>0011i000001xnXN</t>
  </si>
  <si>
    <t>6 Napier Road #09-09</t>
  </si>
  <si>
    <t>0011i000001xnbw</t>
  </si>
  <si>
    <t>0011i000001xn9f</t>
  </si>
  <si>
    <t>0011i000001xnQg</t>
  </si>
  <si>
    <t>0011i000001xnP4</t>
  </si>
  <si>
    <t>Camden Medical centre</t>
  </si>
  <si>
    <t>1 Orchard Boulevard #04-03</t>
  </si>
  <si>
    <t>0011i000001xn95</t>
  </si>
  <si>
    <t>#07-02 Mount Elizabeth Medical Centre</t>
  </si>
  <si>
    <t>200425</t>
  </si>
  <si>
    <t>0011i000001xnIu</t>
  </si>
  <si>
    <t>0011i000001xmai</t>
  </si>
  <si>
    <t>10 Jalan Serene #02-01/02</t>
  </si>
  <si>
    <t>Serene Centre</t>
  </si>
  <si>
    <t>258748</t>
  </si>
  <si>
    <t>0011i000001xnLz</t>
  </si>
  <si>
    <t>Blk 152 Bishan Street 11</t>
  </si>
  <si>
    <t>#01-215</t>
  </si>
  <si>
    <t>804102</t>
  </si>
  <si>
    <t>570152</t>
  </si>
  <si>
    <t>0011i000001xnZr</t>
  </si>
  <si>
    <t>1 Park Road</t>
  </si>
  <si>
    <t>#04-27 Peoples Park Complex</t>
  </si>
  <si>
    <t>200295</t>
  </si>
  <si>
    <t>59108</t>
  </si>
  <si>
    <t>0011i000001xnIN</t>
  </si>
  <si>
    <t>#08-16 Gleneagles Medical Centre</t>
  </si>
  <si>
    <t>201489</t>
  </si>
  <si>
    <t>0011i000001xnIP</t>
  </si>
  <si>
    <t>0011i000001xnCC</t>
  </si>
  <si>
    <t>6 Shenton Way #40-03</t>
  </si>
  <si>
    <t>DBS Building Tower 1</t>
  </si>
  <si>
    <t>101 Irrawaddy Road</t>
  </si>
  <si>
    <t>#21-04/05</t>
  </si>
  <si>
    <t>Royal Square at Novena</t>
  </si>
  <si>
    <t>0011i000001xn2s</t>
  </si>
  <si>
    <t>#09-08 Mount Elizabeth Medical Centre</t>
  </si>
  <si>
    <t>201218</t>
  </si>
  <si>
    <t>0011i000001xnLV</t>
  </si>
  <si>
    <t>#11-01 Connexion</t>
  </si>
  <si>
    <t>217561</t>
  </si>
  <si>
    <t>0011i000001xnCO</t>
  </si>
  <si>
    <t>Blk 30 Jalan Daud</t>
  </si>
  <si>
    <t>#01-07</t>
  </si>
  <si>
    <t>419572</t>
  </si>
  <si>
    <t>0011i000001xmpY</t>
  </si>
  <si>
    <t>1 HarbourFront Avenue</t>
  </si>
  <si>
    <t>#07-06 Keppel Bay Tower</t>
  </si>
  <si>
    <t>202553</t>
  </si>
  <si>
    <t>98632</t>
  </si>
  <si>
    <t>0011i000001xnbO</t>
  </si>
  <si>
    <t>1 Raffles Quay</t>
  </si>
  <si>
    <t>#09-03 One Raffles Quay-North Tower</t>
  </si>
  <si>
    <t>805040</t>
  </si>
  <si>
    <t>48583</t>
  </si>
  <si>
    <t>0011i000001xn5m</t>
  </si>
  <si>
    <t>#09-03 One Raffles Quay North Tower</t>
  </si>
  <si>
    <t>200031</t>
  </si>
  <si>
    <t>1 Rafles Quay #09-03</t>
  </si>
  <si>
    <t>One Raffles Quay (North)</t>
  </si>
  <si>
    <t>#09-03 One Raffles Quay - North Tower</t>
  </si>
  <si>
    <t>1 Raffles Quay #09-03</t>
  </si>
  <si>
    <t>One Raffles Quay North Tower</t>
  </si>
  <si>
    <t>0011i000001xn5o</t>
  </si>
  <si>
    <t>0011i000001xnX4</t>
  </si>
  <si>
    <t>#15-05/06 Shaw House</t>
  </si>
  <si>
    <t>0011i000001xnRF</t>
  </si>
  <si>
    <t>0011i000001xnHC</t>
  </si>
  <si>
    <t>1 HarbourFront Avenue #07-06</t>
  </si>
  <si>
    <t>Keppel Bay Tower</t>
  </si>
  <si>
    <t>0011i000001xnCb</t>
  </si>
  <si>
    <t>1 Harbourfront Avenue #07-06</t>
  </si>
  <si>
    <t>0011i000001xmwf</t>
  </si>
  <si>
    <t>Blk 125 Bukit Merah Lane 1</t>
  </si>
  <si>
    <t>#01-174</t>
  </si>
  <si>
    <t>150125</t>
  </si>
  <si>
    <t>0011i000001xmmn</t>
  </si>
  <si>
    <t>1 Grange Road #12-04</t>
  </si>
  <si>
    <t>Orchard Building</t>
  </si>
  <si>
    <t>0011i000001xmiG</t>
  </si>
  <si>
    <t>#01-191</t>
  </si>
  <si>
    <t>201076</t>
  </si>
  <si>
    <t>0011i000001xnC6</t>
  </si>
  <si>
    <t>Blk 152 Yung Ho Road</t>
  </si>
  <si>
    <t>#B1-03</t>
  </si>
  <si>
    <t>201341</t>
  </si>
  <si>
    <t>610152</t>
  </si>
  <si>
    <t>0011i000001xmxD</t>
  </si>
  <si>
    <t>640152</t>
  </si>
  <si>
    <t>0011i000001xnNv</t>
  </si>
  <si>
    <t>4 Kian Teck Avenue</t>
  </si>
  <si>
    <t>628909</t>
  </si>
  <si>
    <t>0011i000001xn4u</t>
  </si>
  <si>
    <t>960 Woodlands Road</t>
  </si>
  <si>
    <t>Kranji MRT Station #01-01</t>
  </si>
  <si>
    <t>738702</t>
  </si>
  <si>
    <t>0011i000001xncV</t>
  </si>
  <si>
    <t>Blk 2 Lorong Lew Lian</t>
  </si>
  <si>
    <t>200336</t>
  </si>
  <si>
    <t>531002</t>
  </si>
  <si>
    <t>0011i000001xnC8</t>
  </si>
  <si>
    <t>106 Hougang Ave 1</t>
  </si>
  <si>
    <t>#01-1235</t>
  </si>
  <si>
    <t>530106</t>
  </si>
  <si>
    <t>0011i000001xnRw</t>
  </si>
  <si>
    <t>966 Jurong West Street 93</t>
  </si>
  <si>
    <t>#01-219</t>
  </si>
  <si>
    <t>805342</t>
  </si>
  <si>
    <t>640966</t>
  </si>
  <si>
    <t>0011i000001xmhg</t>
  </si>
  <si>
    <t>541 Orchard Road</t>
  </si>
  <si>
    <t>#10-02 Liat Tower</t>
  </si>
  <si>
    <t>200117</t>
  </si>
  <si>
    <t>238881</t>
  </si>
  <si>
    <t>0011i000001xmbs</t>
  </si>
  <si>
    <t>252 North Bridge Road</t>
  </si>
  <si>
    <t>#02-16 Raffles City Shopping Centre</t>
  </si>
  <si>
    <t>200936</t>
  </si>
  <si>
    <t>179103</t>
  </si>
  <si>
    <t>0011i000001xmh9</t>
  </si>
  <si>
    <t>#01-115</t>
  </si>
  <si>
    <t>200569</t>
  </si>
  <si>
    <t>0011i000001xn1F</t>
  </si>
  <si>
    <t>0011i000001xmkV</t>
  </si>
  <si>
    <t>24 Raffles Place</t>
  </si>
  <si>
    <t>#02-08 Clifford Centre</t>
  </si>
  <si>
    <t>200616</t>
  </si>
  <si>
    <t>0011i000001xndE</t>
  </si>
  <si>
    <t>#10-12 Mount Elizabeth Medical Centre</t>
  </si>
  <si>
    <t>200659</t>
  </si>
  <si>
    <t>0011i000001xmdK</t>
  </si>
  <si>
    <t>0011i000001xnF7</t>
  </si>
  <si>
    <t>#04-02 Gleneagles Medical Centre</t>
  </si>
  <si>
    <t>202665</t>
  </si>
  <si>
    <t>0011i000001xnIT</t>
  </si>
  <si>
    <t>#05-01 Gleneagles Medical Centre</t>
  </si>
  <si>
    <t>200579</t>
  </si>
  <si>
    <t>0011i00000vJl2m</t>
  </si>
  <si>
    <t>Novena Medical Centre #09-30</t>
  </si>
  <si>
    <t>0011i000001xnDr</t>
  </si>
  <si>
    <t>801 Tampines Avenue 4</t>
  </si>
  <si>
    <t>#$01-273</t>
  </si>
  <si>
    <t>520801</t>
  </si>
  <si>
    <t>0011i000001xmm0</t>
  </si>
  <si>
    <t>8 Empress Road #01-09</t>
  </si>
  <si>
    <t>2.60009E+13</t>
  </si>
  <si>
    <t>0011i000001xmox</t>
  </si>
  <si>
    <t>0011i000001xmvs</t>
  </si>
  <si>
    <t>Blk 7 Tanjong Pagar</t>
  </si>
  <si>
    <t>#01-106 Tg Pagar Plaza</t>
  </si>
  <si>
    <t>81007</t>
  </si>
  <si>
    <t>Blk 7 Tanjong Pagar Plaza</t>
  </si>
  <si>
    <t>0011i000001xn7R</t>
  </si>
  <si>
    <t>Blk 104 Jurong East Street 13</t>
  </si>
  <si>
    <t>#01-100</t>
  </si>
  <si>
    <t>600104</t>
  </si>
  <si>
    <t>0011i000001xmxm</t>
  </si>
  <si>
    <t>202175</t>
  </si>
  <si>
    <t>0011i000001xnAA</t>
  </si>
  <si>
    <t>121 Meyer Road</t>
  </si>
  <si>
    <t>#01-05 The Makena</t>
  </si>
  <si>
    <t>202002</t>
  </si>
  <si>
    <t>437932</t>
  </si>
  <si>
    <t>0011i000001xmdN</t>
  </si>
  <si>
    <t>57A New Upper Changi Road</t>
  </si>
  <si>
    <t>#01-1374</t>
  </si>
  <si>
    <t>462057</t>
  </si>
  <si>
    <t>0011i000001xnDF</t>
  </si>
  <si>
    <t>Blk 318 Jurong East Street 31</t>
  </si>
  <si>
    <t>#01-48</t>
  </si>
  <si>
    <t>804152</t>
  </si>
  <si>
    <t>600318</t>
  </si>
  <si>
    <t>0011i000001xnDf</t>
  </si>
  <si>
    <t>Block 235 Jurong East Street 21</t>
  </si>
  <si>
    <t>#01-316</t>
  </si>
  <si>
    <t>200157</t>
  </si>
  <si>
    <t>600235</t>
  </si>
  <si>
    <t>0011i000001xnWm</t>
  </si>
  <si>
    <t>East Shore Hospital</t>
  </si>
  <si>
    <t>0011i000001xmhb</t>
  </si>
  <si>
    <t>30 Eunos Crescent</t>
  </si>
  <si>
    <t>#01-17/18 Eunos MRT Station</t>
  </si>
  <si>
    <t>409423</t>
  </si>
  <si>
    <t>0011i000001xn2K</t>
  </si>
  <si>
    <t>#15-13 Mount Elizabeth Medical Centre</t>
  </si>
  <si>
    <t>0011i000001xmx1</t>
  </si>
  <si>
    <t>492 Jurong West St 41</t>
  </si>
  <si>
    <t>#01-40</t>
  </si>
  <si>
    <t>640492</t>
  </si>
  <si>
    <t>0011i000001xoAs</t>
  </si>
  <si>
    <t>Bernard Ee Medical Centre Pte Ltd</t>
  </si>
  <si>
    <t>0011i000001xoqC</t>
  </si>
  <si>
    <t>Blk 308 Anchorvale Road</t>
  </si>
  <si>
    <t>#01-03</t>
  </si>
  <si>
    <t>540308</t>
  </si>
  <si>
    <t>0011i000001xmfp</t>
  </si>
  <si>
    <t>128 Ang Mo Kio Avenue 3</t>
  </si>
  <si>
    <t>#01-1859</t>
  </si>
  <si>
    <t>560128</t>
  </si>
  <si>
    <t>0011i000001xn0W</t>
  </si>
  <si>
    <t>#03-09 Mount Elizabeth Medical Centre</t>
  </si>
  <si>
    <t>0011i000007FAjY</t>
  </si>
  <si>
    <t>Blk 292, #01-07</t>
  </si>
  <si>
    <t>Bukit Batok East Ave 6</t>
  </si>
  <si>
    <t>650292</t>
  </si>
  <si>
    <t>0011i000001xnht</t>
  </si>
  <si>
    <t>0011i000001xnWB</t>
  </si>
  <si>
    <t>Blk 109 Toa Payoh Lorong 1</t>
  </si>
  <si>
    <t>#01-314</t>
  </si>
  <si>
    <t>202026</t>
  </si>
  <si>
    <t>310109</t>
  </si>
  <si>
    <t>0011i000001xndL</t>
  </si>
  <si>
    <t>0011i000001xmz9</t>
  </si>
  <si>
    <t>Blk 104 Jurong East St 13</t>
  </si>
  <si>
    <t>0011i000001xobY</t>
  </si>
  <si>
    <t>0011i000001xnLM</t>
  </si>
  <si>
    <t>0011i000001xn7i</t>
  </si>
  <si>
    <t>0011i000001xn0G</t>
  </si>
  <si>
    <t>38 Irrawaddy Road # #06-07</t>
  </si>
  <si>
    <t>0011i000001xoTG</t>
  </si>
  <si>
    <t>Elite Healthcare</t>
  </si>
  <si>
    <t>#01-155</t>
  </si>
  <si>
    <t>0011i00000tXJ9s</t>
  </si>
  <si>
    <t>#11-01 Mount Elizabeth Medical Centre</t>
  </si>
  <si>
    <t>0011i000001xos3</t>
  </si>
  <si>
    <t>HUB Medical Drugstore</t>
  </si>
  <si>
    <t>8 Kaki Bukit Road #04-29</t>
  </si>
  <si>
    <t>Ruby  Warehouse Complex</t>
  </si>
  <si>
    <t>417841</t>
  </si>
  <si>
    <t>0011i000001xmhU</t>
  </si>
  <si>
    <t>0011i000001xmhX</t>
  </si>
  <si>
    <t>202687</t>
  </si>
  <si>
    <t>0011i000001xn9S</t>
  </si>
  <si>
    <t>Blk 126 Toa Payoh Lor 1</t>
  </si>
  <si>
    <t>#01-567</t>
  </si>
  <si>
    <t>310126</t>
  </si>
  <si>
    <t>0011i000001xmdl</t>
  </si>
  <si>
    <t>Blk 272 Tampines Street 22</t>
  </si>
  <si>
    <t>#01-26</t>
  </si>
  <si>
    <t>200775</t>
  </si>
  <si>
    <t>520272</t>
  </si>
  <si>
    <t>0011i000001xo1J</t>
  </si>
  <si>
    <t>Philip Eng Respiratory &amp; Medical Clinic</t>
  </si>
  <si>
    <t>#14-14 Mount Elizabeth Medical Centre</t>
  </si>
  <si>
    <t>203199</t>
  </si>
  <si>
    <t>0011i000001xo1K</t>
  </si>
  <si>
    <t>Peter Eng Endocrine Clinic</t>
  </si>
  <si>
    <t>0011i000001xoNV</t>
  </si>
  <si>
    <t>CCK 24 Hour Family Clinic</t>
  </si>
  <si>
    <t>0011i000001xnhe</t>
  </si>
  <si>
    <t>0011i000001xojA</t>
  </si>
  <si>
    <t>Renal Centre</t>
  </si>
  <si>
    <t>#02-36/37 Gleneagles Annexe Block</t>
  </si>
  <si>
    <t>201095</t>
  </si>
  <si>
    <t>0011i000001xmqU</t>
  </si>
  <si>
    <t>Mount Elizabeth Novena Med Ctr</t>
  </si>
  <si>
    <t>38 Irrawady Road #06-55</t>
  </si>
  <si>
    <t>0011i000002Id74</t>
  </si>
  <si>
    <t>6 Napier Road #09-16</t>
  </si>
  <si>
    <t>0011i000001xoQj</t>
  </si>
  <si>
    <t>89 Hougang Ave 4</t>
  </si>
  <si>
    <t>100129</t>
  </si>
  <si>
    <t>0011i000001xmgO</t>
  </si>
  <si>
    <t>101 Upper Cross Street</t>
  </si>
  <si>
    <t>#01-23 People's Park Centre</t>
  </si>
  <si>
    <t>58357</t>
  </si>
  <si>
    <t>0011i000001xmjY</t>
  </si>
  <si>
    <t>Blk 626A Woodlands  Drive 52</t>
  </si>
  <si>
    <t>202051</t>
  </si>
  <si>
    <t>731626</t>
  </si>
  <si>
    <t>0011i000001xnX0</t>
  </si>
  <si>
    <t>Blk 256 Jurong East St 24</t>
  </si>
  <si>
    <t>#01-389</t>
  </si>
  <si>
    <t>802502</t>
  </si>
  <si>
    <t>600256</t>
  </si>
  <si>
    <t>0011i000001xn86</t>
  </si>
  <si>
    <t>Blk 256 Jurong East Street 24</t>
  </si>
  <si>
    <t>0011i000001xmyL</t>
  </si>
  <si>
    <t>Blk 629 ANg Mo Kio Ave 4</t>
  </si>
  <si>
    <t>#01-994</t>
  </si>
  <si>
    <t>560629</t>
  </si>
  <si>
    <t>0011i000001xmiT</t>
  </si>
  <si>
    <t>Blk 432A Sengkang West Way</t>
  </si>
  <si>
    <t>791432</t>
  </si>
  <si>
    <t>0011i000001xoND</t>
  </si>
  <si>
    <t>New Life Clinic</t>
  </si>
  <si>
    <t>168 Bedok South Avenue 3</t>
  </si>
  <si>
    <t>#01-479</t>
  </si>
  <si>
    <t>460168</t>
  </si>
  <si>
    <t>0011i000001xooI</t>
  </si>
  <si>
    <t>ABC Cllinic</t>
  </si>
  <si>
    <t>0011i000001xo1L</t>
  </si>
  <si>
    <t>Colorectal Surgeons, Inc Pte Ltd</t>
  </si>
  <si>
    <t>0011i000001xo1M</t>
  </si>
  <si>
    <t>0011i000001xojD</t>
  </si>
  <si>
    <t>Sennette Medical Clinic</t>
  </si>
  <si>
    <t>55 Siglap Road #B1-10</t>
  </si>
  <si>
    <t>Siglap Centre</t>
  </si>
  <si>
    <t>455871</t>
  </si>
  <si>
    <t>0011i000001xojE</t>
  </si>
  <si>
    <t>The Bonham Clinic</t>
  </si>
  <si>
    <t>100 Peck Seah Street</t>
  </si>
  <si>
    <t>#11-16/17</t>
  </si>
  <si>
    <t>79333</t>
  </si>
  <si>
    <t>0011i000001xnBx</t>
  </si>
  <si>
    <t>8 Eunos Crescent</t>
  </si>
  <si>
    <t>#01-2667</t>
  </si>
  <si>
    <t>400008</t>
  </si>
  <si>
    <t>0011i000001xndO</t>
  </si>
  <si>
    <t>10 Chai Chee Road</t>
  </si>
  <si>
    <t>467010</t>
  </si>
  <si>
    <t>0011i000001xnL0</t>
  </si>
  <si>
    <t>0011i000001xmcZ</t>
  </si>
  <si>
    <t>Blk 762 Jurong West Street 75</t>
  </si>
  <si>
    <t>#01-290 Gek Poh Shopping Centre</t>
  </si>
  <si>
    <t>202106</t>
  </si>
  <si>
    <t>640762</t>
  </si>
  <si>
    <t>0011i000001xnVa</t>
  </si>
  <si>
    <t>0011i000001xmjd</t>
  </si>
  <si>
    <t>7 Everton Park</t>
  </si>
  <si>
    <t>200164</t>
  </si>
  <si>
    <t>0011i000001xmd5</t>
  </si>
  <si>
    <t>45 Owen Road</t>
  </si>
  <si>
    <t>#01-289</t>
  </si>
  <si>
    <t>0011i000001xogq</t>
  </si>
  <si>
    <t>0011i000001xnbJ</t>
  </si>
  <si>
    <t>6A Napier Road #05-36</t>
  </si>
  <si>
    <t>0011i000001xnEm</t>
  </si>
  <si>
    <t>0011i000001xnEr</t>
  </si>
  <si>
    <t>0011i000001xnF6</t>
  </si>
  <si>
    <t>0011i000001xmy5</t>
  </si>
  <si>
    <t>0011i000001xms3</t>
  </si>
  <si>
    <t>0011i000001xn93</t>
  </si>
  <si>
    <t>#01-284</t>
  </si>
  <si>
    <t>0011i000001xoHQ</t>
  </si>
  <si>
    <t>Blk 356 Hougang Ave 7</t>
  </si>
  <si>
    <t>#01-799</t>
  </si>
  <si>
    <t>Al-Barakah Clinic &amp; Surgery</t>
  </si>
  <si>
    <t>530356</t>
  </si>
  <si>
    <t>0011i000001xoj6</t>
  </si>
  <si>
    <t>0011i00000ugBDz</t>
  </si>
  <si>
    <t>0011i000001xmil</t>
  </si>
  <si>
    <t>139 Simei Street 1</t>
  </si>
  <si>
    <t>520139</t>
  </si>
  <si>
    <t>0011i000001xmls</t>
  </si>
  <si>
    <t>Blk 211 Lorong 8 Toa Payoh</t>
  </si>
  <si>
    <t>804157</t>
  </si>
  <si>
    <t>310211</t>
  </si>
  <si>
    <t>0011i000001xmkA</t>
  </si>
  <si>
    <t>762 Jurong West St 75</t>
  </si>
  <si>
    <t>0011i000001xn2k</t>
  </si>
  <si>
    <t>487C (CD Shelter) Tampines Street 45</t>
  </si>
  <si>
    <t>#B1-103</t>
  </si>
  <si>
    <t>201328</t>
  </si>
  <si>
    <t>522487</t>
  </si>
  <si>
    <t>0011i000001xotS</t>
  </si>
  <si>
    <t>Fullerton Healthcare Group @ SIA ALH Clinic</t>
  </si>
  <si>
    <t>0011i000001xnvv</t>
  </si>
  <si>
    <t>0011i000001xmsw</t>
  </si>
  <si>
    <t>Blk 55 Chai Chee Drive</t>
  </si>
  <si>
    <t>#01-188</t>
  </si>
  <si>
    <t>200173</t>
  </si>
  <si>
    <t>460055</t>
  </si>
  <si>
    <t>0011i000001xnDh</t>
  </si>
  <si>
    <t>0011i000001xmfI</t>
  </si>
  <si>
    <t>Blk 85C Toa Payoh Lorong 4</t>
  </si>
  <si>
    <t>#01-380</t>
  </si>
  <si>
    <t>201473</t>
  </si>
  <si>
    <t>313085</t>
  </si>
  <si>
    <t>0011i000002Id6y</t>
  </si>
  <si>
    <t>365 Corporation Drive</t>
  </si>
  <si>
    <t>610365</t>
  </si>
  <si>
    <t>0011i000001xmsK</t>
  </si>
  <si>
    <t>Block 365 Corporation Drive</t>
  </si>
  <si>
    <t>#01-407</t>
  </si>
  <si>
    <t>640183</t>
  </si>
  <si>
    <t>0011i000001xmug</t>
  </si>
  <si>
    <t>Blk 523 Hougang Avenue 6</t>
  </si>
  <si>
    <t>201276</t>
  </si>
  <si>
    <t>530523</t>
  </si>
  <si>
    <t>0011i000001xnUO</t>
  </si>
  <si>
    <t>Blk 523 Hougang Ave 6</t>
  </si>
  <si>
    <t>0011i000001xnc8</t>
  </si>
  <si>
    <t>43 Holland Drive</t>
  </si>
  <si>
    <t>#01-65</t>
  </si>
  <si>
    <t>270043</t>
  </si>
  <si>
    <t>0011i000001xmpj</t>
  </si>
  <si>
    <t>0011i000001xnXJ</t>
  </si>
  <si>
    <t>Blk 727 Clementi West Street 2</t>
  </si>
  <si>
    <t>#01-264</t>
  </si>
  <si>
    <t>202275</t>
  </si>
  <si>
    <t>120727</t>
  </si>
  <si>
    <t>0011i000001xn8Q</t>
  </si>
  <si>
    <t>Block 721 Ang Mo Kio Avenue 8</t>
  </si>
  <si>
    <t>#01-2815</t>
  </si>
  <si>
    <t>201204</t>
  </si>
  <si>
    <t>0011i000001xmwa</t>
  </si>
  <si>
    <t>Blk 58 Marine Terrace</t>
  </si>
  <si>
    <t>440058</t>
  </si>
  <si>
    <t>0011i000001xmfh</t>
  </si>
  <si>
    <t>Blk 133 New Bridge Road</t>
  </si>
  <si>
    <t>#02-09/10</t>
  </si>
  <si>
    <t>59413</t>
  </si>
  <si>
    <t>0011i000001xoT6</t>
  </si>
  <si>
    <t>0011i000001xokA</t>
  </si>
  <si>
    <t>Clinic Pharmacy Manager</t>
  </si>
  <si>
    <t>0011i00000uRlmZ</t>
  </si>
  <si>
    <t>0011i000001xojH</t>
  </si>
  <si>
    <t>Drs Bain &amp; Partners</t>
  </si>
  <si>
    <t>0011i000001xmbm</t>
  </si>
  <si>
    <t>545 Orchard Road</t>
  </si>
  <si>
    <t>#06-07 Far East Shopping Centre</t>
  </si>
  <si>
    <t>201080</t>
  </si>
  <si>
    <t>238882</t>
  </si>
  <si>
    <t>0011i000001xnwt</t>
  </si>
  <si>
    <t>National University of Singapore</t>
  </si>
  <si>
    <t>Department of Medicine</t>
  </si>
  <si>
    <t>0011i000001xnoR</t>
  </si>
  <si>
    <t>0011i000001xojK</t>
  </si>
  <si>
    <t>0011i000001xmmo</t>
  </si>
  <si>
    <t>0011i000001xnNt</t>
  </si>
  <si>
    <t>0011i000001xmx0</t>
  </si>
  <si>
    <t>Blk 169 Stirling Road</t>
  </si>
  <si>
    <t>#01-1165</t>
  </si>
  <si>
    <t>201960</t>
  </si>
  <si>
    <t>140169</t>
  </si>
  <si>
    <t>0011i000001xmoi</t>
  </si>
  <si>
    <t>Blk 110 Yishun Ring Road</t>
  </si>
  <si>
    <t>760110</t>
  </si>
  <si>
    <t>0011i000001xmp8</t>
  </si>
  <si>
    <t>0011i000001xnSN</t>
  </si>
  <si>
    <t>Blk 167 Woodlands Street 11</t>
  </si>
  <si>
    <t>730167</t>
  </si>
  <si>
    <t>0011i000001xnTA</t>
  </si>
  <si>
    <t>Blk 217 Bedok North Street 1</t>
  </si>
  <si>
    <t>#01-69</t>
  </si>
  <si>
    <t>202398</t>
  </si>
  <si>
    <t>460217</t>
  </si>
  <si>
    <t>0011i000001xnBX</t>
  </si>
  <si>
    <t>267 Tampines Street 21</t>
  </si>
  <si>
    <t>#01-43</t>
  </si>
  <si>
    <t>520267</t>
  </si>
  <si>
    <t>0011i000001xn97</t>
  </si>
  <si>
    <t>3 Mount Elizabeth #05-02</t>
  </si>
  <si>
    <t>0011i000001xn82</t>
  </si>
  <si>
    <t>Block 137 Teck Whye Lane</t>
  </si>
  <si>
    <t>#01-329</t>
  </si>
  <si>
    <t>201533</t>
  </si>
  <si>
    <t>680137</t>
  </si>
  <si>
    <t>0011i000001xo1O</t>
  </si>
  <si>
    <t>Alex Fok Endocrine Pratice</t>
  </si>
  <si>
    <t>0011i00000ugB01</t>
  </si>
  <si>
    <t>0011i000001xojO</t>
  </si>
  <si>
    <t>Drs Koo &amp; Associates</t>
  </si>
  <si>
    <t>0011i000001xo1S</t>
  </si>
  <si>
    <t>Fones Clinic</t>
  </si>
  <si>
    <t>#04-11 Gleneagles Medical Centre</t>
  </si>
  <si>
    <t>202939</t>
  </si>
  <si>
    <t>0011i000001xnFg</t>
  </si>
  <si>
    <t>0011i000001xojP</t>
  </si>
  <si>
    <t>Focus Medical Centre</t>
  </si>
  <si>
    <t>Blk 137 Teck Whye Lane</t>
  </si>
  <si>
    <t>0011i000001xojV</t>
  </si>
  <si>
    <t>Fong's Clinic For Women</t>
  </si>
  <si>
    <t>#05-18 Gleneagles Medical Centre</t>
  </si>
  <si>
    <t>200181</t>
  </si>
  <si>
    <t>0011i000002IdA7</t>
  </si>
  <si>
    <t>0011i00000PzvAk</t>
  </si>
  <si>
    <t>0011i000001xoN2</t>
  </si>
  <si>
    <t>Fong's Clinic for Women</t>
  </si>
  <si>
    <t>18 Jalan Membina</t>
  </si>
  <si>
    <t>202434</t>
  </si>
  <si>
    <t>0011i000001xoHo</t>
  </si>
  <si>
    <t>0011i000001xnKl</t>
  </si>
  <si>
    <t>0011i000001xmvE</t>
  </si>
  <si>
    <t>0011i000001xmnz</t>
  </si>
  <si>
    <t>Blk 162 Mei Ling Street</t>
  </si>
  <si>
    <t>#01-361</t>
  </si>
  <si>
    <t>201345</t>
  </si>
  <si>
    <t>140162</t>
  </si>
  <si>
    <t>0011i000001xoOf</t>
  </si>
  <si>
    <t>0011i000001xnmt</t>
  </si>
  <si>
    <t>Department Of Cardiology</t>
  </si>
  <si>
    <t>0011i000001xo1U</t>
  </si>
  <si>
    <t>0011i000001xoX9</t>
  </si>
  <si>
    <t>Healthline Family Clinic &amp; Surgery</t>
  </si>
  <si>
    <t>#01-256</t>
  </si>
  <si>
    <t>202216</t>
  </si>
  <si>
    <t>0011i000001xooR</t>
  </si>
  <si>
    <t>The Coronation Clinic</t>
  </si>
  <si>
    <t>587 Bukit Timah Road</t>
  </si>
  <si>
    <t>Coronation Plaza #02-01</t>
  </si>
  <si>
    <t>269707</t>
  </si>
  <si>
    <t>0011i000001xoH1</t>
  </si>
  <si>
    <t>Medilife Clinic &amp; Surgery</t>
  </si>
  <si>
    <t>Blk 684 Hougang Avenue 8</t>
  </si>
  <si>
    <t>#01-985</t>
  </si>
  <si>
    <t>63850836</t>
  </si>
  <si>
    <t>0011i000001xog0</t>
  </si>
  <si>
    <t>Blk 503 Tampines Central  1</t>
  </si>
  <si>
    <t>#01-311</t>
  </si>
  <si>
    <t>520503</t>
  </si>
  <si>
    <t>0011i00000Xf1Hx</t>
  </si>
  <si>
    <t>Parkway Cancer Centre</t>
  </si>
  <si>
    <t>38 Irrawaddy Road, #05-43, 05-50 to 55</t>
  </si>
  <si>
    <t>0011i000001xojj</t>
  </si>
  <si>
    <t>0011i00000pbVbs</t>
  </si>
  <si>
    <t>100130</t>
  </si>
  <si>
    <t>0011i000001xoTs</t>
  </si>
  <si>
    <t>201742</t>
  </si>
  <si>
    <t>0011i000001xojn</t>
  </si>
  <si>
    <t>Muswell ENT Specialist Centre</t>
  </si>
  <si>
    <t>820 Thomson Road #B1-03</t>
  </si>
  <si>
    <t>0011i000001xoFX</t>
  </si>
  <si>
    <t>0011i000001xoRD</t>
  </si>
  <si>
    <t>0011i000001xorT</t>
  </si>
  <si>
    <t>Dr W Medical Clinic</t>
  </si>
  <si>
    <t>0011i000001xoHS</t>
  </si>
  <si>
    <t>Greenlife Clinic &amp; Surgery</t>
  </si>
  <si>
    <t>#02-01 Sembawang MRT Station</t>
  </si>
  <si>
    <t>804217</t>
  </si>
  <si>
    <t>0011i000001xojp</t>
  </si>
  <si>
    <t>Foo Clinic</t>
  </si>
  <si>
    <t>Blk 962 Jurong West St 91</t>
  </si>
  <si>
    <t>#01-306</t>
  </si>
  <si>
    <t>640962</t>
  </si>
  <si>
    <t>0011i000001xoKF</t>
  </si>
  <si>
    <t>0011i000001xnOM</t>
  </si>
  <si>
    <t>0011i00000C7N8n</t>
  </si>
  <si>
    <t>Phoenix Medical Group Paya Lebar</t>
  </si>
  <si>
    <t>60 Paya Lebar Rd</t>
  </si>
  <si>
    <t>#02-09</t>
  </si>
  <si>
    <t>409051</t>
  </si>
  <si>
    <t>0011i000001xofT</t>
  </si>
  <si>
    <t>The Hale Medical Clinic</t>
  </si>
  <si>
    <t>300 Beach Road</t>
  </si>
  <si>
    <t>#02-01B The Concourse (Podium Block)</t>
  </si>
  <si>
    <t>201397</t>
  </si>
  <si>
    <t>199555</t>
  </si>
  <si>
    <t>0011i000001xoG9</t>
  </si>
  <si>
    <t>0011i000001xojy</t>
  </si>
  <si>
    <t>Foong Surgical Clinic</t>
  </si>
  <si>
    <t>3 Mt Elizabeth #17-01</t>
  </si>
  <si>
    <t>0011i000001xnOx</t>
  </si>
  <si>
    <t>Blk 697 East Coast Road</t>
  </si>
  <si>
    <t>200184</t>
  </si>
  <si>
    <t>459056</t>
  </si>
  <si>
    <t>0011i000001xmlw</t>
  </si>
  <si>
    <t>0011i000001xmcB</t>
  </si>
  <si>
    <t>0011i000001xnd9</t>
  </si>
  <si>
    <t>163 Ang Mo Kio Avenue 4</t>
  </si>
  <si>
    <t>#01-426</t>
  </si>
  <si>
    <t>560163</t>
  </si>
  <si>
    <t>0011i000001xn8c</t>
  </si>
  <si>
    <t>Blk 304 Ubi Avenue 1</t>
  </si>
  <si>
    <t>#01-87</t>
  </si>
  <si>
    <t>0011i000001xnEf</t>
  </si>
  <si>
    <t>0011i000001xnN5</t>
  </si>
  <si>
    <t>Blk 163 Ang Mo Kio Ave 4</t>
  </si>
  <si>
    <t>202033</t>
  </si>
  <si>
    <t>0011i000001xmdC</t>
  </si>
  <si>
    <t>Blk 123 Bedok North St 2</t>
  </si>
  <si>
    <t>#01-152</t>
  </si>
  <si>
    <t>0011i000001xonA</t>
  </si>
  <si>
    <t>0011i000001xnU6</t>
  </si>
  <si>
    <t>0011i000001xn8s</t>
  </si>
  <si>
    <t>391 Orchard Road #25-01/07/09</t>
  </si>
  <si>
    <t>200230</t>
  </si>
  <si>
    <t>0011i000001xn9T</t>
  </si>
  <si>
    <t>78 Shenton Way</t>
  </si>
  <si>
    <t>#04-01</t>
  </si>
  <si>
    <t>79120</t>
  </si>
  <si>
    <t>0011i000001xn16</t>
  </si>
  <si>
    <t>1 Jurong East Central 2 #B1-A19B</t>
  </si>
  <si>
    <t>Jurong Point Shopping Centre</t>
  </si>
  <si>
    <t>0011i000001xmvk</t>
  </si>
  <si>
    <t>0011i000001xnAH</t>
  </si>
  <si>
    <t>0011i000001xnAJ</t>
  </si>
  <si>
    <t>Ailine House SIA</t>
  </si>
  <si>
    <t>0011i000001xnKR</t>
  </si>
  <si>
    <t>10 Collyer Quay #03-08/09</t>
  </si>
  <si>
    <t>Ocean Financial Centre</t>
  </si>
  <si>
    <t>49315</t>
  </si>
  <si>
    <t>0011i000001xnE5</t>
  </si>
  <si>
    <t>391B Orcahrd Road #25-01/07/08</t>
  </si>
  <si>
    <t>0011i000001xnAc</t>
  </si>
  <si>
    <t>Raffles Place MRT</t>
  </si>
  <si>
    <t>0011i000001xnGc</t>
  </si>
  <si>
    <t>10 Marina Boulevard #01-03/1A</t>
  </si>
  <si>
    <t>Marina Bay Financial Ctr Tower 2</t>
  </si>
  <si>
    <t>18981</t>
  </si>
  <si>
    <t>0011i000001xnHd</t>
  </si>
  <si>
    <t>0011i000001xnAI</t>
  </si>
  <si>
    <t>371 Alexandra Road #01-04</t>
  </si>
  <si>
    <t>AIA Alexandra</t>
  </si>
  <si>
    <t>159963</t>
  </si>
  <si>
    <t>0011i000001xmvo</t>
  </si>
  <si>
    <t>0011i000001xnyj</t>
  </si>
  <si>
    <t>Child Guidance Clinic HPB Building</t>
  </si>
  <si>
    <t>#03-01 Institute of Health</t>
  </si>
  <si>
    <t>0011i000001xmdE</t>
  </si>
  <si>
    <t>Blk 161 Bukit Merah Central</t>
  </si>
  <si>
    <t>#01-3737</t>
  </si>
  <si>
    <t>200185</t>
  </si>
  <si>
    <t>150161</t>
  </si>
  <si>
    <t>0011i000001xnCP</t>
  </si>
  <si>
    <t>Blk 632 Ang Mo Kio Ave 4</t>
  </si>
  <si>
    <t>#01-960</t>
  </si>
  <si>
    <t>200203</t>
  </si>
  <si>
    <t>0011i000001xoYz</t>
  </si>
  <si>
    <t>305 Woodlands Street 31</t>
  </si>
  <si>
    <t>0011i000001xmwd</t>
  </si>
  <si>
    <t>342 Ubi Avenue 1</t>
  </si>
  <si>
    <t>#01-935</t>
  </si>
  <si>
    <t>400342</t>
  </si>
  <si>
    <t>0011i000001xok4</t>
  </si>
  <si>
    <t>Frankel Clinic</t>
  </si>
  <si>
    <t>0011i000001xok6</t>
  </si>
  <si>
    <t>Bukit Merah Central Med Centre</t>
  </si>
  <si>
    <t>Block 165 Bukit Merah Central</t>
  </si>
  <si>
    <t>#03-3683</t>
  </si>
  <si>
    <t>201221</t>
  </si>
  <si>
    <t>150165</t>
  </si>
  <si>
    <t>0011i000001xnyk</t>
  </si>
  <si>
    <t>Eric Gan Surgery</t>
  </si>
  <si>
    <t>0011i000001xobV</t>
  </si>
  <si>
    <t>Reservoir Road Clinic &amp; Surgery</t>
  </si>
  <si>
    <t>Blk 704 Bedok Reservoir</t>
  </si>
  <si>
    <t>#01-3622</t>
  </si>
  <si>
    <t>200502</t>
  </si>
  <si>
    <t>470704</t>
  </si>
  <si>
    <t>0011i000001xoX8</t>
  </si>
  <si>
    <t>Dept of General Medicine</t>
  </si>
  <si>
    <t>0011i000001xnzC</t>
  </si>
  <si>
    <t>Island Family Clinic</t>
  </si>
  <si>
    <t>Blk 763 Bedok Reservoir Road</t>
  </si>
  <si>
    <t>#01-283</t>
  </si>
  <si>
    <t>470763</t>
  </si>
  <si>
    <t>0011i000001xng2</t>
  </si>
  <si>
    <t>0011i00000raTeS</t>
  </si>
  <si>
    <t>0011i000001xoJE</t>
  </si>
  <si>
    <t>0011i000001xnTL</t>
  </si>
  <si>
    <t>Blk 304 Serangoon Ave 2</t>
  </si>
  <si>
    <t>#01-04</t>
  </si>
  <si>
    <t>550304</t>
  </si>
  <si>
    <t>0011i000001xohf</t>
  </si>
  <si>
    <t>0011i000001xms4</t>
  </si>
  <si>
    <t>#10-08 Gleneagles Medical Centre</t>
  </si>
  <si>
    <t>202130</t>
  </si>
  <si>
    <t>0011i00000XhmZc</t>
  </si>
  <si>
    <t>Gleneagles Medical Centre - Even</t>
  </si>
  <si>
    <t>0011i000001xmd3</t>
  </si>
  <si>
    <t>0011i000001xncp</t>
  </si>
  <si>
    <t>0011i000001xmsc</t>
  </si>
  <si>
    <t>3 Mt Elizabeth #11-07</t>
  </si>
  <si>
    <t>0011i000001xnIc</t>
  </si>
  <si>
    <t>0011i000001xokG</t>
  </si>
  <si>
    <t>Tay Guan Clinic</t>
  </si>
  <si>
    <t>39 Teban Gardens Road</t>
  </si>
  <si>
    <t>#01-332</t>
  </si>
  <si>
    <t>600039</t>
  </si>
  <si>
    <t>0011i000001xoim</t>
  </si>
  <si>
    <t>0011i000001xnLe</t>
  </si>
  <si>
    <t>0011i000001xnBm</t>
  </si>
  <si>
    <t>Block 16 Upper Boon Keng Road</t>
  </si>
  <si>
    <t>#01-1093</t>
  </si>
  <si>
    <t>200192</t>
  </si>
  <si>
    <t>380016</t>
  </si>
  <si>
    <t>0011i000001xnIq</t>
  </si>
  <si>
    <t>0011i000001xmzq</t>
  </si>
  <si>
    <t>0011i000001xnJI</t>
  </si>
  <si>
    <t>0011i000001xnPt</t>
  </si>
  <si>
    <t>0011i000001xnVi</t>
  </si>
  <si>
    <t>0011i000001xn4v</t>
  </si>
  <si>
    <t>0011i000001xnJH</t>
  </si>
  <si>
    <t>0011i000001xnKF</t>
  </si>
  <si>
    <t>0011i000001xnLj</t>
  </si>
  <si>
    <t>0011i000001xnSI</t>
  </si>
  <si>
    <t>0011i000001xn98</t>
  </si>
  <si>
    <t>138 Changi Road</t>
  </si>
  <si>
    <t>200193</t>
  </si>
  <si>
    <t>419722</t>
  </si>
  <si>
    <t>0011i000001xoKc</t>
  </si>
  <si>
    <t>0011i00000XhmZ3</t>
  </si>
  <si>
    <t>0011i000001xoRs</t>
  </si>
  <si>
    <t>My Health Partners Medical Clinic</t>
  </si>
  <si>
    <t>25D Lorong Liput</t>
  </si>
  <si>
    <t>278992</t>
  </si>
  <si>
    <t>0011i000001xnVO</t>
  </si>
  <si>
    <t>0011i000001xnTj</t>
  </si>
  <si>
    <t>0011i000001xnGv</t>
  </si>
  <si>
    <t>163 Tanglin Road</t>
  </si>
  <si>
    <t>#03-07 Tanglin Mall</t>
  </si>
  <si>
    <t>203195</t>
  </si>
  <si>
    <t>247933</t>
  </si>
  <si>
    <t>0011i000001xmpF</t>
  </si>
  <si>
    <t>#03-4460</t>
  </si>
  <si>
    <t>0011i000001xnzU</t>
  </si>
  <si>
    <t>0011i000001xokO</t>
  </si>
  <si>
    <t>Devathasan Neurology and Medical Pte Ltd</t>
  </si>
  <si>
    <t>#11-16 Mount Elizabeth Medical Centre</t>
  </si>
  <si>
    <t>201032</t>
  </si>
  <si>
    <t>0011i000001xokQ</t>
  </si>
  <si>
    <t>Mel &amp; Partners Drs Pte Ltd</t>
  </si>
  <si>
    <t>#15-07 Shaw House</t>
  </si>
  <si>
    <t>201619</t>
  </si>
  <si>
    <t>0011i000001xoka</t>
  </si>
  <si>
    <t>G &amp; H Medical Clinic Pte Ltd</t>
  </si>
  <si>
    <t>Princeton Pharmacy</t>
  </si>
  <si>
    <t>200110</t>
  </si>
  <si>
    <t>0011i000001xoOg</t>
  </si>
  <si>
    <t>Central Clinic &amp; Surgery</t>
  </si>
  <si>
    <t>Blk 681 Hougang Ave 8</t>
  </si>
  <si>
    <t>#01-831</t>
  </si>
  <si>
    <t>530681</t>
  </si>
  <si>
    <t>0011i000001xoLU</t>
  </si>
  <si>
    <t>0011i000001xokg</t>
  </si>
  <si>
    <t>Drs Goh &amp; Tan Family Clinic &amp; Surgery</t>
  </si>
  <si>
    <t>0011i000001xoke</t>
  </si>
  <si>
    <t>Goh Clinic &amp; Surgery</t>
  </si>
  <si>
    <t>Blk 204 Hougang Street 21</t>
  </si>
  <si>
    <t>#01-101</t>
  </si>
  <si>
    <t>201036</t>
  </si>
  <si>
    <t>530204</t>
  </si>
  <si>
    <t>Blk 283 Bukit Batok East Ave 3</t>
  </si>
  <si>
    <t>200900</t>
  </si>
  <si>
    <t>650283</t>
  </si>
  <si>
    <t>0011i000001xokj</t>
  </si>
  <si>
    <t>Goh Hak Su Colon &amp; Rectal Centre</t>
  </si>
  <si>
    <t>#04-08 Gleneagles Medical Centre</t>
  </si>
  <si>
    <t>201542</t>
  </si>
  <si>
    <t>0011i000001xokm</t>
  </si>
  <si>
    <t>G.S. Clinic &amp; Surgery Pte Ltd</t>
  </si>
  <si>
    <t>0011i000001xoJm</t>
  </si>
  <si>
    <t>Department of Forensic Psychiatry</t>
  </si>
  <si>
    <t>10 Buangkok View</t>
  </si>
  <si>
    <t>0011i000001xoJ9</t>
  </si>
  <si>
    <t>#36-00 International Plaza</t>
  </si>
  <si>
    <t>0011i00000uRlrA</t>
  </si>
  <si>
    <t>0011i000007Dbp0</t>
  </si>
  <si>
    <t>Northeast (Simei) Medical Centre</t>
  </si>
  <si>
    <t>30 Simei Street 3 #02-01</t>
  </si>
  <si>
    <t>Simei MRT Station</t>
  </si>
  <si>
    <t>529888</t>
  </si>
  <si>
    <t>0011i000001xokt</t>
  </si>
  <si>
    <t>The Medical Health Clinic</t>
  </si>
  <si>
    <t>21 Ghim Moh Road</t>
  </si>
  <si>
    <t>0011i000001xoGR</t>
  </si>
  <si>
    <t>Saint-Julien Clinic</t>
  </si>
  <si>
    <t>820 Thomson Road #05-58</t>
  </si>
  <si>
    <t>0011i000001xokv</t>
  </si>
  <si>
    <t>11 Collyer Quay</t>
  </si>
  <si>
    <t>#19-01 The Arcade</t>
  </si>
  <si>
    <t>202489</t>
  </si>
  <si>
    <t>49317</t>
  </si>
  <si>
    <t>0011i000001xoOW</t>
  </si>
  <si>
    <t>290 Orchard Road #09-20/21</t>
  </si>
  <si>
    <t>Goh K S Skin Clinic</t>
  </si>
  <si>
    <t>0011i000001xokx</t>
  </si>
  <si>
    <t>Nanyang Dispensary</t>
  </si>
  <si>
    <t>176 Boon Lay Drive</t>
  </si>
  <si>
    <t>#01-372</t>
  </si>
  <si>
    <t>640176</t>
  </si>
  <si>
    <t>0011i000001xnys</t>
  </si>
  <si>
    <t>0011i000001xol0</t>
  </si>
  <si>
    <t>Tek Dispensary</t>
  </si>
  <si>
    <t>Blk 4 Toa Payoh Lorong 7</t>
  </si>
  <si>
    <t>200594</t>
  </si>
  <si>
    <t>310004</t>
  </si>
  <si>
    <t>0011i000001xnyx</t>
  </si>
  <si>
    <t>Dept of Opthalmology</t>
  </si>
  <si>
    <t>0011i000001xoGO</t>
  </si>
  <si>
    <t>National University of S'pore</t>
  </si>
  <si>
    <t>Faculty of Medicine</t>
  </si>
  <si>
    <t>16 Medical Drive</t>
  </si>
  <si>
    <t>117597</t>
  </si>
  <si>
    <t>0011i000001xoXX</t>
  </si>
  <si>
    <t>Dept of Cardiac Anaesthesia</t>
  </si>
  <si>
    <t>0011i000001xol4</t>
  </si>
  <si>
    <t>Apex Clinic &amp; Surgery</t>
  </si>
  <si>
    <t>0011i000001xooN</t>
  </si>
  <si>
    <t>0011i00000X9NVt</t>
  </si>
  <si>
    <t>Advance Surgical Group</t>
  </si>
  <si>
    <t>0011i000001xolC</t>
  </si>
  <si>
    <t>0011i000001xnyy</t>
  </si>
  <si>
    <t>0011i000001xogj</t>
  </si>
  <si>
    <t>National University Hospital Pte Ltd</t>
  </si>
  <si>
    <t>Pharmacy Dept</t>
  </si>
  <si>
    <t>0011i000001xoqk</t>
  </si>
  <si>
    <t>Healthway (Silver Cross Family Clinic)</t>
  </si>
  <si>
    <t>0011i000001xorM</t>
  </si>
  <si>
    <t>Island Family Clinic (Fernvale)</t>
  </si>
  <si>
    <t>473A Fernvale Street</t>
  </si>
  <si>
    <t>791473</t>
  </si>
  <si>
    <t>0011i000001xoa0</t>
  </si>
  <si>
    <t>0011i00000vHmeQ</t>
  </si>
  <si>
    <t>0011i000001xoI8</t>
  </si>
  <si>
    <t>Child &amp; Family Guidance Clinic</t>
  </si>
  <si>
    <t>0011i000001xolG</t>
  </si>
  <si>
    <t>Kirin Clinic &amp; Surgery</t>
  </si>
  <si>
    <t>Blk 5 Eunos Crescent</t>
  </si>
  <si>
    <t>#01-2601</t>
  </si>
  <si>
    <t>201440</t>
  </si>
  <si>
    <t>400005</t>
  </si>
  <si>
    <t>0011i000001xnz0</t>
  </si>
  <si>
    <t>0011i000001xnz1</t>
  </si>
  <si>
    <t>0011i000001xokL</t>
  </si>
  <si>
    <t>0011i000001xolN</t>
  </si>
  <si>
    <t>Stalwyn Medical Services Pte Ltd</t>
  </si>
  <si>
    <t>201043</t>
  </si>
  <si>
    <t>0011i000001xon9</t>
  </si>
  <si>
    <t>Kensington Family Clinic</t>
  </si>
  <si>
    <t>14D Kensington Park Road</t>
  </si>
  <si>
    <t>557265</t>
  </si>
  <si>
    <t>0011i000001xolR</t>
  </si>
  <si>
    <t>T C Goh Med &amp; Respiratory Clinic Pte Ltd</t>
  </si>
  <si>
    <t>#10-01 Gleneagles Medical Centre</t>
  </si>
  <si>
    <t>201225</t>
  </si>
  <si>
    <t>0011i000007DNIu</t>
  </si>
  <si>
    <t>0011i000001xoPp</t>
  </si>
  <si>
    <t>Department of  Renal Medicine</t>
  </si>
  <si>
    <t>Outram Road Block 6 Level 6</t>
  </si>
  <si>
    <t>0011i000001xoJh</t>
  </si>
  <si>
    <t>0011i000001xnsu</t>
  </si>
  <si>
    <t>Tan's T &amp; T Clinic &amp; Surgery</t>
  </si>
  <si>
    <t>#01-213</t>
  </si>
  <si>
    <t>201201</t>
  </si>
  <si>
    <t>0011i000001xnz3</t>
  </si>
  <si>
    <t>0011i000001xolV</t>
  </si>
  <si>
    <t>0011i000001xoSU</t>
  </si>
  <si>
    <t>Compassvale 297A Medical Clinic</t>
  </si>
  <si>
    <t>0011i000001xohC</t>
  </si>
  <si>
    <t>0011i000001xoJu</t>
  </si>
  <si>
    <t>8-11 Clinic &amp; Surgery</t>
  </si>
  <si>
    <t>0011i00000oXvt1</t>
  </si>
  <si>
    <t>100134</t>
  </si>
  <si>
    <t>0011i000001xnIL</t>
  </si>
  <si>
    <t>0011i000001xnCe</t>
  </si>
  <si>
    <t>136 Potong Pasir Ave 3</t>
  </si>
  <si>
    <t>#01-164</t>
  </si>
  <si>
    <t>200922</t>
  </si>
  <si>
    <t>350136</t>
  </si>
  <si>
    <t>0011i000001xolh</t>
  </si>
  <si>
    <t>Gong Surgery</t>
  </si>
  <si>
    <t>#05-16 Gleneagles Medical Centre</t>
  </si>
  <si>
    <t>201574</t>
  </si>
  <si>
    <t>0011i000001xnE8</t>
  </si>
  <si>
    <t>0011i000001xnCq</t>
  </si>
  <si>
    <t>685 Race Course Road</t>
  </si>
  <si>
    <t>#01-328</t>
  </si>
  <si>
    <t>210685</t>
  </si>
  <si>
    <t>0011i000001xnF8</t>
  </si>
  <si>
    <t>#10-07 Gleneagles Medical Centre</t>
  </si>
  <si>
    <t>200843</t>
  </si>
  <si>
    <t>0011i000001xolI</t>
  </si>
  <si>
    <t>0011i000001xoXm</t>
  </si>
  <si>
    <t>0011i000001xmfX</t>
  </si>
  <si>
    <t>35 Selegie Road #03-03</t>
  </si>
  <si>
    <t>Parklane Shopping Centre</t>
  </si>
  <si>
    <t>188306</t>
  </si>
  <si>
    <t>0011i00000oXPCW</t>
  </si>
  <si>
    <t>0011i000001xn6Z</t>
  </si>
  <si>
    <t>0011i000001xmc2</t>
  </si>
  <si>
    <t>Blk 607 Ang Mo Kio Ave 4</t>
  </si>
  <si>
    <t>#01-1295</t>
  </si>
  <si>
    <t>200200</t>
  </si>
  <si>
    <t>560607</t>
  </si>
  <si>
    <t>0011i000001xmxs</t>
  </si>
  <si>
    <t>#10-11 Gleneagles Medical Centre</t>
  </si>
  <si>
    <t>201864</t>
  </si>
  <si>
    <t>0011i000001xmvW</t>
  </si>
  <si>
    <t>38 Irrawaddy Road #05-45</t>
  </si>
  <si>
    <t>0011i000001xn9G</t>
  </si>
  <si>
    <t>Blk 407 Ang Mo Kio Ave 10</t>
  </si>
  <si>
    <t>#01-749</t>
  </si>
  <si>
    <t>560407</t>
  </si>
  <si>
    <t>0011i000001xmh5</t>
  </si>
  <si>
    <t>0011i000001xnPH</t>
  </si>
  <si>
    <t>0011i000001xnOl</t>
  </si>
  <si>
    <t>Block 624 Choa Chu Kang Street 62</t>
  </si>
  <si>
    <t>201735</t>
  </si>
  <si>
    <t>680624</t>
  </si>
  <si>
    <t>0011i000001xnBr</t>
  </si>
  <si>
    <t>0011i000001xn7F</t>
  </si>
  <si>
    <t>Blk 807 Yishun Ring Road</t>
  </si>
  <si>
    <t>#01-4213</t>
  </si>
  <si>
    <t>760807</t>
  </si>
  <si>
    <t>0011i000001xmo3</t>
  </si>
  <si>
    <t>Blk 730 Tampines St 71</t>
  </si>
  <si>
    <t>#01-51</t>
  </si>
  <si>
    <t>520730</t>
  </si>
  <si>
    <t>0011i000001xnhp</t>
  </si>
  <si>
    <t>0011i000001xoHa</t>
  </si>
  <si>
    <t>Medical Clinic One</t>
  </si>
  <si>
    <t>0011i00000Q2ct1</t>
  </si>
  <si>
    <t>PanCare Medical Clinic</t>
  </si>
  <si>
    <t>Blk 133 Ang Mo Kio Ave 3</t>
  </si>
  <si>
    <t>#01-1651</t>
  </si>
  <si>
    <t>560133</t>
  </si>
  <si>
    <t>0011i000001xmxu</t>
  </si>
  <si>
    <t>#02-06/07/08 Gleneagles Medical Centre</t>
  </si>
  <si>
    <t>0011i000001xnX3</t>
  </si>
  <si>
    <t>Guardian Pharmacy - 313</t>
  </si>
  <si>
    <t>#B3-13/14/15 313@Somerset</t>
  </si>
  <si>
    <t>238895</t>
  </si>
  <si>
    <t>0011i000001xmvS</t>
  </si>
  <si>
    <t>Guardian Pharmacy - Admiralty Place</t>
  </si>
  <si>
    <t>#01-39 Admiralty Place</t>
  </si>
  <si>
    <t>0011i00000Q2bvb</t>
  </si>
  <si>
    <t>Blk 210 New Upper Changi Rd</t>
  </si>
  <si>
    <t>01-01</t>
  </si>
  <si>
    <t>460210</t>
  </si>
  <si>
    <t>0011i000001xnEH</t>
  </si>
  <si>
    <t>Guardian Pharmacy - Bedok Mall</t>
  </si>
  <si>
    <t>Bedok Mall #B2-45/46/47</t>
  </si>
  <si>
    <t>467360</t>
  </si>
  <si>
    <t>0011i00000Q2bmK</t>
  </si>
  <si>
    <t>200 Victoria St</t>
  </si>
  <si>
    <t>B1-20/21</t>
  </si>
  <si>
    <t>188021</t>
  </si>
  <si>
    <t>0011i00000Q2bfG</t>
  </si>
  <si>
    <t>220 Victoria St</t>
  </si>
  <si>
    <t>188022</t>
  </si>
  <si>
    <t>0011i000001xn64</t>
  </si>
  <si>
    <t>Guardian Pharmacy - Centerpoint</t>
  </si>
  <si>
    <t>176 Orchard Road</t>
  </si>
  <si>
    <t>238843</t>
  </si>
  <si>
    <t>0011i000001xnOu</t>
  </si>
  <si>
    <t>Guardian Pharmacy - Citi Link Mall</t>
  </si>
  <si>
    <t>City Link Mall</t>
  </si>
  <si>
    <t>39393</t>
  </si>
  <si>
    <t>0011i000001xn66</t>
  </si>
  <si>
    <t>Guardian Pharmacy - Cold Storage Jelita</t>
  </si>
  <si>
    <t>293 Holland Road</t>
  </si>
  <si>
    <t>278628</t>
  </si>
  <si>
    <t>0011i000001xnK4</t>
  </si>
  <si>
    <t>Guardian Pharmacy - Giant</t>
  </si>
  <si>
    <t>21 Tampines North Drive 2</t>
  </si>
  <si>
    <t>528765</t>
  </si>
  <si>
    <t>0011i000001xnF4</t>
  </si>
  <si>
    <t>Guardian Pharmacy - GMC</t>
  </si>
  <si>
    <t>0011i000001xmgZ</t>
  </si>
  <si>
    <t>Guardian Pharmacy - Great World City</t>
  </si>
  <si>
    <t>Great World City #B1-18/19</t>
  </si>
  <si>
    <t>237994</t>
  </si>
  <si>
    <t>0011i000001xmxY</t>
  </si>
  <si>
    <t>Guardian Pharmacy - Heartland Malll</t>
  </si>
  <si>
    <t>#01-129 Heartland Mall</t>
  </si>
  <si>
    <t>538719</t>
  </si>
  <si>
    <t>0011i000001xmhY</t>
  </si>
  <si>
    <t>Guardian Pharmacy - Holland</t>
  </si>
  <si>
    <t>Holland Rd Shopping Ctr</t>
  </si>
  <si>
    <t>278967</t>
  </si>
  <si>
    <t>0011i000001xnRb</t>
  </si>
  <si>
    <t>Guardian Pharmacy - JEM</t>
  </si>
  <si>
    <t>B1-16/17 JEM Shpg Ctr</t>
  </si>
  <si>
    <t>608549</t>
  </si>
  <si>
    <t>0011i000001xmga</t>
  </si>
  <si>
    <t>Guardian Pharmacy - Jurong Point</t>
  </si>
  <si>
    <t>#B1-27/28 Jurong Point</t>
  </si>
  <si>
    <t>0011i000001xn67</t>
  </si>
  <si>
    <t>Guardian Pharmacy - Lot 1</t>
  </si>
  <si>
    <t>#B1-26/27 Lot 1 Shpg Mall</t>
  </si>
  <si>
    <t>689812</t>
  </si>
  <si>
    <t>0011i000001xnDu</t>
  </si>
  <si>
    <t>Guardian Pharmacy -Novena Hospital</t>
  </si>
  <si>
    <t>0011i000001xmjp</t>
  </si>
  <si>
    <t>Guardian Pharmacy - Novena Square</t>
  </si>
  <si>
    <t>#01-31 Novena Square</t>
  </si>
  <si>
    <t>307683</t>
  </si>
  <si>
    <t>0011i000001xmjq</t>
  </si>
  <si>
    <t>Guardian Pharmacy - Paragon</t>
  </si>
  <si>
    <t>#B1-20/24 Paragon</t>
  </si>
  <si>
    <t>0011i000001xn6A</t>
  </si>
  <si>
    <t>Guardian Pharmacy - Parkway Parade</t>
  </si>
  <si>
    <t>#B1-147/149 Parkway Parade</t>
  </si>
  <si>
    <t>0011i000001xn6B</t>
  </si>
  <si>
    <t>Guardian Pharmacy - Raffles City</t>
  </si>
  <si>
    <t>Raffles City Shopping Centre</t>
  </si>
  <si>
    <t>0011i000001xnLs</t>
  </si>
  <si>
    <t>Guardian Pharmacy - Serangoon Garden</t>
  </si>
  <si>
    <t>66 Serangoon Gaarden Way</t>
  </si>
  <si>
    <t>555962</t>
  </si>
  <si>
    <t>0011i000001xmjr</t>
  </si>
  <si>
    <t>Guardian Pharmacy - Sun Plaza</t>
  </si>
  <si>
    <t>Sun Plaza 2 #B1-11</t>
  </si>
  <si>
    <t>755113</t>
  </si>
  <si>
    <t>0011i00000V8Y2t</t>
  </si>
  <si>
    <t>201E Tampines Street 23,</t>
  </si>
  <si>
    <t>#01-94</t>
  </si>
  <si>
    <t>527201</t>
  </si>
  <si>
    <t>0011i000001xn0t</t>
  </si>
  <si>
    <t>Guardian Pharmacy - Tampines HUB</t>
  </si>
  <si>
    <t>Our Tampines Hub</t>
  </si>
  <si>
    <t>529684</t>
  </si>
  <si>
    <t>0011i000001xnLt</t>
  </si>
  <si>
    <t>Guardian Pharmacy - Tampines Mall</t>
  </si>
  <si>
    <t>4 Tampines Central 5</t>
  </si>
  <si>
    <t>529510</t>
  </si>
  <si>
    <t>0011i000001xn3c</t>
  </si>
  <si>
    <t>120 Maxwell Road #B2-01/02/03</t>
  </si>
  <si>
    <t>Tanjong Pagar MRT</t>
  </si>
  <si>
    <t>69119</t>
  </si>
  <si>
    <t>0011i000001xn6E</t>
  </si>
  <si>
    <t>Guardian Pharmacy - Thomson Plaza</t>
  </si>
  <si>
    <t>#01-24/25 Thomson Plaza</t>
  </si>
  <si>
    <t>574408</t>
  </si>
  <si>
    <t>0011i000001xnLv</t>
  </si>
  <si>
    <t>Guardian Pharmacy - Tiong Bahru</t>
  </si>
  <si>
    <t>302 Tiong Bahru Road</t>
  </si>
  <si>
    <t>900272</t>
  </si>
  <si>
    <t>168732</t>
  </si>
  <si>
    <t>0011i000001xnOG</t>
  </si>
  <si>
    <t>Guardian Pharmacy - Upper Changi</t>
  </si>
  <si>
    <t>#01-715</t>
  </si>
  <si>
    <t>900262</t>
  </si>
  <si>
    <t>0011i000001xmhd</t>
  </si>
  <si>
    <t>Guardian Pharmacy - Vivo City</t>
  </si>
  <si>
    <t>#01-23 Vivo City</t>
  </si>
  <si>
    <t>98585</t>
  </si>
  <si>
    <t>0011i00000Q2bHO</t>
  </si>
  <si>
    <t>01-12</t>
  </si>
  <si>
    <t>0011i000001xnJt</t>
  </si>
  <si>
    <t>Guardian Pharmacy - Yew Tee MRT</t>
  </si>
  <si>
    <t>Yew Tee MRT Station #01-02A</t>
  </si>
  <si>
    <t>689715</t>
  </si>
  <si>
    <t>0011i000001xohu</t>
  </si>
  <si>
    <t>Asiamedic Limited</t>
  </si>
  <si>
    <t>0011i000001xnkk</t>
  </si>
  <si>
    <t>0011i00000FI0LH</t>
  </si>
  <si>
    <t>Cardio-G Clinic</t>
  </si>
  <si>
    <t>38 Irrawaddy Road #07-27</t>
  </si>
  <si>
    <t>0011i000001xnor</t>
  </si>
  <si>
    <t>0011i000001xnyN</t>
  </si>
  <si>
    <t>0011i000001xnkm</t>
  </si>
  <si>
    <t>The Clinic @ Fusionpolis</t>
  </si>
  <si>
    <t>1 Fusionpolis Place #01-05</t>
  </si>
  <si>
    <t>Fusionpolis One</t>
  </si>
  <si>
    <t>138522</t>
  </si>
  <si>
    <t>0011i000001xo0k</t>
  </si>
  <si>
    <t>0011i00000oVWY5</t>
  </si>
  <si>
    <t>Mount Elizabeth Novena 38 Irrawaddy Road</t>
  </si>
  <si>
    <t>#10-58</t>
  </si>
  <si>
    <t>0011i000001xn0F</t>
  </si>
  <si>
    <t>38 Irrawaddy Road #01-58</t>
  </si>
  <si>
    <t>Mt E Novena Specialist Centre</t>
  </si>
  <si>
    <t>0011i000001xoWl</t>
  </si>
  <si>
    <t>Stomach, Liver &amp; Bowel Clinic</t>
  </si>
  <si>
    <t>#05-37 Gleneagles Hospital Annexe Block</t>
  </si>
  <si>
    <t>202263</t>
  </si>
  <si>
    <t>0011i000001xog9</t>
  </si>
  <si>
    <t>My Family Clinic (Pioneer)</t>
  </si>
  <si>
    <t>Block 638 Jurong West Street 61</t>
  </si>
  <si>
    <t>640638</t>
  </si>
  <si>
    <t>0011i000001xmx2</t>
  </si>
  <si>
    <t>3 Mt Elizabeth Road</t>
  </si>
  <si>
    <t>#16-05 Mt Elizabeth Medical Centre</t>
  </si>
  <si>
    <t>0011i000001xn46</t>
  </si>
  <si>
    <t>1 Orchard Boullevard</t>
  </si>
  <si>
    <t>#04-03A Camden Medical Centre</t>
  </si>
  <si>
    <t>203109</t>
  </si>
  <si>
    <t>0011i000001xmw7</t>
  </si>
  <si>
    <t>#13-09/10 Mount Elizabeth Medical Centre</t>
  </si>
  <si>
    <t>200630</t>
  </si>
  <si>
    <t>0011i000001xoGD</t>
  </si>
  <si>
    <t>Usrah Medical Clinic</t>
  </si>
  <si>
    <t>510 Bedok North Street 3</t>
  </si>
  <si>
    <t>#01-25</t>
  </si>
  <si>
    <t>460510</t>
  </si>
  <si>
    <t>0011i000001xmgC</t>
  </si>
  <si>
    <t>516 Choa Chu Kang Street 51</t>
  </si>
  <si>
    <t>680516</t>
  </si>
  <si>
    <t>0011i000001xnNW</t>
  </si>
  <si>
    <t>36/38 Haig Road</t>
  </si>
  <si>
    <t>438740</t>
  </si>
  <si>
    <t>0011i000001xmlU</t>
  </si>
  <si>
    <t>0011i000001xmvv</t>
  </si>
  <si>
    <t>1 Hougang Street 91</t>
  </si>
  <si>
    <t>538692</t>
  </si>
  <si>
    <t>0011i000001xolu</t>
  </si>
  <si>
    <t>Hamid Family Clinic &amp; Surgery</t>
  </si>
  <si>
    <t>Blk 156 Pasir Ris Street 13</t>
  </si>
  <si>
    <t>#01-35</t>
  </si>
  <si>
    <t>201700</t>
  </si>
  <si>
    <t>510156</t>
  </si>
  <si>
    <t>0011i000001xoNO</t>
  </si>
  <si>
    <t>0011i000007DbTs</t>
  </si>
  <si>
    <t>0011i000001xnzx</t>
  </si>
  <si>
    <t>0011i000001xo2G</t>
  </si>
  <si>
    <t>0011i00000vwapq</t>
  </si>
  <si>
    <t>Clover Medical Clinic Pte Ltd</t>
  </si>
  <si>
    <t>0011i000001xolz</t>
  </si>
  <si>
    <t>Toh Guan Family Clinic</t>
  </si>
  <si>
    <t>Blk 267A Toh Guan Road</t>
  </si>
  <si>
    <t>201806</t>
  </si>
  <si>
    <t>601267</t>
  </si>
  <si>
    <t>0011i000001xnaA</t>
  </si>
  <si>
    <t>235 Choa Chu Kang Central</t>
  </si>
  <si>
    <t>#B1-25</t>
  </si>
  <si>
    <t>680235</t>
  </si>
  <si>
    <t>0011i000001xoaW</t>
  </si>
  <si>
    <t>0011i000007DNLP</t>
  </si>
  <si>
    <t>0011i000001xoTc</t>
  </si>
  <si>
    <t>0011i000001xom6</t>
  </si>
  <si>
    <t>10 Woodlands  St 31</t>
  </si>
  <si>
    <t>0011i00000S3HI9</t>
  </si>
  <si>
    <t>0011i000001xoZJ</t>
  </si>
  <si>
    <t>202681</t>
  </si>
  <si>
    <t>0011i000001xnZB</t>
  </si>
  <si>
    <t>22 Havelock Road</t>
  </si>
  <si>
    <t>#01-709</t>
  </si>
  <si>
    <t>160022</t>
  </si>
  <si>
    <t>0011i000001xoT2</t>
  </si>
  <si>
    <t>H C P Pte Ltd</t>
  </si>
  <si>
    <t>#17-03 Shaw Centre</t>
  </si>
  <si>
    <t>400050</t>
  </si>
  <si>
    <t>228208</t>
  </si>
  <si>
    <t>0011i000001xnUB</t>
  </si>
  <si>
    <t>0011i000001xodQ</t>
  </si>
  <si>
    <t>Department Of ENT</t>
  </si>
  <si>
    <t>0011i000001xoJD</t>
  </si>
  <si>
    <t>Heah Colorectal Endoscopy And Piles Centre</t>
  </si>
  <si>
    <t>203077</t>
  </si>
  <si>
    <t>0011i000001xotD</t>
  </si>
  <si>
    <t>Heah Endoscopy &amp; Piles Centre</t>
  </si>
  <si>
    <t>644 Bukit Batok Central</t>
  </si>
  <si>
    <t>650644</t>
  </si>
  <si>
    <t>0011i000001xmxb</t>
  </si>
  <si>
    <t>0011i000001xnHN</t>
  </si>
  <si>
    <t>446 Upper Bukit Timah Road</t>
  </si>
  <si>
    <t>678067</t>
  </si>
  <si>
    <t>0011i000001xmdB</t>
  </si>
  <si>
    <t>212 Hougang Street 21</t>
  </si>
  <si>
    <t>#01-319</t>
  </si>
  <si>
    <t>530212</t>
  </si>
  <si>
    <t>0011i000001xmz5</t>
  </si>
  <si>
    <t>#01-312</t>
  </si>
  <si>
    <t>201280</t>
  </si>
  <si>
    <t>0011i000001xmoX</t>
  </si>
  <si>
    <t>Blk 25A Chai Chee Road</t>
  </si>
  <si>
    <t>#01-467</t>
  </si>
  <si>
    <t>461025</t>
  </si>
  <si>
    <t>0011i000001xn6e</t>
  </si>
  <si>
    <t>0011i000001xmnN</t>
  </si>
  <si>
    <t>0011i000001xnPL</t>
  </si>
  <si>
    <t>0011i000001xmxB</t>
  </si>
  <si>
    <t>Blk 86 Redhill Close</t>
  </si>
  <si>
    <t>#01-600</t>
  </si>
  <si>
    <t>803497</t>
  </si>
  <si>
    <t>150086</t>
  </si>
  <si>
    <t>0011i000001xmxF</t>
  </si>
  <si>
    <t>Block 21 Ghim Moh Road</t>
  </si>
  <si>
    <t>804483</t>
  </si>
  <si>
    <t>0011i000001xmxE</t>
  </si>
  <si>
    <t>0011i000001xnJX</t>
  </si>
  <si>
    <t>0011i00000EgdEU</t>
  </si>
  <si>
    <t>Blk 639, Punggol Drive #01-06</t>
  </si>
  <si>
    <t>820639</t>
  </si>
  <si>
    <t>0011i000001xmbF</t>
  </si>
  <si>
    <t>1 Pasir Ris Close #01-101</t>
  </si>
  <si>
    <t>Downtown East Hub</t>
  </si>
  <si>
    <t>519599</t>
  </si>
  <si>
    <t>0011i000007FFhA</t>
  </si>
  <si>
    <t>Blk 416</t>
  </si>
  <si>
    <t>Saujana Rd</t>
  </si>
  <si>
    <t>670416</t>
  </si>
  <si>
    <t>0011i000001xn2V</t>
  </si>
  <si>
    <t>0011i000001xmuB</t>
  </si>
  <si>
    <t>Upper East Coast Road</t>
  </si>
  <si>
    <t>23 Crescendo Building</t>
  </si>
  <si>
    <t>201843</t>
  </si>
  <si>
    <t>455289</t>
  </si>
  <si>
    <t>0011i000001xnD7</t>
  </si>
  <si>
    <t>Blk 338  Ang Mo Kio Ave 1</t>
  </si>
  <si>
    <t>560338</t>
  </si>
  <si>
    <t>0011i000001xmbj</t>
  </si>
  <si>
    <t>#01-898</t>
  </si>
  <si>
    <t>201517</t>
  </si>
  <si>
    <t>0011i000001xnCt</t>
  </si>
  <si>
    <t>48 Tanglin Halt Road</t>
  </si>
  <si>
    <t>#01-337</t>
  </si>
  <si>
    <t>142048</t>
  </si>
  <si>
    <t>Blk 48 Tanglin Halt Road</t>
  </si>
  <si>
    <t>201310</t>
  </si>
  <si>
    <t>0011i000001xmtr</t>
  </si>
  <si>
    <t>0011i000001xnaj</t>
  </si>
  <si>
    <t>0011i000001xnMJ</t>
  </si>
  <si>
    <t>#09-07/08 Paragon</t>
  </si>
  <si>
    <t>0011i000001xn2A</t>
  </si>
  <si>
    <t>#09-07/08 Paragon Medical Suites</t>
  </si>
  <si>
    <t>0011i000001xmrZ</t>
  </si>
  <si>
    <t>0011i000001xmvR</t>
  </si>
  <si>
    <t>0011i000001xmzl</t>
  </si>
  <si>
    <t>Blk 57 New Upper Changi Road</t>
  </si>
  <si>
    <t>#01-1346</t>
  </si>
  <si>
    <t>461057</t>
  </si>
  <si>
    <t>0011i000001xml5</t>
  </si>
  <si>
    <t>275A Holland Avenue</t>
  </si>
  <si>
    <t>278993</t>
  </si>
  <si>
    <t>0011i000001xmsR</t>
  </si>
  <si>
    <t>0011i000001xn0I</t>
  </si>
  <si>
    <t>0011i000001xmpW</t>
  </si>
  <si>
    <t>0011i000001xmgp</t>
  </si>
  <si>
    <t>0011i000001xnNS</t>
  </si>
  <si>
    <t>0011i000001xnMj</t>
  </si>
  <si>
    <t>90 Hougang Avenue 10</t>
  </si>
  <si>
    <t>Hougang Mall #04-03/04</t>
  </si>
  <si>
    <t>538766</t>
  </si>
  <si>
    <t>0011i000001xnFl</t>
  </si>
  <si>
    <t>Blk 690 Jurong West Central 1</t>
  </si>
  <si>
    <t>#01-193</t>
  </si>
  <si>
    <t>640690</t>
  </si>
  <si>
    <t>0011i000001xnCv</t>
  </si>
  <si>
    <t>(Silver Cross Marsiling)</t>
  </si>
  <si>
    <t>305 Woodlands St 31 #01-75</t>
  </si>
  <si>
    <t>202261</t>
  </si>
  <si>
    <t>730305</t>
  </si>
  <si>
    <t>0011i000001xnJF</t>
  </si>
  <si>
    <t>0011i000001xnd4</t>
  </si>
  <si>
    <t>Blk 218 Bedok North St 1</t>
  </si>
  <si>
    <t>0011i000001xmzd</t>
  </si>
  <si>
    <t>0011i000001xnJE</t>
  </si>
  <si>
    <t>238 Thomson Road #03-324</t>
  </si>
  <si>
    <t>Novena Square</t>
  </si>
  <si>
    <t>0011i000001xnJj</t>
  </si>
  <si>
    <t>Blk 661 Jalan Damai</t>
  </si>
  <si>
    <t>#01-129</t>
  </si>
  <si>
    <t>410661</t>
  </si>
  <si>
    <t>0011i000001xnI7</t>
  </si>
  <si>
    <t>144 Robinson Road</t>
  </si>
  <si>
    <t>68908</t>
  </si>
  <si>
    <t>0011i000001xmfw</t>
  </si>
  <si>
    <t>0011i000001xmzb</t>
  </si>
  <si>
    <t>Blk 101 Yishun Avenue 5</t>
  </si>
  <si>
    <t>760101</t>
  </si>
  <si>
    <t>0011i000001xn00</t>
  </si>
  <si>
    <t>Blk 273C Punggol Place</t>
  </si>
  <si>
    <t>#01-874</t>
  </si>
  <si>
    <t>0011i000001xnIe</t>
  </si>
  <si>
    <t>Blk 625 Elias Road #01-322</t>
  </si>
  <si>
    <t>Elias Mall</t>
  </si>
  <si>
    <t>0011i000001xmvY</t>
  </si>
  <si>
    <t>Blk 534 Choa Chu Kang St 51</t>
  </si>
  <si>
    <t>#01-37 Limbang Shpg Ctr</t>
  </si>
  <si>
    <t>0011i000001xmzy</t>
  </si>
  <si>
    <t>3 Gateway Drive #04-32</t>
  </si>
  <si>
    <t>Westgate</t>
  </si>
  <si>
    <t>608532</t>
  </si>
  <si>
    <t>0011i000001xnG0</t>
  </si>
  <si>
    <t>0011i000001xnGM</t>
  </si>
  <si>
    <t>Blk 118 Rivervale Drive #02-17</t>
  </si>
  <si>
    <t>Rivervale Plaza</t>
  </si>
  <si>
    <t>540118</t>
  </si>
  <si>
    <t>0011i000001xnJi</t>
  </si>
  <si>
    <t>0011i000001xmzx</t>
  </si>
  <si>
    <t>Blk 108 Hougang Ave 1</t>
  </si>
  <si>
    <t>#01-1299</t>
  </si>
  <si>
    <t>530108</t>
  </si>
  <si>
    <t>0011i000001xn8E</t>
  </si>
  <si>
    <t>0011i000001xnHS</t>
  </si>
  <si>
    <t>445 Fajar Road #02-534</t>
  </si>
  <si>
    <t>Fajar Shopping Centre</t>
  </si>
  <si>
    <t>670445</t>
  </si>
  <si>
    <t>0011i000001xnIx</t>
  </si>
  <si>
    <t>0011i000001xnLJ</t>
  </si>
  <si>
    <t>10 Pasir Ris Central</t>
  </si>
  <si>
    <t>519634</t>
  </si>
  <si>
    <t>0011i000001xmgb</t>
  </si>
  <si>
    <t>Blk 445 Fajar Road #02-534</t>
  </si>
  <si>
    <t>0011i000001xmoq</t>
  </si>
  <si>
    <t>Blk 267 Compassvale Link</t>
  </si>
  <si>
    <t>540267</t>
  </si>
  <si>
    <t>0011i000001xnLN</t>
  </si>
  <si>
    <t>0011i000001xmsf</t>
  </si>
  <si>
    <t>Blk 41 Holland Drive</t>
  </si>
  <si>
    <t>270041</t>
  </si>
  <si>
    <t>0011i000001xnRh</t>
  </si>
  <si>
    <t>Blk 353 Jurong East St 31</t>
  </si>
  <si>
    <t>#01-111</t>
  </si>
  <si>
    <t>600353</t>
  </si>
  <si>
    <t>0011i000001xmb0</t>
  </si>
  <si>
    <t>Hougang Mall #04-06</t>
  </si>
  <si>
    <t>0011i000001xn3C</t>
  </si>
  <si>
    <t>168 Punggol Field #02-07A</t>
  </si>
  <si>
    <t>Punggol Plaza</t>
  </si>
  <si>
    <t>820168</t>
  </si>
  <si>
    <t>0011i000001xnAg</t>
  </si>
  <si>
    <t>0011i000001xnLO</t>
  </si>
  <si>
    <t>0011i000001xmb1</t>
  </si>
  <si>
    <t>0011i000001xmj7</t>
  </si>
  <si>
    <t>163 Toa Payoh Lorong 1</t>
  </si>
  <si>
    <t>#01-1012/1014</t>
  </si>
  <si>
    <t>310163</t>
  </si>
  <si>
    <t>0011i000001xn5D</t>
  </si>
  <si>
    <t>438A Alexandra Road #B1-02</t>
  </si>
  <si>
    <t>Alexandra Technopark</t>
  </si>
  <si>
    <t>119958</t>
  </si>
  <si>
    <t>0011i000001xnAf</t>
  </si>
  <si>
    <t>0011i000001xnO7</t>
  </si>
  <si>
    <t>Bedok Family Clinic &amp; Surgery</t>
  </si>
  <si>
    <t>218 Bedok North St 1 #01-17</t>
  </si>
  <si>
    <t>0011i000001xnRj</t>
  </si>
  <si>
    <t>(Silver Cross Family Clinic)</t>
  </si>
  <si>
    <t>846 Yishun Ring Road #01-3661</t>
  </si>
  <si>
    <t>0011i000001xnRr</t>
  </si>
  <si>
    <t>Blk 177 Toa Payoh Central</t>
  </si>
  <si>
    <t>#01-130</t>
  </si>
  <si>
    <t>310177</t>
  </si>
  <si>
    <t>0011i000001xnXQ</t>
  </si>
  <si>
    <t>Blk 45 Holland Drive</t>
  </si>
  <si>
    <t>#01-353</t>
  </si>
  <si>
    <t>270045</t>
  </si>
  <si>
    <t>0011i000001xmqs</t>
  </si>
  <si>
    <t>Blk 717 Woodlands Drive 70</t>
  </si>
  <si>
    <t>730717</t>
  </si>
  <si>
    <t>0011i000001xmnO</t>
  </si>
  <si>
    <t>#02-03</t>
  </si>
  <si>
    <t>202191</t>
  </si>
  <si>
    <t>0011i000001xmu1</t>
  </si>
  <si>
    <t>0011i000001xnFQ</t>
  </si>
  <si>
    <t>Blk 710 Tampines Street 71</t>
  </si>
  <si>
    <t>520710</t>
  </si>
  <si>
    <t>0011i000001xmhG</t>
  </si>
  <si>
    <t>Blk 727 Clementi West St 2</t>
  </si>
  <si>
    <t>0011i000001xnHQ</t>
  </si>
  <si>
    <t>11 Canberra Road #01-09</t>
  </si>
  <si>
    <t>Sembawang MRT</t>
  </si>
  <si>
    <t>0011i000001xnZf</t>
  </si>
  <si>
    <t>41 Jalan Tiga</t>
  </si>
  <si>
    <t>390041</t>
  </si>
  <si>
    <t>0011i000001xmrm</t>
  </si>
  <si>
    <t>0011i00000X6YRM</t>
  </si>
  <si>
    <t>111 Somerset Road</t>
  </si>
  <si>
    <t>#03-21,22,23,24, Tripleone  Somerset</t>
  </si>
  <si>
    <t>238164</t>
  </si>
  <si>
    <t>0011i000001xmos</t>
  </si>
  <si>
    <t>Blk A #02-25A</t>
  </si>
  <si>
    <t>574689</t>
  </si>
  <si>
    <t>0011i000001xnAn</t>
  </si>
  <si>
    <t>Blk 333C Yishun Street 31</t>
  </si>
  <si>
    <t>#01-167</t>
  </si>
  <si>
    <t>763333</t>
  </si>
  <si>
    <t>0011i000001xoeV</t>
  </si>
  <si>
    <t>Pinnacle Orthopaedic &amp; Sports Ctr</t>
  </si>
  <si>
    <t>3 Mt Elizabeth #04-07</t>
  </si>
  <si>
    <t>0011i000001xnAW</t>
  </si>
  <si>
    <t>Blk 118 Rivervale Drive</t>
  </si>
  <si>
    <t>Rivervale Plaza #02-17</t>
  </si>
  <si>
    <t>0011i000001xnBg</t>
  </si>
  <si>
    <t>Blk 114 Bukit Merah View</t>
  </si>
  <si>
    <t>#01-592</t>
  </si>
  <si>
    <t>150114</t>
  </si>
  <si>
    <t>0011i000001xomD</t>
  </si>
  <si>
    <t>Anthony Heng Surgery</t>
  </si>
  <si>
    <t>0011i000001xoL0</t>
  </si>
  <si>
    <t>W K Koo Associates</t>
  </si>
  <si>
    <t>960 Jurong West Street 92</t>
  </si>
  <si>
    <t>#01-184</t>
  </si>
  <si>
    <t>640960</t>
  </si>
  <si>
    <t>0011i000001xomF</t>
  </si>
  <si>
    <t>Wilmer Clinic Pte Ltd</t>
  </si>
  <si>
    <t>50 Armenian Street</t>
  </si>
  <si>
    <t>#01-01 Wilmer Place</t>
  </si>
  <si>
    <t>200669</t>
  </si>
  <si>
    <t>179938</t>
  </si>
  <si>
    <t>0011i000001xomL</t>
  </si>
  <si>
    <t>The Medical House</t>
  </si>
  <si>
    <t>Blk 31 Holland Close</t>
  </si>
  <si>
    <t>200383</t>
  </si>
  <si>
    <t>270031</t>
  </si>
  <si>
    <t>0011i000001xnz8</t>
  </si>
  <si>
    <t>0011i000001xnz9</t>
  </si>
  <si>
    <t>Mission Cross Family Clinic</t>
  </si>
  <si>
    <t>Blk 348 Yishun Avenue 11</t>
  </si>
  <si>
    <t>760348</t>
  </si>
  <si>
    <t>0011i000001xoKQ</t>
  </si>
  <si>
    <t>First Medical Clinic &amp; Surgery</t>
  </si>
  <si>
    <t>0011i000001xomS</t>
  </si>
  <si>
    <t>Heng Eye Clinic &amp; Surgery</t>
  </si>
  <si>
    <t>#14-09 Mount Elizabeth Medical Centre</t>
  </si>
  <si>
    <t>0011i000001xomX</t>
  </si>
  <si>
    <t>Heng Clinic for Women</t>
  </si>
  <si>
    <t>#05-05 Parkway East Medical Centre</t>
  </si>
  <si>
    <t>0011i00000S3HIx</t>
  </si>
  <si>
    <t>0011i000001xokb</t>
  </si>
  <si>
    <t>0011i000001xmky</t>
  </si>
  <si>
    <t>Blk 740 Bedok Reservoir Road</t>
  </si>
  <si>
    <t>#01-3183</t>
  </si>
  <si>
    <t>470740</t>
  </si>
  <si>
    <t>0011i000001xnKa</t>
  </si>
  <si>
    <t>#05-09 Gleneagles Medical Centre</t>
  </si>
  <si>
    <t>201412</t>
  </si>
  <si>
    <t>0011i000001xmz4</t>
  </si>
  <si>
    <t>0011i000001xoqw</t>
  </si>
  <si>
    <t>Trinity Medical Clinic &amp; Dental Surgery</t>
  </si>
  <si>
    <t>130 Jurong Gateway Road</t>
  </si>
  <si>
    <t>#02-205/207</t>
  </si>
  <si>
    <t>600130</t>
  </si>
  <si>
    <t>0011i000001xoKh</t>
  </si>
  <si>
    <t>HK Family Clinic And Surgery</t>
  </si>
  <si>
    <t>Blk 410 Ang Mo Kio Ave 10</t>
  </si>
  <si>
    <t>#01-817</t>
  </si>
  <si>
    <t>804858</t>
  </si>
  <si>
    <t>560410</t>
  </si>
  <si>
    <t>0011i000001xomZ</t>
  </si>
  <si>
    <t>Hii Women's Clinic</t>
  </si>
  <si>
    <t>#01-3635</t>
  </si>
  <si>
    <t>201048</t>
  </si>
  <si>
    <t>0011i000001xml7</t>
  </si>
  <si>
    <t>0011i000001xmdF</t>
  </si>
  <si>
    <t>12 Jalan Leban</t>
  </si>
  <si>
    <t>577552</t>
  </si>
  <si>
    <t>0011i000001xoZ0</t>
  </si>
  <si>
    <t>Nihon Premium Clinic</t>
  </si>
  <si>
    <t>#11-12/13/30 Novena Medical Center Square 2</t>
  </si>
  <si>
    <t>203290</t>
  </si>
  <si>
    <t>0011i000001xnEc</t>
  </si>
  <si>
    <t>0011i000001xnYm</t>
  </si>
  <si>
    <t>410 Ang Mo Kio Avenue 10</t>
  </si>
  <si>
    <t>0011i000001xnYn</t>
  </si>
  <si>
    <t>0011i000001xnId</t>
  </si>
  <si>
    <t>Blk 89 Bedok North Street 4</t>
  </si>
  <si>
    <t>#01-91</t>
  </si>
  <si>
    <t>460089</t>
  </si>
  <si>
    <t>0011i000001xnYA</t>
  </si>
  <si>
    <t>3 Mt Elizabeth #11-08</t>
  </si>
  <si>
    <t>0011i000001xomb</t>
  </si>
  <si>
    <t>Global Network Medical Centre</t>
  </si>
  <si>
    <t>0011i000001xoQu</t>
  </si>
  <si>
    <t>The Kidney Clinic</t>
  </si>
  <si>
    <t>3 Mount Elizabeth#12-09</t>
  </si>
  <si>
    <t>201984</t>
  </si>
  <si>
    <t>0011i000001xomf</t>
  </si>
  <si>
    <t>United Clinic &amp; Surgery</t>
  </si>
  <si>
    <t>8 Telok Blangah Crescent</t>
  </si>
  <si>
    <t>#01-157</t>
  </si>
  <si>
    <t>200646</t>
  </si>
  <si>
    <t>90008</t>
  </si>
  <si>
    <t>0011i000001xoED</t>
  </si>
  <si>
    <t>0011i000001xoKg</t>
  </si>
  <si>
    <t>Kai Clinic</t>
  </si>
  <si>
    <t>223 East Coast Road</t>
  </si>
  <si>
    <t>200112</t>
  </si>
  <si>
    <t>428920</t>
  </si>
  <si>
    <t>0011i000001xo9p</t>
  </si>
  <si>
    <t>0011i000001xoM9</t>
  </si>
  <si>
    <t>0011i000001xnzk</t>
  </si>
  <si>
    <t>Parkway Shenton</t>
  </si>
  <si>
    <t>Annex Block, 3rd Floor</t>
  </si>
  <si>
    <t>Singapore 202428</t>
  </si>
  <si>
    <t>0011i000001xoJa</t>
  </si>
  <si>
    <t>0011i000001xomk</t>
  </si>
  <si>
    <t>Mandarin Medical &amp; Dental Centre</t>
  </si>
  <si>
    <t>66 Jalan Jurong Kechil</t>
  </si>
  <si>
    <t>200858</t>
  </si>
  <si>
    <t>598586</t>
  </si>
  <si>
    <t>0011i000001xosZ</t>
  </si>
  <si>
    <t>Duxton Medical Clinic</t>
  </si>
  <si>
    <t>0011i000001xoHO</t>
  </si>
  <si>
    <t>Health Partners Medical Clinic</t>
  </si>
  <si>
    <t>0011i000001xos0</t>
  </si>
  <si>
    <t>0011i00000Xf1HH</t>
  </si>
  <si>
    <t>0011i000001xoKv</t>
  </si>
  <si>
    <t>0011i000001xomx</t>
  </si>
  <si>
    <t>K K Ho Clinic For Women Pte Ltd</t>
  </si>
  <si>
    <t>#13-14 Mount Elizabeth Medical Centre</t>
  </si>
  <si>
    <t>200961</t>
  </si>
  <si>
    <t>0011i000001xnzH</t>
  </si>
  <si>
    <t>Ho Kok Sun Colorectal</t>
  </si>
  <si>
    <t>3 Mt Elizabeth #12-09</t>
  </si>
  <si>
    <t>0011i000001xomz</t>
  </si>
  <si>
    <t>Ho Kok Tong Gastroenterology &amp; Medical Clinic</t>
  </si>
  <si>
    <t>#17-15 Mount Elizabeth Medical Centre</t>
  </si>
  <si>
    <t>201980</t>
  </si>
  <si>
    <t>0011i000001xome</t>
  </si>
  <si>
    <t>#01-00</t>
  </si>
  <si>
    <t>0011i000001xoqA</t>
  </si>
  <si>
    <t>0011i000001xo3b</t>
  </si>
  <si>
    <t>0011i000001xoLG</t>
  </si>
  <si>
    <t>Ho Medical Centre Pte Ltd</t>
  </si>
  <si>
    <t>200223</t>
  </si>
  <si>
    <t>0011i000001xnzJ</t>
  </si>
  <si>
    <t>0011i000001xoZH</t>
  </si>
  <si>
    <t>Ho Surgical Clinic Pte Ltd</t>
  </si>
  <si>
    <t>#14-05 Mount Elizabeth Medical Centre</t>
  </si>
  <si>
    <t>200231</t>
  </si>
  <si>
    <t>0011i000001xoLM</t>
  </si>
  <si>
    <t>0011i000001xoOH</t>
  </si>
  <si>
    <t>0011i00000pbjsR</t>
  </si>
  <si>
    <t>United Medical Practitioners</t>
  </si>
  <si>
    <t>201B Tampines St 21</t>
  </si>
  <si>
    <t>#01-1065</t>
  </si>
  <si>
    <t>522201</t>
  </si>
  <si>
    <t>0011i00000oVa07</t>
  </si>
  <si>
    <t>0011i000001xnzK</t>
  </si>
  <si>
    <t>0011i000001xoPn</t>
  </si>
  <si>
    <t>Focus Medical Group</t>
  </si>
  <si>
    <t>Blk 226C Ang Mo Kio Ave 1</t>
  </si>
  <si>
    <t>#01-649</t>
  </si>
  <si>
    <t>202800</t>
  </si>
  <si>
    <t>563226</t>
  </si>
  <si>
    <t>0011i000001xohb</t>
  </si>
  <si>
    <t>0011i000001xoLW</t>
  </si>
  <si>
    <t>0011i000001xonD</t>
  </si>
  <si>
    <t>0011i000001xoZ6</t>
  </si>
  <si>
    <t>Central Clinic &amp; Surgery (Yishun)</t>
  </si>
  <si>
    <t>Blk 701A Yishun Ave 5</t>
  </si>
  <si>
    <t>202269</t>
  </si>
  <si>
    <t>761701</t>
  </si>
  <si>
    <t>0011i000001xonH</t>
  </si>
  <si>
    <t>Jireh Family Clinic</t>
  </si>
  <si>
    <t>833 Woodlands Street 82</t>
  </si>
  <si>
    <t>730883</t>
  </si>
  <si>
    <t>0011i000001xonK</t>
  </si>
  <si>
    <t>Hoe Ah Leong Surgery Pte Ltd</t>
  </si>
  <si>
    <t>#03-10 Gleneagles Medical Centre</t>
  </si>
  <si>
    <t>201718</t>
  </si>
  <si>
    <t>0011i000001xnjV</t>
  </si>
  <si>
    <t>0011i000001xodH</t>
  </si>
  <si>
    <t>Michael Hoe Surgery Gastrointestinal Surgery, Hepat</t>
  </si>
  <si>
    <t>#09-14 Gleneagles Medical Centre</t>
  </si>
  <si>
    <t>202646</t>
  </si>
  <si>
    <t>0011i000001xnTz</t>
  </si>
  <si>
    <t>0011i000001xonL</t>
  </si>
  <si>
    <t>Blk 134 Jurong East Street 13</t>
  </si>
  <si>
    <t>#01-307</t>
  </si>
  <si>
    <t>804014</t>
  </si>
  <si>
    <t>600134</t>
  </si>
  <si>
    <t>0011i000001xoYu</t>
  </si>
  <si>
    <t>EH Heart Specialists Pte Ltd</t>
  </si>
  <si>
    <t>0011i000001xonP</t>
  </si>
  <si>
    <t>Hong Family Clinic</t>
  </si>
  <si>
    <t>Blk 282 Tampines Street 22</t>
  </si>
  <si>
    <t>#01-300</t>
  </si>
  <si>
    <t>200856</t>
  </si>
  <si>
    <t>520282</t>
  </si>
  <si>
    <t>0011i00000S3HJH</t>
  </si>
  <si>
    <t>0011i000001xo1X</t>
  </si>
  <si>
    <t>0011i000001xoak</t>
  </si>
  <si>
    <t>0011i000001xnd2</t>
  </si>
  <si>
    <t>#B1-37 People's Park Centre</t>
  </si>
  <si>
    <t>201391</t>
  </si>
  <si>
    <t>0011i000001xmpH</t>
  </si>
  <si>
    <t>0011i000001xnQH</t>
  </si>
  <si>
    <t>Blk 412 Bedok North Ave 2</t>
  </si>
  <si>
    <t>200228</t>
  </si>
  <si>
    <t>460412</t>
  </si>
  <si>
    <t>0011i00000Jdz41</t>
  </si>
  <si>
    <t>0011i000001xn92</t>
  </si>
  <si>
    <t>883 Woodlands Street 82</t>
  </si>
  <si>
    <t>#01-470</t>
  </si>
  <si>
    <t>0011i000001xn7n</t>
  </si>
  <si>
    <t>0011i000001xmwk</t>
  </si>
  <si>
    <t>#01-299</t>
  </si>
  <si>
    <t>0011i000001xnmI</t>
  </si>
  <si>
    <t>0011i000001xobJ</t>
  </si>
  <si>
    <t>Dayspring Medical Clinic</t>
  </si>
  <si>
    <t>30 Haig Road</t>
  </si>
  <si>
    <t>438737</t>
  </si>
  <si>
    <t>0011i000001xmqP</t>
  </si>
  <si>
    <t>Block 51 Circuit Road</t>
  </si>
  <si>
    <t>#01-797</t>
  </si>
  <si>
    <t>201287</t>
  </si>
  <si>
    <t>370051</t>
  </si>
  <si>
    <t>0011i000001xocY</t>
  </si>
  <si>
    <t>Parkway Hospitals Singapore Pte Ltd</t>
  </si>
  <si>
    <t>#02-35 Gleneagles Hospital Pte Ltd</t>
  </si>
  <si>
    <t>0011i000001xmrq</t>
  </si>
  <si>
    <t>0011i000001xnRp</t>
  </si>
  <si>
    <t>Block 35 Circuit Road</t>
  </si>
  <si>
    <t>#01-448</t>
  </si>
  <si>
    <t>200232</t>
  </si>
  <si>
    <t>0011i000001xnc4</t>
  </si>
  <si>
    <t>Blk 801 Hougang Central</t>
  </si>
  <si>
    <t>#01-124</t>
  </si>
  <si>
    <t>0011i000001xmtN</t>
  </si>
  <si>
    <t>0011i000001xnPf</t>
  </si>
  <si>
    <t>0011i000001xmcj</t>
  </si>
  <si>
    <t>0011i000001xmpL</t>
  </si>
  <si>
    <t>0011i000001xn57</t>
  </si>
  <si>
    <t>400141</t>
  </si>
  <si>
    <t>0011i000001xnPg</t>
  </si>
  <si>
    <t>0011i000001xmr0</t>
  </si>
  <si>
    <t>0011i000001xnQk</t>
  </si>
  <si>
    <t>0011i000001xmrr</t>
  </si>
  <si>
    <t>0011i000001xn09</t>
  </si>
  <si>
    <t>0011i000001xnQj</t>
  </si>
  <si>
    <t>0011i000001xo1b</t>
  </si>
  <si>
    <t>0011i000001xo1c</t>
  </si>
  <si>
    <t>0011i000001xnJQ</t>
  </si>
  <si>
    <t>0011i000001xncY</t>
  </si>
  <si>
    <t>Blk 173 Yishun Ave 7</t>
  </si>
  <si>
    <t>#01-823</t>
  </si>
  <si>
    <t>201004</t>
  </si>
  <si>
    <t>760173</t>
  </si>
  <si>
    <t>0011i000001xo1d</t>
  </si>
  <si>
    <t>0011i000001xogN</t>
  </si>
  <si>
    <t>0011i000001xonV</t>
  </si>
  <si>
    <t>Union Medical Clinic &amp; Surgery</t>
  </si>
  <si>
    <t>Block 152 Serangoon North Avenue 1</t>
  </si>
  <si>
    <t>#01-330</t>
  </si>
  <si>
    <t>200840</t>
  </si>
  <si>
    <t>0011i000001xo1e</t>
  </si>
  <si>
    <t>0011i000001xmya</t>
  </si>
  <si>
    <t>#09-01 Gleneagles Medical Centre</t>
  </si>
  <si>
    <t>200235</t>
  </si>
  <si>
    <t>0011i000001xonb</t>
  </si>
  <si>
    <t>Meridian Medical Centre</t>
  </si>
  <si>
    <t>Blk 108 Depot Road</t>
  </si>
  <si>
    <t>200397</t>
  </si>
  <si>
    <t>100108</t>
  </si>
  <si>
    <t>0011i000001xond</t>
  </si>
  <si>
    <t>Huan Clinic</t>
  </si>
  <si>
    <t>Blk 51 Chin Swee Road</t>
  </si>
  <si>
    <t>#03-111</t>
  </si>
  <si>
    <t>201074</t>
  </si>
  <si>
    <t>160051</t>
  </si>
  <si>
    <t>0011i000001xo1f</t>
  </si>
  <si>
    <t>0011i000001xnHE</t>
  </si>
  <si>
    <t>0011i000001xoNQ</t>
  </si>
  <si>
    <t>Huang Surgery Pte Ltd</t>
  </si>
  <si>
    <t>491 River Valley Road</t>
  </si>
  <si>
    <t>202006</t>
  </si>
  <si>
    <t>248371</t>
  </si>
  <si>
    <t>0011i000007DNM3</t>
  </si>
  <si>
    <t>0011i00000ugAiN</t>
  </si>
  <si>
    <t>AE Medical Clinic</t>
  </si>
  <si>
    <t>0011i000001xoni</t>
  </si>
  <si>
    <t>Huang Ear Nose &amp; Throat Surgery Pte Ltd</t>
  </si>
  <si>
    <t>#04-17 Gleneagles Medical Centre</t>
  </si>
  <si>
    <t>201424</t>
  </si>
  <si>
    <t>0011i000001xoPH</t>
  </si>
  <si>
    <t>0011i000001xngN</t>
  </si>
  <si>
    <t>0011i000001xoUn</t>
  </si>
  <si>
    <t>0011i00000Xf1HI</t>
  </si>
  <si>
    <t>0011i000001xoNv</t>
  </si>
  <si>
    <t>Regent Clinic</t>
  </si>
  <si>
    <t>301 Upper Thomson Road</t>
  </si>
  <si>
    <t>#03-12 Thomson Plaza</t>
  </si>
  <si>
    <t>201203</t>
  </si>
  <si>
    <t>0011i000001xorv</t>
  </si>
  <si>
    <t>0011i000001xmhq</t>
  </si>
  <si>
    <t>0011i000001xn9v</t>
  </si>
  <si>
    <t>0011i000001xoUI</t>
  </si>
  <si>
    <t>0011i00000nIBHV</t>
  </si>
  <si>
    <t>0011i000001xobf</t>
  </si>
  <si>
    <t>0011i000001xo33</t>
  </si>
  <si>
    <t>0011i000001xoF4</t>
  </si>
  <si>
    <t>0011i000001xoEl</t>
  </si>
  <si>
    <t>Department of Ear Nose Throat</t>
  </si>
  <si>
    <t>0011i000001xoMY</t>
  </si>
  <si>
    <t>Hwang &amp; Liang Family Clinic &amp; Surgery</t>
  </si>
  <si>
    <t>Blk 476 Tampines Street 44</t>
  </si>
  <si>
    <t>801898</t>
  </si>
  <si>
    <t>520476</t>
  </si>
  <si>
    <t>0011i000001xmu8</t>
  </si>
  <si>
    <t>0011i00000tXmf7</t>
  </si>
  <si>
    <t>#06-24/25/36 Mt Elizabeth Novena Specialist Centre</t>
  </si>
  <si>
    <t>38 Irrawaddy Road Singapore 329563</t>
  </si>
  <si>
    <t>0011i00000Xf13y</t>
  </si>
  <si>
    <t>3 Mount Elizabeth #17-03/04</t>
  </si>
  <si>
    <t>0011i00000Xf140</t>
  </si>
  <si>
    <t>6 Napier Road #05-11/12</t>
  </si>
  <si>
    <t>0011i00000Xf141</t>
  </si>
  <si>
    <t>38 Irrawaddy Road #06-24/15/36</t>
  </si>
  <si>
    <t>0011i000001xoiV</t>
  </si>
  <si>
    <t>11 Hospital Avenue</t>
  </si>
  <si>
    <t>0011i000001xmf9</t>
  </si>
  <si>
    <t>38 Irrawaddy Road #09-38</t>
  </si>
  <si>
    <t>0011i000001xnZX</t>
  </si>
  <si>
    <t>#05-13 Parkway Parade</t>
  </si>
  <si>
    <t>0011i000001xoKR</t>
  </si>
  <si>
    <t>0011i000001xnL7</t>
  </si>
  <si>
    <t>#03-03 Parkway East Medical Centre</t>
  </si>
  <si>
    <t>0011i000001xnxe</t>
  </si>
  <si>
    <t>Mel &amp; Partners Drs</t>
  </si>
  <si>
    <t>0011i000001xoPG</t>
  </si>
  <si>
    <t>0011i000001xncc</t>
  </si>
  <si>
    <t>77 Indus Road</t>
  </si>
  <si>
    <t>#01-517</t>
  </si>
  <si>
    <t>200845</t>
  </si>
  <si>
    <t>160077</t>
  </si>
  <si>
    <t>0011i000001xmma</t>
  </si>
  <si>
    <t>Second Avenue Junction</t>
  </si>
  <si>
    <t>733 Bukit Timah Road #01-03</t>
  </si>
  <si>
    <t>269748</t>
  </si>
  <si>
    <t>0011i000001xn3p</t>
  </si>
  <si>
    <t>#07-10 Mount Elizabeth Medical Centre</t>
  </si>
  <si>
    <t>0011i000001xms6</t>
  </si>
  <si>
    <t>#10-03 Gleneagles Medical Centre</t>
  </si>
  <si>
    <t>202083</t>
  </si>
  <si>
    <t>0011i000001xnVj</t>
  </si>
  <si>
    <t>0011i000001xmns</t>
  </si>
  <si>
    <t>0011i000001xnUJ</t>
  </si>
  <si>
    <t>Department of Community Psychiatry</t>
  </si>
  <si>
    <t>0011i000001xmbV</t>
  </si>
  <si>
    <t>0011i000001xmbU</t>
  </si>
  <si>
    <t>0011i000001xnSE</t>
  </si>
  <si>
    <t>Department of Administration</t>
  </si>
  <si>
    <t>0011i000001xnGE</t>
  </si>
  <si>
    <t>0011i000001xnIr</t>
  </si>
  <si>
    <t>0011i000001xnX9</t>
  </si>
  <si>
    <t>0011i00000ufvHu</t>
  </si>
  <si>
    <t>Intemedical 24Hr Clinic (Ang Mo Kio)</t>
  </si>
  <si>
    <t>525 ANG MO KIO AVENUE 10, #01-2407, Cheng San Centre</t>
  </si>
  <si>
    <t>560525</t>
  </si>
  <si>
    <t>0011i000001xn6x</t>
  </si>
  <si>
    <t>8 Biomedical Grove #01-04</t>
  </si>
  <si>
    <t>Neuros - The Biopolis</t>
  </si>
  <si>
    <t>138665</t>
  </si>
  <si>
    <t>0011i000001xnOz</t>
  </si>
  <si>
    <t>0011i000001xmtk</t>
  </si>
  <si>
    <t>6 Napier Road #06-01</t>
  </si>
  <si>
    <t>Glenealges Medical Centre</t>
  </si>
  <si>
    <t>0011i000001xnki</t>
  </si>
  <si>
    <t>0011i000001xomt</t>
  </si>
  <si>
    <t>0011i000001xmeh</t>
  </si>
  <si>
    <t>Blk 796 Bedok Reservoir View</t>
  </si>
  <si>
    <t>0011i000001xnGr</t>
  </si>
  <si>
    <t>0011i000007FFai</t>
  </si>
  <si>
    <t>0011i000001xnAZ</t>
  </si>
  <si>
    <t>279 Sengkang East Avenue</t>
  </si>
  <si>
    <t>540279</t>
  </si>
  <si>
    <t>0011i000007FFcy</t>
  </si>
  <si>
    <t>Blk 803 Keat Hong Cl</t>
  </si>
  <si>
    <t>680803</t>
  </si>
  <si>
    <t>0011i000001xnWM</t>
  </si>
  <si>
    <t>#06-34/37 Tanglin Shopping Centre</t>
  </si>
  <si>
    <t>200738</t>
  </si>
  <si>
    <t>0011i000001xnDS</t>
  </si>
  <si>
    <t>0011i000001xn9k</t>
  </si>
  <si>
    <t>0011i000001xnEg</t>
  </si>
  <si>
    <t>6 Napier Road #02-06</t>
  </si>
  <si>
    <t>0011i000001xnVD</t>
  </si>
  <si>
    <t>6 Napier Road #02-16</t>
  </si>
  <si>
    <t>0011i000001xo3L</t>
  </si>
  <si>
    <t>0011i00000Y0Xnj</t>
  </si>
  <si>
    <t>Test</t>
  </si>
  <si>
    <t>123456</t>
  </si>
  <si>
    <t>0011i00000Y0JnE</t>
  </si>
  <si>
    <t>0011i000001xnKB</t>
  </si>
  <si>
    <t>#15-01 Mount Elizabeth Medical Centre</t>
  </si>
  <si>
    <t>201687</t>
  </si>
  <si>
    <t>0011i00000YV1jW</t>
  </si>
  <si>
    <t>0011i000001xo1r</t>
  </si>
  <si>
    <t>A Company For Women Pte Ltd</t>
  </si>
  <si>
    <t>#03-05/06 Camden Medical Centre</t>
  </si>
  <si>
    <t>0011i000001xnbV</t>
  </si>
  <si>
    <t>6 Eu Tong Sen Street</t>
  </si>
  <si>
    <t>#04-46/47 The Central</t>
  </si>
  <si>
    <t>203387</t>
  </si>
  <si>
    <t>59817</t>
  </si>
  <si>
    <t>0011i000001xo1t</t>
  </si>
  <si>
    <t>0011i000001xosl</t>
  </si>
  <si>
    <t>0011i000005IdSn</t>
  </si>
  <si>
    <t>0011i000001xmyb</t>
  </si>
  <si>
    <t>#09-15 Gleneagles Medical Centre</t>
  </si>
  <si>
    <t>201771</t>
  </si>
  <si>
    <t>0011i000001xoPj</t>
  </si>
  <si>
    <t>0011i000001xo1u</t>
  </si>
  <si>
    <t>0011i000001xmmw</t>
  </si>
  <si>
    <t>0011i000001xnQJ</t>
  </si>
  <si>
    <t>#10-01 Paragon</t>
  </si>
  <si>
    <t>0011i000001xnbp</t>
  </si>
  <si>
    <t>0011i000001xnHe</t>
  </si>
  <si>
    <t>0011i00000FH4AI</t>
  </si>
  <si>
    <t>38 Irrawaddy Road</t>
  </si>
  <si>
    <t>#05-49</t>
  </si>
  <si>
    <t>0011i000001xoO7</t>
  </si>
  <si>
    <t>0011i000001xoqI</t>
  </si>
  <si>
    <t>Level 12</t>
  </si>
  <si>
    <t>0011i000001xo1v</t>
  </si>
  <si>
    <t>0011i000001xo1w</t>
  </si>
  <si>
    <t>Lifeline Heart Centre</t>
  </si>
  <si>
    <t>#11-10 Mount Elizabeth Medical Centre</t>
  </si>
  <si>
    <t>0011i000001xo1x</t>
  </si>
  <si>
    <t>0011i000001xnVp</t>
  </si>
  <si>
    <t>339 Thomson Road #05-02A</t>
  </si>
  <si>
    <t>0011i00000Xf1HJ</t>
  </si>
  <si>
    <t>0011i000001xoS3</t>
  </si>
  <si>
    <t>0011i000001xo1y</t>
  </si>
  <si>
    <t>Prema Raj Liver &amp; General Surgery</t>
  </si>
  <si>
    <t>3 Mt Elizabeth #14-10</t>
  </si>
  <si>
    <t>0011i000001xoaR</t>
  </si>
  <si>
    <t>0011i00000Xf1Hh</t>
  </si>
  <si>
    <t>0011i000001xmzh</t>
  </si>
  <si>
    <t>430 Changi Road</t>
  </si>
  <si>
    <t>200248</t>
  </si>
  <si>
    <t>419872</t>
  </si>
  <si>
    <t>0011i000001xn9U</t>
  </si>
  <si>
    <t>38 Irrawaddy Road #06-63</t>
  </si>
  <si>
    <t>0011i000001xnda</t>
  </si>
  <si>
    <t>Blk 70 Toa Payoh Lorong 4</t>
  </si>
  <si>
    <t>#01-335</t>
  </si>
  <si>
    <t>310070</t>
  </si>
  <si>
    <t>0011i000001xoXK</t>
  </si>
  <si>
    <t>The Family Clinic @ Towner</t>
  </si>
  <si>
    <t>310101</t>
  </si>
  <si>
    <t>0011i000001xmiK</t>
  </si>
  <si>
    <t>#05-08 Gleneagles Medical Centre</t>
  </si>
  <si>
    <t>202907</t>
  </si>
  <si>
    <t>0011i000001xnBB</t>
  </si>
  <si>
    <t>3 Mount Elizabeth #15-04</t>
  </si>
  <si>
    <t>0011i000001xo3a</t>
  </si>
  <si>
    <t>0011i000001xoAr</t>
  </si>
  <si>
    <t>0011i000001xo23</t>
  </si>
  <si>
    <t>0011i000001xmuu</t>
  </si>
  <si>
    <t>0011i000001xn1m</t>
  </si>
  <si>
    <t>Blk 492 Jurong West Street 41</t>
  </si>
  <si>
    <t>#01-80</t>
  </si>
  <si>
    <t>200821</t>
  </si>
  <si>
    <t>0011i000001xnMN</t>
  </si>
  <si>
    <t>0011i000001xnYF</t>
  </si>
  <si>
    <t>Blk 533 Choa Chu Kang Street 51</t>
  </si>
  <si>
    <t>#01-29</t>
  </si>
  <si>
    <t>680533</t>
  </si>
  <si>
    <t>0011i000001xoH8</t>
  </si>
  <si>
    <t>0011i000001xogB</t>
  </si>
  <si>
    <t>0011i000001xo24</t>
  </si>
  <si>
    <t>0011i00000nIAwW</t>
  </si>
  <si>
    <t>0011i00000FGZLB</t>
  </si>
  <si>
    <t>Dr Joyce &amp; Partners</t>
  </si>
  <si>
    <t>224A Sumang Lane</t>
  </si>
  <si>
    <t>821224</t>
  </si>
  <si>
    <t>0011i000001xnAw</t>
  </si>
  <si>
    <t>703 Bedok Reservoir Road</t>
  </si>
  <si>
    <t>0011i000001xmkF</t>
  </si>
  <si>
    <t>0011i000001xn9d</t>
  </si>
  <si>
    <t>#01-1643</t>
  </si>
  <si>
    <t>201817</t>
  </si>
  <si>
    <t>0011i000001xobz</t>
  </si>
  <si>
    <t>Saudara Clinic</t>
  </si>
  <si>
    <t>228 Changi Road</t>
  </si>
  <si>
    <t>419741</t>
  </si>
  <si>
    <t>0011i000001xo3A</t>
  </si>
  <si>
    <t>0011i000001xmi1</t>
  </si>
  <si>
    <t>33 Irrawaddy Road #05-49</t>
  </si>
  <si>
    <t>0011i000001xnQf</t>
  </si>
  <si>
    <t>Blk 503 Bishan Street 11</t>
  </si>
  <si>
    <t>#01-464</t>
  </si>
  <si>
    <t>570503</t>
  </si>
  <si>
    <t>0011i00000oYB9k</t>
  </si>
  <si>
    <t>0011i000001xnYD</t>
  </si>
  <si>
    <t>0011i000001xmk6</t>
  </si>
  <si>
    <t>0011i000001xn58</t>
  </si>
  <si>
    <t>0011i000001xmzO</t>
  </si>
  <si>
    <t>Blk 114 Jurong East St 13</t>
  </si>
  <si>
    <t>#01-406</t>
  </si>
  <si>
    <t>201585</t>
  </si>
  <si>
    <t>600114</t>
  </si>
  <si>
    <t>0011i000001xmkk</t>
  </si>
  <si>
    <t>0011i000001xnVk</t>
  </si>
  <si>
    <t>0011i000001xmpT</t>
  </si>
  <si>
    <t>0011i000001xnOs</t>
  </si>
  <si>
    <t>0011i000001xnUC</t>
  </si>
  <si>
    <t>0011i000001xmlS</t>
  </si>
  <si>
    <t>0011i000001xnDC</t>
  </si>
  <si>
    <t>Blk 507 Jurong West St 52</t>
  </si>
  <si>
    <t>640507</t>
  </si>
  <si>
    <t>0011i000001xmyH</t>
  </si>
  <si>
    <t>#07-07 Gleneagles Medical Centre</t>
  </si>
  <si>
    <t>201563</t>
  </si>
  <si>
    <t>0011i000001xnaq</t>
  </si>
  <si>
    <t>0011i000001xnZy</t>
  </si>
  <si>
    <t>5 Tampines Street 32</t>
  </si>
  <si>
    <t>#02-05 Tampines Mart</t>
  </si>
  <si>
    <t>806074</t>
  </si>
  <si>
    <t>529284</t>
  </si>
  <si>
    <t>0011i000001xoGm</t>
  </si>
  <si>
    <t>0011i000001xobh</t>
  </si>
  <si>
    <t>Drs Tang &amp; Partners</t>
  </si>
  <si>
    <t>0011i000001xog4</t>
  </si>
  <si>
    <t>Bose Bone, Joint &amp; Spine Clinic</t>
  </si>
  <si>
    <t>0011i000001xoK5</t>
  </si>
  <si>
    <t>0011i000001xmpM</t>
  </si>
  <si>
    <t>1 Farrer Park Station Road #14-16</t>
  </si>
  <si>
    <t>Farrer Park Medical Centre</t>
  </si>
  <si>
    <t>0011i00000uPQEC</t>
  </si>
  <si>
    <t>0011i000001xoL7</t>
  </si>
  <si>
    <t>0011i00000Xf1Gs</t>
  </si>
  <si>
    <t>0011i000001xooO</t>
  </si>
  <si>
    <t>Kang Clinic</t>
  </si>
  <si>
    <t>229 Jalan Kayu</t>
  </si>
  <si>
    <t>200260</t>
  </si>
  <si>
    <t>799453</t>
  </si>
  <si>
    <t>0011i00000oYBEv</t>
  </si>
  <si>
    <t>0011i000001xoOa</t>
  </si>
  <si>
    <t>0011i000001xo26</t>
  </si>
  <si>
    <t>Kang Clinic for Women</t>
  </si>
  <si>
    <t>820 Thomson Road #02-30</t>
  </si>
  <si>
    <t>Mt Alvernia Medical Centre B</t>
  </si>
  <si>
    <t>0011i000001xoJz</t>
  </si>
  <si>
    <t>0011i000001xnBG</t>
  </si>
  <si>
    <t>Blk 644 Bukit Batok Central</t>
  </si>
  <si>
    <t>#01-70</t>
  </si>
  <si>
    <t>801812</t>
  </si>
  <si>
    <t>0011i000001xnbN</t>
  </si>
  <si>
    <t>0011i000001xnp5</t>
  </si>
  <si>
    <t>Centre Orthopaedic &amp; HIP</t>
  </si>
  <si>
    <t>0011i000001xoZE</t>
  </si>
  <si>
    <t>0011i000001xooQ</t>
  </si>
  <si>
    <t>Toa Payoh Clinic &amp; Surgery</t>
  </si>
  <si>
    <t>Blk 233 Toa Payoh Lorong 8</t>
  </si>
  <si>
    <t>200629</t>
  </si>
  <si>
    <t>310233</t>
  </si>
  <si>
    <t>0011i000001xohG</t>
  </si>
  <si>
    <t>0011i000001xoF8</t>
  </si>
  <si>
    <t>Kao &amp; Tan Family Medical Centre &amp; Surgery</t>
  </si>
  <si>
    <t>805411</t>
  </si>
  <si>
    <t>0011i000001xnas</t>
  </si>
  <si>
    <t>0011i000001xo4q</t>
  </si>
  <si>
    <t>0011i000001xml4</t>
  </si>
  <si>
    <t>Blk 6 Napier Road</t>
  </si>
  <si>
    <t>#05-11/12 Gleneagles Medical Centre</t>
  </si>
  <si>
    <t>202160</t>
  </si>
  <si>
    <t>0011i000001xo8Y</t>
  </si>
  <si>
    <t>The Flame Tree Medical Centre Pte Ltd</t>
  </si>
  <si>
    <t>225 Upper Thomson Road</t>
  </si>
  <si>
    <t>202546</t>
  </si>
  <si>
    <t>574357</t>
  </si>
  <si>
    <t>0011i000001xoKr</t>
  </si>
  <si>
    <t>0011i00000oYBJp</t>
  </si>
  <si>
    <t>0011i00000oYBJk</t>
  </si>
  <si>
    <t>0011i000007FFcA</t>
  </si>
  <si>
    <t>0011i000001xoKk</t>
  </si>
  <si>
    <t>0011i000007DNKM</t>
  </si>
  <si>
    <t>0011i000001xooZ</t>
  </si>
  <si>
    <t>190 Clemenceau Ave #05-22</t>
  </si>
  <si>
    <t>0011i000001xoPS</t>
  </si>
  <si>
    <t>Pacific Family Clinic</t>
  </si>
  <si>
    <t>Blk 75D Redhill Road</t>
  </si>
  <si>
    <t>150075</t>
  </si>
  <si>
    <t>0011i000001xoSS</t>
  </si>
  <si>
    <t>0011i000001xoRb</t>
  </si>
  <si>
    <t>Geriatric Medicine Unit</t>
  </si>
  <si>
    <t>Blk 6 Level 6 Outram Road</t>
  </si>
  <si>
    <t>0011i000001xmjZ</t>
  </si>
  <si>
    <t>0011i000001xmgJ</t>
  </si>
  <si>
    <t>#10-13 Mount Elizabeth Medical Centre</t>
  </si>
  <si>
    <t>200982</t>
  </si>
  <si>
    <t>0011i000001xmlx</t>
  </si>
  <si>
    <t>#12-03 Mount Elizabeth Medical Centre</t>
  </si>
  <si>
    <t>202841</t>
  </si>
  <si>
    <t>0011i000001xnHZ</t>
  </si>
  <si>
    <t>Blk 515 Bedok North Ave 2</t>
  </si>
  <si>
    <t>202663</t>
  </si>
  <si>
    <t>460515</t>
  </si>
  <si>
    <t>0011i000001xmbO</t>
  </si>
  <si>
    <t>1016 Upper Serangoon Road</t>
  </si>
  <si>
    <t>534754</t>
  </si>
  <si>
    <t>0011i000001xnWw</t>
  </si>
  <si>
    <t>1 Thomson Road #01-342</t>
  </si>
  <si>
    <t>Balestier Hill Shopping Ctr</t>
  </si>
  <si>
    <t>300001</t>
  </si>
  <si>
    <t>0011i000001xoQr</t>
  </si>
  <si>
    <t>0011i000001xooe</t>
  </si>
  <si>
    <t>The Edinburgh Clinic</t>
  </si>
  <si>
    <t>Blk 306 Choa Chu Kang Ave 4</t>
  </si>
  <si>
    <t>#01-685</t>
  </si>
  <si>
    <t>201266</t>
  </si>
  <si>
    <t>680306</t>
  </si>
  <si>
    <t>0011i000001xoog</t>
  </si>
  <si>
    <t>Kee Surgery Pte Ltd</t>
  </si>
  <si>
    <t>201406</t>
  </si>
  <si>
    <t>0011i000001xook</t>
  </si>
  <si>
    <t>Kee Clinic &amp; Surgery</t>
  </si>
  <si>
    <t>Blk 36 Holland Drive #01-10</t>
  </si>
  <si>
    <t>Buona Vista Community Club</t>
  </si>
  <si>
    <t>270036</t>
  </si>
  <si>
    <t>0011i000001xoom</t>
  </si>
  <si>
    <t>W H Kee's Clinic for Women</t>
  </si>
  <si>
    <t>339 Thomson Road #04-00</t>
  </si>
  <si>
    <t>0011i000001xmdH</t>
  </si>
  <si>
    <t>Blk 151 Serangoon North Ave 2</t>
  </si>
  <si>
    <t>202959</t>
  </si>
  <si>
    <t>550151</t>
  </si>
  <si>
    <t>0011i000001xmt4</t>
  </si>
  <si>
    <t>0011i000001xngx</t>
  </si>
  <si>
    <t>0011i000001xmkU</t>
  </si>
  <si>
    <t>#14-06 Mount Elizabeth Medical Centre</t>
  </si>
  <si>
    <t>203129</t>
  </si>
  <si>
    <t>0011i000001xoaP</t>
  </si>
  <si>
    <t>Digestive Health Associates Pte Ltd</t>
  </si>
  <si>
    <t>#06-05 Mount Alvernia Medical Centre A</t>
  </si>
  <si>
    <t>202644</t>
  </si>
  <si>
    <t>0011i000001xo27</t>
  </si>
  <si>
    <t>0011i000005IdSE</t>
  </si>
  <si>
    <t>0011i000001xnVG</t>
  </si>
  <si>
    <t>0011i000001xmwV</t>
  </si>
  <si>
    <t>0011i000001xoov</t>
  </si>
  <si>
    <t>Nichii International Clinic</t>
  </si>
  <si>
    <t>350 Orchard Road #10-00</t>
  </si>
  <si>
    <t>Shaw House</t>
  </si>
  <si>
    <t>0011i000001xnVy</t>
  </si>
  <si>
    <t>9 Telok Blangah Crescent</t>
  </si>
  <si>
    <t>90009</t>
  </si>
  <si>
    <t>0011i000001xosu</t>
  </si>
  <si>
    <t>0011i000001xo5S</t>
  </si>
  <si>
    <t>Health Matters The Family Practice</t>
  </si>
  <si>
    <t>0011i000001xo28</t>
  </si>
  <si>
    <t>Eden Family Clinic</t>
  </si>
  <si>
    <t>492 Jurong West Street 41</t>
  </si>
  <si>
    <t>0011i00000Q2V7y</t>
  </si>
  <si>
    <t>0011i000001xooy</t>
  </si>
  <si>
    <t>Ren Family Centre</t>
  </si>
  <si>
    <t>Blk 101 Yishun Ave 5</t>
  </si>
  <si>
    <t>201789</t>
  </si>
  <si>
    <t>0011i000001xnkp</t>
  </si>
  <si>
    <t>0011i00000S3HHu</t>
  </si>
  <si>
    <t>0011i000001xo2C</t>
  </si>
  <si>
    <t>Chai Chee Clinic &amp; Surgery</t>
  </si>
  <si>
    <t>Block 25A Chai Chee Road</t>
  </si>
  <si>
    <t>#01-453</t>
  </si>
  <si>
    <t>201999</t>
  </si>
  <si>
    <t>0011i00000oYBIX</t>
  </si>
  <si>
    <t>0011i000001xoVv</t>
  </si>
  <si>
    <t>ACJ Women's Clinic Pte Ltd</t>
  </si>
  <si>
    <t>0011i000001xmsC</t>
  </si>
  <si>
    <t>202692</t>
  </si>
  <si>
    <t>0011i000001xop3</t>
  </si>
  <si>
    <t>Drs Koo, Neoh &amp; Associates</t>
  </si>
  <si>
    <t>Blk 20 Chai Chee Road</t>
  </si>
  <si>
    <t>#01-416</t>
  </si>
  <si>
    <t>461020</t>
  </si>
  <si>
    <t>0011i000001xop6</t>
  </si>
  <si>
    <t>Kho Clinic</t>
  </si>
  <si>
    <t>537 Bedok North Street 3</t>
  </si>
  <si>
    <t>#01-519</t>
  </si>
  <si>
    <t>0011i000001xoFo</t>
  </si>
  <si>
    <t>The Medical Practice Pte Ltd</t>
  </si>
  <si>
    <t>1 Raffles Link</t>
  </si>
  <si>
    <t>#01-03A</t>
  </si>
  <si>
    <t>202703</t>
  </si>
  <si>
    <t>0011i000001xo2D</t>
  </si>
  <si>
    <t>0011i000001xoeW</t>
  </si>
  <si>
    <t>K.S. Khong Orthopaedic Practice</t>
  </si>
  <si>
    <t>#08-04 Mount Elizabeth Medical Centre</t>
  </si>
  <si>
    <t>202441</t>
  </si>
  <si>
    <t>0011i000001xopH</t>
  </si>
  <si>
    <t>Health Plus Clinic</t>
  </si>
  <si>
    <t>307 Choa Chu Kang Ave 4</t>
  </si>
  <si>
    <t>#01-697</t>
  </si>
  <si>
    <t>680307</t>
  </si>
  <si>
    <t>0011i000001xopU</t>
  </si>
  <si>
    <t>Nobel Heart Centre</t>
  </si>
  <si>
    <t>Mount Alvernis Medical Centre A</t>
  </si>
  <si>
    <t>Ascension Heart Centre</t>
  </si>
  <si>
    <t>Block D 07-60</t>
  </si>
  <si>
    <t>0011i000001xopJ</t>
  </si>
  <si>
    <t>Neurological Surgery</t>
  </si>
  <si>
    <t>#10-10 Mount Elizabeth Medical Centre</t>
  </si>
  <si>
    <t>0011i000001xopK</t>
  </si>
  <si>
    <t>0011i000001xoF9</t>
  </si>
  <si>
    <t>0011i000001xnpe</t>
  </si>
  <si>
    <t>Victory Clinic &amp; Surgery</t>
  </si>
  <si>
    <t>200656</t>
  </si>
  <si>
    <t>0011i000001xnfj</t>
  </si>
  <si>
    <t>0011i000001xnuR</t>
  </si>
  <si>
    <t>0011i000007DbT9</t>
  </si>
  <si>
    <t>Eric Khoo Diabetes and Endocrine Clinic</t>
  </si>
  <si>
    <t>0011i000001xoh5</t>
  </si>
  <si>
    <t>0011i000001xoP8</t>
  </si>
  <si>
    <t>0011i00000Xf1I0</t>
  </si>
  <si>
    <t>Parkway Cancer CENTRE</t>
  </si>
  <si>
    <t>6A Napier Road #01-35</t>
  </si>
  <si>
    <t>0011i000001xo2J</t>
  </si>
  <si>
    <t>0011i000001xoOZ</t>
  </si>
  <si>
    <t>3 Mt Elizabeth #12-05</t>
  </si>
  <si>
    <t>0011i000001xo8a</t>
  </si>
  <si>
    <t>0011i000001xopT</t>
  </si>
  <si>
    <t>THe Rafflesian Clinic &amp; Surgery</t>
  </si>
  <si>
    <t>10 Sinaran Driv e#11-06</t>
  </si>
  <si>
    <t>0011i000001xopY</t>
  </si>
  <si>
    <t>Healthcare (Railmail) Pte Ltd</t>
  </si>
  <si>
    <t>0011i000001xo8m</t>
  </si>
  <si>
    <t>0011i000001xmwE</t>
  </si>
  <si>
    <t>998 Upper Serangoon Road</t>
  </si>
  <si>
    <t>534737</t>
  </si>
  <si>
    <t>0011i000001xmhC</t>
  </si>
  <si>
    <t>Blk 143 Teck Whye Lane</t>
  </si>
  <si>
    <t>#01-239</t>
  </si>
  <si>
    <t>Khoo Med Cl &amp; Surg</t>
  </si>
  <si>
    <t>0011i000001xmkX</t>
  </si>
  <si>
    <t>0011i000001xmmK</t>
  </si>
  <si>
    <t>0011i000001xnSw</t>
  </si>
  <si>
    <t>0011i000001xnY5</t>
  </si>
  <si>
    <t>Department of Pathology</t>
  </si>
  <si>
    <t>0011i000001xnbd</t>
  </si>
  <si>
    <t>0011i000001xnbh</t>
  </si>
  <si>
    <t>0011i000001xmmL</t>
  </si>
  <si>
    <t>0011i000001xmt7</t>
  </si>
  <si>
    <t>0011i000001xn9x</t>
  </si>
  <si>
    <t>0011i000001xnG4</t>
  </si>
  <si>
    <t>0011i000001xopb</t>
  </si>
  <si>
    <t>Khor Clinic &amp; Surgery</t>
  </si>
  <si>
    <t>424 Bt Batok West Ave 2</t>
  </si>
  <si>
    <t>#01-237</t>
  </si>
  <si>
    <t>650424</t>
  </si>
  <si>
    <t>0011i000001xnr3</t>
  </si>
  <si>
    <t>0011i000007DNM8</t>
  </si>
  <si>
    <t>0011i000001xoQX</t>
  </si>
  <si>
    <t>0011i000001xnHR</t>
  </si>
  <si>
    <t>0011i000001xoCM</t>
  </si>
  <si>
    <t>The Harley Street Clinic</t>
  </si>
  <si>
    <t>Gleneagles Hospital Annexe Block</t>
  </si>
  <si>
    <t>6A Napier Road #02-38/41</t>
  </si>
  <si>
    <t>0011i000001xoKo</t>
  </si>
  <si>
    <t>0011i00000FF7Qd</t>
  </si>
  <si>
    <t>0011i000001xopi</t>
  </si>
  <si>
    <t>0011i000001xmfL</t>
  </si>
  <si>
    <t>Blk 416 Ang Mo Kio Ave 10</t>
  </si>
  <si>
    <t>#01-975</t>
  </si>
  <si>
    <t>560416</t>
  </si>
  <si>
    <t>0011i000001xmmr</t>
  </si>
  <si>
    <t>Blk 66 Toa Payoh Lor 6</t>
  </si>
  <si>
    <t>310064</t>
  </si>
  <si>
    <t>0011i000001xmiX</t>
  </si>
  <si>
    <t>Blk 71 Seng Poh Road</t>
  </si>
  <si>
    <t>200276</t>
  </si>
  <si>
    <t>160071</t>
  </si>
  <si>
    <t>0011i000001xngU</t>
  </si>
  <si>
    <t>0011i000001xnNM</t>
  </si>
  <si>
    <t>59A Serangoon Garden Way</t>
  </si>
  <si>
    <t>202521</t>
  </si>
  <si>
    <t>555955</t>
  </si>
  <si>
    <t>0011i000001xmvO</t>
  </si>
  <si>
    <t>Blk 803 King George's Avenue</t>
  </si>
  <si>
    <t>201421</t>
  </si>
  <si>
    <t>200803</t>
  </si>
  <si>
    <t>0011i00000ufvLi</t>
  </si>
  <si>
    <t>352 Clementi Ave 2</t>
  </si>
  <si>
    <t>#01-103</t>
  </si>
  <si>
    <t>0011i000001xnuG</t>
  </si>
  <si>
    <t>0011i000001xopl</t>
  </si>
  <si>
    <t>East Coast Family Clinic</t>
  </si>
  <si>
    <t>0011i000001xopn</t>
  </si>
  <si>
    <t>Funan Clinic</t>
  </si>
  <si>
    <t>5 Coleman Street #03-20/21</t>
  </si>
  <si>
    <t>0011i000001xmhm</t>
  </si>
  <si>
    <t>0011i000001xmez</t>
  </si>
  <si>
    <t>38 Irrawaddy Road #10-28</t>
  </si>
  <si>
    <t>0011i000001xmbN</t>
  </si>
  <si>
    <t>Blk 284 Bishan Street 22</t>
  </si>
  <si>
    <t>#01-209</t>
  </si>
  <si>
    <t>201219</t>
  </si>
  <si>
    <t>570284</t>
  </si>
  <si>
    <t>0011i000001xndF</t>
  </si>
  <si>
    <t>56 New Upper Changi Road</t>
  </si>
  <si>
    <t>#01-1324</t>
  </si>
  <si>
    <t>461056</t>
  </si>
  <si>
    <t>0011i000001xnE3</t>
  </si>
  <si>
    <t>#03-18 Gleneagles Medical Centre</t>
  </si>
  <si>
    <t>200429</t>
  </si>
  <si>
    <t>0011i000001xmiO</t>
  </si>
  <si>
    <t>#02-18 Clifford Centre</t>
  </si>
  <si>
    <t>201581</t>
  </si>
  <si>
    <t>0011i000001xncJ</t>
  </si>
  <si>
    <t>6 Kensington Park Road</t>
  </si>
  <si>
    <t>Off Serangoon Garden Estate</t>
  </si>
  <si>
    <t>200302</t>
  </si>
  <si>
    <t>557258</t>
  </si>
  <si>
    <t>0011i000001xokd</t>
  </si>
  <si>
    <t>0011i000001xnAD</t>
  </si>
  <si>
    <t>18 Upper Boon Keng Road</t>
  </si>
  <si>
    <t>#01-1133</t>
  </si>
  <si>
    <t>380018</t>
  </si>
  <si>
    <t>0011i000001xopw</t>
  </si>
  <si>
    <t>Koh Clinic &amp; Surgery</t>
  </si>
  <si>
    <t>Blk 166 Bt Batok West Ave 8</t>
  </si>
  <si>
    <t>650166</t>
  </si>
  <si>
    <t>0011i000001xoJN</t>
  </si>
  <si>
    <t>Family Life Clinic</t>
  </si>
  <si>
    <t>727 Clementi West Street 2</t>
  </si>
  <si>
    <t>0011i000001xoq3</t>
  </si>
  <si>
    <t>W Koh Clinic</t>
  </si>
  <si>
    <t>Block 4 Everton Park</t>
  </si>
  <si>
    <t>#01-44</t>
  </si>
  <si>
    <t>200285</t>
  </si>
  <si>
    <t>80004</t>
  </si>
  <si>
    <t>0011i00000Eh4YG</t>
  </si>
  <si>
    <t>0011i000001xnxn</t>
  </si>
  <si>
    <t>T P Sim Family Clinic &amp; Surgery</t>
  </si>
  <si>
    <t>Blk 509 Bishan Street 11</t>
  </si>
  <si>
    <t>#01-378</t>
  </si>
  <si>
    <t>570509</t>
  </si>
  <si>
    <t>0011i00000FGud6</t>
  </si>
  <si>
    <t>0011i000007EVHk</t>
  </si>
  <si>
    <t>0011i000001xoqf</t>
  </si>
  <si>
    <t>Elisa Koh Clinic &amp; Surgery for Women</t>
  </si>
  <si>
    <t>0011i000001xoqB</t>
  </si>
  <si>
    <t>Chungkiaw Clinic</t>
  </si>
  <si>
    <t>0011i000001xoQ4</t>
  </si>
  <si>
    <t>0011i000001xoqD</t>
  </si>
  <si>
    <t>0011i000001xoqF</t>
  </si>
  <si>
    <t>Teck Ghee Clinic</t>
  </si>
  <si>
    <t>451 Ang Mo Kio Ave 10</t>
  </si>
  <si>
    <t>#01-1765</t>
  </si>
  <si>
    <t>200787</t>
  </si>
  <si>
    <t>560451</t>
  </si>
  <si>
    <t>0011i000001xoqH</t>
  </si>
  <si>
    <t>Citizen Family Clinic &amp; Surgery</t>
  </si>
  <si>
    <t>0011i000007E9yj</t>
  </si>
  <si>
    <t>0011i000007E9ye</t>
  </si>
  <si>
    <t>0011i000007E9yZ</t>
  </si>
  <si>
    <t>0011i00000wTa4z</t>
  </si>
  <si>
    <t>0011i000001xor1</t>
  </si>
  <si>
    <t>Healthway Medical Group (Tampines)</t>
  </si>
  <si>
    <t>503 Tampines Central 1</t>
  </si>
  <si>
    <t>0011i000001xolr</t>
  </si>
  <si>
    <t>One Care Medical</t>
  </si>
  <si>
    <t>Blk 104 Hougang Avenue 1</t>
  </si>
  <si>
    <t>#01-1125</t>
  </si>
  <si>
    <t>530104</t>
  </si>
  <si>
    <t>0011i000001xokK</t>
  </si>
  <si>
    <t>0011i00000Xf1HV</t>
  </si>
  <si>
    <t>0011i000001xohw</t>
  </si>
  <si>
    <t>0011i000001xoa4</t>
  </si>
  <si>
    <t>0011i000002IdAI</t>
  </si>
  <si>
    <t>0011i000001xoqS</t>
  </si>
  <si>
    <t>152 Serangoon North Ave 1</t>
  </si>
  <si>
    <t>0011i000001xoqU</t>
  </si>
  <si>
    <t>Toa Payoh North Clinic &amp; Surgery</t>
  </si>
  <si>
    <t>Blk 203 Toa Payoh North</t>
  </si>
  <si>
    <t>#01-1111</t>
  </si>
  <si>
    <t>201290</t>
  </si>
  <si>
    <t>310203</t>
  </si>
  <si>
    <t>0011i000001xngw</t>
  </si>
  <si>
    <t>Q &amp; M Medical Clinic</t>
  </si>
  <si>
    <t>Blk 151 Bukit Batok Street 11l</t>
  </si>
  <si>
    <t>0011i000001xnkn</t>
  </si>
  <si>
    <t>0011i000001xoqW</t>
  </si>
  <si>
    <t>The Heart Clinic</t>
  </si>
  <si>
    <t>#13-15 Mount Elizabeth Medical Centre</t>
  </si>
  <si>
    <t>202458</t>
  </si>
  <si>
    <t>0011i000001xoec</t>
  </si>
  <si>
    <t>Orthopaedics Surgery</t>
  </si>
  <si>
    <t>0011i000001xoqc</t>
  </si>
  <si>
    <t>Bukit Timah Nam Sang Clinic</t>
  </si>
  <si>
    <t>80 Jalan Jurong Kechil</t>
  </si>
  <si>
    <t>200047</t>
  </si>
  <si>
    <t>598591</t>
  </si>
  <si>
    <t>0011i000001xoqe</t>
  </si>
  <si>
    <t>T L Koh Clinic &amp; Surgery</t>
  </si>
  <si>
    <t>Blk 327 Hougang Ave 5</t>
  </si>
  <si>
    <t>#01-178</t>
  </si>
  <si>
    <t>200284</t>
  </si>
  <si>
    <t>530327</t>
  </si>
  <si>
    <t>0011i000001xo2N</t>
  </si>
  <si>
    <t>HealthTrends Family Clinic</t>
  </si>
  <si>
    <t>0011i000001xoqg</t>
  </si>
  <si>
    <t>Yio Chu Kang MRT Clinic Pte Ltd</t>
  </si>
  <si>
    <t>Blk 635 Ang Mo Kio Ave 6</t>
  </si>
  <si>
    <t>#01-5125</t>
  </si>
  <si>
    <t>200140</t>
  </si>
  <si>
    <t>560635</t>
  </si>
  <si>
    <t>0011i000001xo9d</t>
  </si>
  <si>
    <t>Balmoral Family Clinic &amp; Surgery</t>
  </si>
  <si>
    <t>0011i000001xoOp</t>
  </si>
  <si>
    <t>Lee Medical Associates</t>
  </si>
  <si>
    <t>0011i000001xoqj</t>
  </si>
  <si>
    <t>The Chungkiaw Family Practice</t>
  </si>
  <si>
    <t>AMK Thye Hua Kuan Gospital</t>
  </si>
  <si>
    <t>12 Ang Mo Kio Ave #01-06</t>
  </si>
  <si>
    <t>0011i000001xoPm</t>
  </si>
  <si>
    <t>253 Holland Avenue</t>
  </si>
  <si>
    <t>0011i000001xn8l</t>
  </si>
  <si>
    <t>Blk 8 Toa Payoh Lorong 7</t>
  </si>
  <si>
    <t>#01-301</t>
  </si>
  <si>
    <t>201353</t>
  </si>
  <si>
    <t>310008</t>
  </si>
  <si>
    <t>0011i000005Icvv</t>
  </si>
  <si>
    <t>0011i000001xoqn</t>
  </si>
  <si>
    <t>C Y Kok Clinic &amp; Surgery</t>
  </si>
  <si>
    <t>#01-562</t>
  </si>
  <si>
    <t>200286</t>
  </si>
  <si>
    <t>0011i00000llqpz</t>
  </si>
  <si>
    <t>0011i00000mIYgV</t>
  </si>
  <si>
    <t>0011i000001xoqv</t>
  </si>
  <si>
    <t>Joyspring Family Clinic</t>
  </si>
  <si>
    <t>0011i000001xoLO</t>
  </si>
  <si>
    <t>0011i000001xo2U</t>
  </si>
  <si>
    <t>HL Kong Medical Oncology Centre</t>
  </si>
  <si>
    <t>0011i000001xokX</t>
  </si>
  <si>
    <t>0011i000001xnsW</t>
  </si>
  <si>
    <t>0011i000001xoYd</t>
  </si>
  <si>
    <t>King's Medical Clinic</t>
  </si>
  <si>
    <t>0011i000001xor2</t>
  </si>
  <si>
    <t>Kong Clinic &amp; Surgery</t>
  </si>
  <si>
    <t>Blk 293 Yishun Street 22</t>
  </si>
  <si>
    <t>#01-223</t>
  </si>
  <si>
    <t>200287</t>
  </si>
  <si>
    <t>760293</t>
  </si>
  <si>
    <t>0011i000001xor4</t>
  </si>
  <si>
    <t>Hougang Central Medical Clinic</t>
  </si>
  <si>
    <t>0011i000001xnu6</t>
  </si>
  <si>
    <t>0011i000001xnc3</t>
  </si>
  <si>
    <t>0011i000001xmqO</t>
  </si>
  <si>
    <t>0011i000001xo9e</t>
  </si>
  <si>
    <t>Koo Cardiac Clinic</t>
  </si>
  <si>
    <t>#02-15 Gleneagles Medical Centre</t>
  </si>
  <si>
    <t>201564</t>
  </si>
  <si>
    <t>0011i000001xmjz</t>
  </si>
  <si>
    <t>61 Choa Chu Kang Drive</t>
  </si>
  <si>
    <t>Yew Tee MRT Station</t>
  </si>
  <si>
    <t>202283</t>
  </si>
  <si>
    <t>0011i000001xohR</t>
  </si>
  <si>
    <t>0011i000001xoEH</t>
  </si>
  <si>
    <t>0011i000001xorH</t>
  </si>
  <si>
    <t>Kour Surgery</t>
  </si>
  <si>
    <t>3 Mt Elizabeth #16-10</t>
  </si>
  <si>
    <t>0011i000001xngM</t>
  </si>
  <si>
    <t>0011i000001xnKE</t>
  </si>
  <si>
    <t>Blk 210 Hougang Street 21</t>
  </si>
  <si>
    <t>202171</t>
  </si>
  <si>
    <t>0011i000001xn9K</t>
  </si>
  <si>
    <t>#16-17/18 Mount Elizabeth Medical Centre</t>
  </si>
  <si>
    <t>200859</t>
  </si>
  <si>
    <t>0011i000001xn32</t>
  </si>
  <si>
    <t>281 Kranji Road</t>
  </si>
  <si>
    <t>739514</t>
  </si>
  <si>
    <t>0011i000001xmfn</t>
  </si>
  <si>
    <t>Block 333 Kreta Ayer Road</t>
  </si>
  <si>
    <t>#02-14 Kreta Ayer Centre</t>
  </si>
  <si>
    <t>200290</t>
  </si>
  <si>
    <t>0011i000001xoQz</t>
  </si>
  <si>
    <t>0011i000001xmsY</t>
  </si>
  <si>
    <t>#03-04 Gleneagles Medical Centre</t>
  </si>
  <si>
    <t>202873</t>
  </si>
  <si>
    <t>0011i000001xnFw</t>
  </si>
  <si>
    <t>3 Mt Elizabeth #06-03</t>
  </si>
  <si>
    <t>0011i000001xorL</t>
  </si>
  <si>
    <t>Ku Kidney &amp; Medical Centre</t>
  </si>
  <si>
    <t>#09-06 Farrer Park Medical Centre</t>
  </si>
  <si>
    <t>0011i000001xosO</t>
  </si>
  <si>
    <t>0011i000001xorN</t>
  </si>
  <si>
    <t>Orchard Group Clinic</t>
  </si>
  <si>
    <t>545 Orchard Rd</t>
  </si>
  <si>
    <t>#12-04 Far East Shopping Centre</t>
  </si>
  <si>
    <t>0011i00000S2ruG</t>
  </si>
  <si>
    <t>0011i000001xn8S</t>
  </si>
  <si>
    <t>#10-04 Mount Elizabeth Medical Centre</t>
  </si>
  <si>
    <t>0011i000001xnyP</t>
  </si>
  <si>
    <t>Susan Lim Surgery Pte Ltd</t>
  </si>
  <si>
    <t>#02-17/18/19 Gleneagles Medical Centre</t>
  </si>
  <si>
    <t>201546</t>
  </si>
  <si>
    <t>0011i000001xo2a</t>
  </si>
  <si>
    <t>O &amp; G Partners Clinic For Women</t>
  </si>
  <si>
    <t>#01-38 Gleneagles Hospital Annex Block</t>
  </si>
  <si>
    <t>202599</t>
  </si>
  <si>
    <t>0011i00000l5W6x</t>
  </si>
  <si>
    <t>MYDOCTOR@ADMIRALTY PTE LTD</t>
  </si>
  <si>
    <t>693 Woodlands Ave 6</t>
  </si>
  <si>
    <t>730693</t>
  </si>
  <si>
    <t>0011i000001xo9g</t>
  </si>
  <si>
    <t>0011i000001xoMS</t>
  </si>
  <si>
    <t>0011i000001xoZQ</t>
  </si>
  <si>
    <t>0011i000001xnvP</t>
  </si>
  <si>
    <t>0011i000001xnrW</t>
  </si>
  <si>
    <t>0011i000001xo9j</t>
  </si>
  <si>
    <t>Blk 30 Sembawang Drive</t>
  </si>
  <si>
    <t>#03-20</t>
  </si>
  <si>
    <t>757713</t>
  </si>
  <si>
    <t>0011i000001xorS</t>
  </si>
  <si>
    <t>Milford Medical Group</t>
  </si>
  <si>
    <t>237 Serangoon Ave 3</t>
  </si>
  <si>
    <t>200796</t>
  </si>
  <si>
    <t>550237</t>
  </si>
  <si>
    <t>0011i000001xoK8</t>
  </si>
  <si>
    <t>0011i000001xocx</t>
  </si>
  <si>
    <t>Cashew Medical</t>
  </si>
  <si>
    <t>Blk 105 Cashew Road</t>
  </si>
  <si>
    <t>202170</t>
  </si>
  <si>
    <t>679664</t>
  </si>
  <si>
    <t>0011i000001xoVZ</t>
  </si>
  <si>
    <t>Complete Healthcare Internationals Pte Ltd</t>
  </si>
  <si>
    <t>0011i000001xoOc</t>
  </si>
  <si>
    <t>0011i000001xmcy</t>
  </si>
  <si>
    <t>77 Upper East Coast Road</t>
  </si>
  <si>
    <t>#01-04 Lodge 77</t>
  </si>
  <si>
    <t>202470</t>
  </si>
  <si>
    <t>455218</t>
  </si>
  <si>
    <t>0011i000001xorV</t>
  </si>
  <si>
    <t>0011i000001xo9n</t>
  </si>
  <si>
    <t>269730</t>
  </si>
  <si>
    <t>0011i000001xodq</t>
  </si>
  <si>
    <t>0011i000001xooH</t>
  </si>
  <si>
    <t>0011i000001xot3</t>
  </si>
  <si>
    <t>0011i00000ugBFq</t>
  </si>
  <si>
    <t>0011i000001xorc</t>
  </si>
  <si>
    <t>Bukit Batok Medical Clinic</t>
  </si>
  <si>
    <t>0011i000001xnis</t>
  </si>
  <si>
    <t>0011i000001xoaZ</t>
  </si>
  <si>
    <t>The Medical Centre Clinic</t>
  </si>
  <si>
    <t>16 Raffles Quay</t>
  </si>
  <si>
    <t>#B1-15 Hong Leong Building</t>
  </si>
  <si>
    <t>200377</t>
  </si>
  <si>
    <t>48581</t>
  </si>
  <si>
    <t>0011i000001xoPq</t>
  </si>
  <si>
    <t>0011i000001xo2e</t>
  </si>
  <si>
    <t>Bernard Kwok Cardiology Clinic Pte Ltd</t>
  </si>
  <si>
    <t>1 Farrer Park Station Road #07-18</t>
  </si>
  <si>
    <t>Connexion</t>
  </si>
  <si>
    <t>0011i000001xoej</t>
  </si>
  <si>
    <t>PCS Medical Centre</t>
  </si>
  <si>
    <t>100 Ayer Merbau Road</t>
  </si>
  <si>
    <t>628277</t>
  </si>
  <si>
    <t>0011i000001xoZy</t>
  </si>
  <si>
    <t>0011i000001xo4L</t>
  </si>
  <si>
    <t>0011i000001xnBv</t>
  </si>
  <si>
    <t>6 Sin Ming Road #01-07</t>
  </si>
  <si>
    <t>Sin Ming Plaza Tower 2</t>
  </si>
  <si>
    <t>No.6 Sin Ming Road</t>
  </si>
  <si>
    <t>#01-07 Sin Ming Plaza Tower 2</t>
  </si>
  <si>
    <t>201514</t>
  </si>
  <si>
    <t>0011i000001xo2f</t>
  </si>
  <si>
    <t>AP Centre for Joint Reconstruction</t>
  </si>
  <si>
    <t>38 Irrawaddy Road #10-50</t>
  </si>
  <si>
    <t>0011i000001xorl</t>
  </si>
  <si>
    <t>Ruby Medical Centre</t>
  </si>
  <si>
    <t>505 Tampines Central 1</t>
  </si>
  <si>
    <t>#01-339</t>
  </si>
  <si>
    <t>520505</t>
  </si>
  <si>
    <t>0011i000001xo2g</t>
  </si>
  <si>
    <t>A Company for Women</t>
  </si>
  <si>
    <t>202638</t>
  </si>
  <si>
    <t>0011i000001xoZX</t>
  </si>
  <si>
    <t>0011i00000FIZpk</t>
  </si>
  <si>
    <t>#04-01/02 Camden Medical Centre</t>
  </si>
  <si>
    <t>200401</t>
  </si>
  <si>
    <t>The Ming Clinic</t>
  </si>
  <si>
    <t>0011i000001xo9o</t>
  </si>
  <si>
    <t>My Family Clinic (Jurong West Ext)</t>
  </si>
  <si>
    <t>Blk 762 Jurong West St 75</t>
  </si>
  <si>
    <t>#02-262 Gek Poh Shopping Centre</t>
  </si>
  <si>
    <t>805374</t>
  </si>
  <si>
    <t>0011i000001xoPJ</t>
  </si>
  <si>
    <t>0011i000001xors</t>
  </si>
  <si>
    <t>Lai Medical Clinic</t>
  </si>
  <si>
    <t>213 Bukit Batok Street 21</t>
  </si>
  <si>
    <t>650213</t>
  </si>
  <si>
    <t>0011i000001xnjo</t>
  </si>
  <si>
    <t>0011i000001xoSO</t>
  </si>
  <si>
    <t>0011i000001xooj</t>
  </si>
  <si>
    <t>Gastro Liver &amp; Surgical Centre</t>
  </si>
  <si>
    <t>0011i000001xorw</t>
  </si>
  <si>
    <t>Yishun Central Medical Clinic</t>
  </si>
  <si>
    <t>Blk 160 Yishun Street 11</t>
  </si>
  <si>
    <t>201445</t>
  </si>
  <si>
    <t>760160</t>
  </si>
  <si>
    <t>0011i00000rasjQ</t>
  </si>
  <si>
    <t>0011i000001xnpV</t>
  </si>
  <si>
    <t>0011i000001xory</t>
  </si>
  <si>
    <t>Healthway Medical Centre</t>
  </si>
  <si>
    <t>Blk 417 Yishun Ave 11</t>
  </si>
  <si>
    <t>201286</t>
  </si>
  <si>
    <t>760417</t>
  </si>
  <si>
    <t>0011i000001xnW4</t>
  </si>
  <si>
    <t>1 Park Road #01-13</t>
  </si>
  <si>
    <t>People's Park Complex</t>
  </si>
  <si>
    <t>200293</t>
  </si>
  <si>
    <t>0011i000001xmvj</t>
  </si>
  <si>
    <t>3 Mount Elizabeth #05-06</t>
  </si>
  <si>
    <t>0011i000001xnLG</t>
  </si>
  <si>
    <t>0011i000001xoHB</t>
  </si>
  <si>
    <t>0011i00000ULbZb</t>
  </si>
  <si>
    <t>0011i000001xoVW</t>
  </si>
  <si>
    <t>0011i00000Xf1Gw</t>
  </si>
  <si>
    <t>0011i000001xosE</t>
  </si>
  <si>
    <t>0011i000001xoAl</t>
  </si>
  <si>
    <t>0011i000001xo2k</t>
  </si>
  <si>
    <t>Infection &amp; Vaccination Consultants</t>
  </si>
  <si>
    <t>0011i000001xos6</t>
  </si>
  <si>
    <t>6-10 Clinic &amp; SUrgery</t>
  </si>
  <si>
    <t>0011i000001xo42</t>
  </si>
  <si>
    <t>0011i000001xosB</t>
  </si>
  <si>
    <t>Dialysis Centre-Youngberg</t>
  </si>
  <si>
    <t>0011i00000FGudB</t>
  </si>
  <si>
    <t>0011i000001xosF</t>
  </si>
  <si>
    <t>J J Clinic &amp; Surgery</t>
  </si>
  <si>
    <t>Blk 107 Ang Mo Kio Ave 4</t>
  </si>
  <si>
    <t>#01-150</t>
  </si>
  <si>
    <t>201469</t>
  </si>
  <si>
    <t>560107</t>
  </si>
  <si>
    <t>0011i000001xo74</t>
  </si>
  <si>
    <t>0011i000001xoZ1</t>
  </si>
  <si>
    <t>Street 21 Clinic (Tampines)</t>
  </si>
  <si>
    <t>Blk 201B Tampines Street 21</t>
  </si>
  <si>
    <t>#02-1097</t>
  </si>
  <si>
    <t>0011i000001xosK</t>
  </si>
  <si>
    <t>Ear, Nose &amp; Throat Centre</t>
  </si>
  <si>
    <t>#14-11 Mount Elizabeth Medical Centre</t>
  </si>
  <si>
    <t>0011i000001xoaq</t>
  </si>
  <si>
    <t>0011i000001xooD</t>
  </si>
  <si>
    <t>0011i000001xoCV</t>
  </si>
  <si>
    <t>Silver Cross Healthcare Pte Ltd</t>
  </si>
  <si>
    <t>Blk 452 Ang Mo Kio Ave 8</t>
  </si>
  <si>
    <t>202266</t>
  </si>
  <si>
    <t>0011i000001xoeE</t>
  </si>
  <si>
    <t>0011i000001xohc</t>
  </si>
  <si>
    <t>0011i000001xoMV</t>
  </si>
  <si>
    <t>Blk 476 Tampines St.44</t>
  </si>
  <si>
    <t>0011i000001xo2m</t>
  </si>
  <si>
    <t>LD Heart Clinic</t>
  </si>
  <si>
    <t>#03-37A Gleneagles Hospital Annexe Block</t>
  </si>
  <si>
    <t>202257</t>
  </si>
  <si>
    <t>0011i000001xosS</t>
  </si>
  <si>
    <t>K N Lau Clinic</t>
  </si>
  <si>
    <t>0011i000001xonc</t>
  </si>
  <si>
    <t>0011i00000ugAlg</t>
  </si>
  <si>
    <t>0011i00000oXwHS</t>
  </si>
  <si>
    <t>0011i000001xnnF</t>
  </si>
  <si>
    <t>0011i000001xoaK</t>
  </si>
  <si>
    <t>Thean Clinic</t>
  </si>
  <si>
    <t>Blk 38 Beo Crescent</t>
  </si>
  <si>
    <t>#01-32</t>
  </si>
  <si>
    <t>200613</t>
  </si>
  <si>
    <t>160038</t>
  </si>
  <si>
    <t>0011i000001xoEU</t>
  </si>
  <si>
    <t>0011i000001xoW4</t>
  </si>
  <si>
    <t>0011i000001xn9z</t>
  </si>
  <si>
    <t>370 Tanjong Katong Road</t>
  </si>
  <si>
    <t>201061</t>
  </si>
  <si>
    <t>437127</t>
  </si>
  <si>
    <t>0011i000001xnWf</t>
  </si>
  <si>
    <t>#01-186</t>
  </si>
  <si>
    <t>0011i000002Id9r</t>
  </si>
  <si>
    <t>0011i000001xnmR</t>
  </si>
  <si>
    <t>0011i000001xmkl</t>
  </si>
  <si>
    <t>0011i000001xo2p</t>
  </si>
  <si>
    <t>0011i000001xoln</t>
  </si>
  <si>
    <t>Lifeline Fernvale Family Clinic</t>
  </si>
  <si>
    <t>Blk 405C Fernvale Lane</t>
  </si>
  <si>
    <t>793405</t>
  </si>
  <si>
    <t>0011i000002IdA6</t>
  </si>
  <si>
    <t>0011i000001xoeg</t>
  </si>
  <si>
    <t>The Psychological Wellness Centre</t>
  </si>
  <si>
    <t>101 Irrawady Road #13-07</t>
  </si>
  <si>
    <t>0011i000001xosk</t>
  </si>
  <si>
    <t>#02-01 Coronation Shopping Plaza</t>
  </si>
  <si>
    <t>201496</t>
  </si>
  <si>
    <t>0011i000001xosm</t>
  </si>
  <si>
    <t>Lifecare Family Clinic &amp; Surgery</t>
  </si>
  <si>
    <t>#01-133</t>
  </si>
  <si>
    <t>201251</t>
  </si>
  <si>
    <t>0011i000001xoso</t>
  </si>
  <si>
    <t>0011i000007DbWN</t>
  </si>
  <si>
    <t>0011i000001xosr</t>
  </si>
  <si>
    <t>Boon Lay Corporation Clinic Pte Ltd</t>
  </si>
  <si>
    <t>Blk 350 Jurong East Ave 1</t>
  </si>
  <si>
    <t>#01-1225</t>
  </si>
  <si>
    <t>600350</t>
  </si>
  <si>
    <t>0011i000001xoss</t>
  </si>
  <si>
    <t>0011i000001xost</t>
  </si>
  <si>
    <t>Cardiac Centre International</t>
  </si>
  <si>
    <t>0011i000001xo2r</t>
  </si>
  <si>
    <t>Department of Rehabilitation</t>
  </si>
  <si>
    <t>0011i000001xo2u</t>
  </si>
  <si>
    <t>Department of Infectious Disease</t>
  </si>
  <si>
    <t>0011i000001xnmJ</t>
  </si>
  <si>
    <t>Marilyn Lee Endocrine &amp; Medical Clinic</t>
  </si>
  <si>
    <t>38 Irrawaddy Road #06-51/52</t>
  </si>
  <si>
    <t>0011i000001xoRH</t>
  </si>
  <si>
    <t>Mediline Healthplus</t>
  </si>
  <si>
    <t>Blk 81 Marine Parade Central</t>
  </si>
  <si>
    <t>#01-634</t>
  </si>
  <si>
    <t>440081</t>
  </si>
  <si>
    <t>0011i000001xot6</t>
  </si>
  <si>
    <t>My Family Clinic</t>
  </si>
  <si>
    <t>2 St George's Road</t>
  </si>
  <si>
    <t>200798</t>
  </si>
  <si>
    <t>328023</t>
  </si>
  <si>
    <t>0011i000001xotB</t>
  </si>
  <si>
    <t>Cardiovascular Surgery</t>
  </si>
  <si>
    <t>0011i000001xo2v</t>
  </si>
  <si>
    <t>Lee Chung Horn Diabetes &amp; Endocrinology</t>
  </si>
  <si>
    <t>#09-17 Gleneagles Medical Centre</t>
  </si>
  <si>
    <t>202322</t>
  </si>
  <si>
    <t>0011i000001xo2w</t>
  </si>
  <si>
    <t>0011i00000Xf1HW</t>
  </si>
  <si>
    <t>0011i000001xooa</t>
  </si>
  <si>
    <t>0011i00000Q3ReJ</t>
  </si>
  <si>
    <t>0011i000001xoki</t>
  </si>
  <si>
    <t>0011i000001xoNj</t>
  </si>
  <si>
    <t>Better Life Psych Med Clinic</t>
  </si>
  <si>
    <t>0011i000001xol1</t>
  </si>
  <si>
    <t>0011i000001xotI</t>
  </si>
  <si>
    <t>Lee Clinic &amp; Surgery</t>
  </si>
  <si>
    <t>505 Ang Mo Kio Ave 8</t>
  </si>
  <si>
    <t>#01-2684</t>
  </si>
  <si>
    <t>560505</t>
  </si>
  <si>
    <t>0011i00000ugBF7</t>
  </si>
  <si>
    <t>0011i000001xoUq</t>
  </si>
  <si>
    <t>0011i000001xo2x</t>
  </si>
  <si>
    <t>Jo-Lin Family Clinic &amp; Surgery</t>
  </si>
  <si>
    <t>0011i00000Xf1Gy</t>
  </si>
  <si>
    <t>0011i000001xodo</t>
  </si>
  <si>
    <t>Life Spine &amp; Orthopaedics</t>
  </si>
  <si>
    <t>38 Irrawaddy Road #08-41</t>
  </si>
  <si>
    <t>Mt Elizabeth Novena Spec Med Ctr</t>
  </si>
  <si>
    <t>329+9563</t>
  </si>
  <si>
    <t>0011i000001xoHg</t>
  </si>
  <si>
    <t>0011i000001xoNo</t>
  </si>
  <si>
    <t>0011i000001xoCT</t>
  </si>
  <si>
    <t>0011i000001xotT</t>
  </si>
  <si>
    <t>Northland Family Cl. &amp; Surgery</t>
  </si>
  <si>
    <t>Blk 640 Yishun Street 61</t>
  </si>
  <si>
    <t>#01-198</t>
  </si>
  <si>
    <t>201442</t>
  </si>
  <si>
    <t>760640</t>
  </si>
  <si>
    <t>0011i000001xosw</t>
  </si>
  <si>
    <t>0011i000001xoYP</t>
  </si>
  <si>
    <t>0011i00000tVKNU</t>
  </si>
  <si>
    <t>Paddington Medical</t>
  </si>
  <si>
    <t>300</t>
  </si>
  <si>
    <t>Bedok Road</t>
  </si>
  <si>
    <t>469457</t>
  </si>
  <si>
    <t>0011i000001xoaf</t>
  </si>
  <si>
    <t>0011i000001xor0</t>
  </si>
  <si>
    <t>Q&amp;M Medical Group</t>
  </si>
  <si>
    <t>Blk 262 Serangoon Central Drive</t>
  </si>
  <si>
    <t>550262</t>
  </si>
  <si>
    <t>0011i000001xnmS</t>
  </si>
  <si>
    <t>0011i000001xotX</t>
  </si>
  <si>
    <t>Blk 333  Kreta Ayer Road</t>
  </si>
  <si>
    <t>0011i000001xotb</t>
  </si>
  <si>
    <t>Dr Lee Keen Whye</t>
  </si>
  <si>
    <t>0011i000001xofD</t>
  </si>
  <si>
    <t>0011i000001xotf</t>
  </si>
  <si>
    <t>0011i000001xoth</t>
  </si>
  <si>
    <t>KH Lee Neurological Surgery</t>
  </si>
  <si>
    <t>#09-10 Gleneagles Medical Centre</t>
  </si>
  <si>
    <t>201712</t>
  </si>
  <si>
    <t>0011i000001xotj</t>
  </si>
  <si>
    <t>The Family Doctor Clinic &amp; Surgery</t>
  </si>
  <si>
    <t>201716</t>
  </si>
  <si>
    <t>0011i000001xoMb</t>
  </si>
  <si>
    <t>0011i000001xngc</t>
  </si>
  <si>
    <t>0011i000001xoCy</t>
  </si>
  <si>
    <t>Trinity Medical Clinic</t>
  </si>
  <si>
    <t>Blk 19A Dover Crescent</t>
  </si>
  <si>
    <t>131019</t>
  </si>
  <si>
    <t>0011i00000oYBEC</t>
  </si>
  <si>
    <t>0011i000001xoQ8</t>
  </si>
  <si>
    <t>0011i000001xoEI</t>
  </si>
  <si>
    <t>0011i000001xoH4</t>
  </si>
  <si>
    <t>0011i000001xocs</t>
  </si>
  <si>
    <t>0011i000001xnfp</t>
  </si>
  <si>
    <t>0011i000001xnvi</t>
  </si>
  <si>
    <t>Kusuma Lee Clinic &amp; Surgery For Women Pte Ltd</t>
  </si>
  <si>
    <t>#06-51 Lucky Plaza</t>
  </si>
  <si>
    <t>0011i000001xofJ</t>
  </si>
  <si>
    <t>0011i000001xotr</t>
  </si>
  <si>
    <t>S Lee Clinic</t>
  </si>
  <si>
    <t>644 Hougang Avenue 8</t>
  </si>
  <si>
    <t>#01-265</t>
  </si>
  <si>
    <t>530644</t>
  </si>
  <si>
    <t>0011i000001xoBC</t>
  </si>
  <si>
    <t>0011i000001xoNw</t>
  </si>
  <si>
    <t>0011i00000Q2V7t</t>
  </si>
  <si>
    <t>0011i000001xoFB</t>
  </si>
  <si>
    <t>10 Woodlands  Street 21</t>
  </si>
  <si>
    <t>400145</t>
  </si>
  <si>
    <t>0011i000001xotz</t>
  </si>
  <si>
    <t>Kang An Clinic Pte Ltd</t>
  </si>
  <si>
    <t>0011i00000YUxi1</t>
  </si>
  <si>
    <t>200642</t>
  </si>
  <si>
    <t>0011i000001xoSd</t>
  </si>
  <si>
    <t>0011i000001xoB8</t>
  </si>
  <si>
    <t>0011i000001xocw</t>
  </si>
  <si>
    <t>River of Life Family Clinic</t>
  </si>
  <si>
    <t>26 Teck Whye Lane</t>
  </si>
  <si>
    <t>#01-190</t>
  </si>
  <si>
    <t>202246</t>
  </si>
  <si>
    <t>680026</t>
  </si>
  <si>
    <t>0011i000001xo35</t>
  </si>
  <si>
    <t>0011i000001xnvj</t>
  </si>
  <si>
    <t>0011i000001xoHb</t>
  </si>
  <si>
    <t>200 Uppper Thomson Road</t>
  </si>
  <si>
    <t>0011i000001xnxN</t>
  </si>
  <si>
    <t>Orthopaedic Associates</t>
  </si>
  <si>
    <t>#16-03/04 Mount Elizabeth Medical Centre</t>
  </si>
  <si>
    <t>200450</t>
  </si>
  <si>
    <t>0011i000001xoYt</t>
  </si>
  <si>
    <t>Intergrated Medicine Clinic</t>
  </si>
  <si>
    <t>0011i000002IdA0</t>
  </si>
  <si>
    <t>Family Doctors @ 365</t>
  </si>
  <si>
    <t>0011i000001xnnf</t>
  </si>
  <si>
    <t>0011i000007E9ws</t>
  </si>
  <si>
    <t>0011i000001xoai</t>
  </si>
  <si>
    <t>0011i00000pb5JS</t>
  </si>
  <si>
    <t>0011i000001xnjA</t>
  </si>
  <si>
    <t>Shenton Family Medical Clinic (Tampines)</t>
  </si>
  <si>
    <t>#01-1137</t>
  </si>
  <si>
    <t>0011i000001xoLV</t>
  </si>
  <si>
    <t>0011i000001xnh2</t>
  </si>
  <si>
    <t>0011i00000X9NcH</t>
  </si>
  <si>
    <t>Surgical Associates</t>
  </si>
  <si>
    <t>#08-03 Mount Elizabeth Medical Centre</t>
  </si>
  <si>
    <t>0011i000001xolb</t>
  </si>
  <si>
    <t>0011i000001xngt</t>
  </si>
  <si>
    <t>0011i000001xoGA</t>
  </si>
  <si>
    <t>Lee Family Clinic Pte Ltd</t>
  </si>
  <si>
    <t>203345</t>
  </si>
  <si>
    <t>0011i00000Xf1HX</t>
  </si>
  <si>
    <t>0011i000001xngz</t>
  </si>
  <si>
    <t>Medicare Associates Clinic &amp; Surgery</t>
  </si>
  <si>
    <t>Block 107 Serangoon North Avenue 1</t>
  </si>
  <si>
    <t>#01-679</t>
  </si>
  <si>
    <t>201256</t>
  </si>
  <si>
    <t>550107</t>
  </si>
  <si>
    <t>0011i000001xoMM</t>
  </si>
  <si>
    <t>0011i000001xnh1</t>
  </si>
  <si>
    <t>St George's Clinic &amp; Surgery</t>
  </si>
  <si>
    <t>Blk 3 St George's Road</t>
  </si>
  <si>
    <t>#01-105</t>
  </si>
  <si>
    <t>320003</t>
  </si>
  <si>
    <t>0011i000001xnh5</t>
  </si>
  <si>
    <t>Grace Lee Clinic</t>
  </si>
  <si>
    <t>0011i000001xoS6</t>
  </si>
  <si>
    <t>18 Clinic</t>
  </si>
  <si>
    <t>0011i000001xoMH</t>
  </si>
  <si>
    <t>0011i000001xoEe</t>
  </si>
  <si>
    <t>Department of Dermatology</t>
  </si>
  <si>
    <t>0011i000001xoVR</t>
  </si>
  <si>
    <t>TLC Medical Practice</t>
  </si>
  <si>
    <t>9 Scotts Road Pcific Plaza</t>
  </si>
  <si>
    <t>#11-04/05 Scotts Medical Center</t>
  </si>
  <si>
    <t>228210</t>
  </si>
  <si>
    <t>0011i000001xoUJ</t>
  </si>
  <si>
    <t>0011i000001xoBB</t>
  </si>
  <si>
    <t>0011i000001xo3D</t>
  </si>
  <si>
    <t>0011i000001xnw5</t>
  </si>
  <si>
    <t>Shenton Medial Group</t>
  </si>
  <si>
    <t>10 Sinaran Drive #08-17</t>
  </si>
  <si>
    <t>307500</t>
  </si>
  <si>
    <t>0011i000001xniF</t>
  </si>
  <si>
    <t>Blk 325 Clementi Avenue 5</t>
  </si>
  <si>
    <t>0011i000001xniH</t>
  </si>
  <si>
    <t>0011i000001xorh</t>
  </si>
  <si>
    <t>Wen &amp; Weng Family Clinic</t>
  </si>
  <si>
    <t>Blk 505 Canberra Link</t>
  </si>
  <si>
    <t>750505</t>
  </si>
  <si>
    <t>0011i000001xoQY</t>
  </si>
  <si>
    <t>0011i000001xniN</t>
  </si>
  <si>
    <t>Vagus Specialist &amp; Family Clinic</t>
  </si>
  <si>
    <t>30 Woodlands Ave 1</t>
  </si>
  <si>
    <t>#02-03/04 The Woodgrove</t>
  </si>
  <si>
    <t>201990</t>
  </si>
  <si>
    <t>739065</t>
  </si>
  <si>
    <t>0011i000001xoBF</t>
  </si>
  <si>
    <t>Merlion Clinic</t>
  </si>
  <si>
    <t>21 Ghin Moh Road</t>
  </si>
  <si>
    <t>#01-149</t>
  </si>
  <si>
    <t>0011i000001xnv8</t>
  </si>
  <si>
    <t>0011i000002IdAQ</t>
  </si>
  <si>
    <t>Dr Warren Lee's Paediatrics &amp; Diabetic Centre</t>
  </si>
  <si>
    <t>1 Orchard Boulevard #02-06</t>
  </si>
  <si>
    <t>0011i000001xniP</t>
  </si>
  <si>
    <t>Picton Medical Centre</t>
  </si>
  <si>
    <t>Blk 163 Toa Payoh Lorong 1</t>
  </si>
  <si>
    <t>#01-1014</t>
  </si>
  <si>
    <t>201303</t>
  </si>
  <si>
    <t>0011i000001xoBG</t>
  </si>
  <si>
    <t>Lifecare Medical Centre</t>
  </si>
  <si>
    <t>36 Circuit Road</t>
  </si>
  <si>
    <t>370036</t>
  </si>
  <si>
    <t>0011i00000oYBFt</t>
  </si>
  <si>
    <t>0011i000001xodz</t>
  </si>
  <si>
    <t>Orthopaedic Clinic</t>
  </si>
  <si>
    <t>#05-07/08 Mount Elizabeth Medical Centre</t>
  </si>
  <si>
    <t>200451</t>
  </si>
  <si>
    <t>0011i000001xogJ</t>
  </si>
  <si>
    <t>0011i000001xolp</t>
  </si>
  <si>
    <t>One Care Clinic</t>
  </si>
  <si>
    <t>0011i000001xnj5</t>
  </si>
  <si>
    <t>1 Jurong West Central 2 #01-40/41/42</t>
  </si>
  <si>
    <t>0011i000001xo3q</t>
  </si>
  <si>
    <t>0011i000001xoWx</t>
  </si>
  <si>
    <t>0011i000001xniQ</t>
  </si>
  <si>
    <t>Yap Medicare Clinic &amp; Surgery</t>
  </si>
  <si>
    <t>Blk 8 Empress Road</t>
  </si>
  <si>
    <t>260008</t>
  </si>
  <si>
    <t>0011i00000Xf1IM</t>
  </si>
  <si>
    <t>Parkway Cancer Centre.</t>
  </si>
  <si>
    <t>6A Napier Road Level 2</t>
  </si>
  <si>
    <t>0011i000001xmrn</t>
  </si>
  <si>
    <t>Blk 359 Bukit Batok Street 31</t>
  </si>
  <si>
    <t>201802</t>
  </si>
  <si>
    <t>650359</t>
  </si>
  <si>
    <t>0011i000001xnBP</t>
  </si>
  <si>
    <t>Blk 72 Circuit Road</t>
  </si>
  <si>
    <t>201938</t>
  </si>
  <si>
    <t>370072</t>
  </si>
  <si>
    <t>0011i000001xnBa</t>
  </si>
  <si>
    <t>0011i000001xnYG</t>
  </si>
  <si>
    <t>0011i000001xndY</t>
  </si>
  <si>
    <t>467C Joo Chiat Road</t>
  </si>
  <si>
    <t>200303</t>
  </si>
  <si>
    <t>427678</t>
  </si>
  <si>
    <t>0011i000001xn1i</t>
  </si>
  <si>
    <t>800011</t>
  </si>
  <si>
    <t>0011i000001xnOt</t>
  </si>
  <si>
    <t>0011i000001xnB1</t>
  </si>
  <si>
    <t>Blk 36 Chai Chee Avenue</t>
  </si>
  <si>
    <t>#01-159</t>
  </si>
  <si>
    <t>461036</t>
  </si>
  <si>
    <t>0011i000001xmmA</t>
  </si>
  <si>
    <t>0011i000001xnfU</t>
  </si>
  <si>
    <t>0011i000001xn8r</t>
  </si>
  <si>
    <t>182A Rivervale Crescent</t>
  </si>
  <si>
    <t>541182</t>
  </si>
  <si>
    <t>0011i00000Q2V83</t>
  </si>
  <si>
    <t>0011i000001xods</t>
  </si>
  <si>
    <t>0011i000001xooz</t>
  </si>
  <si>
    <t>0011i000001xoWU</t>
  </si>
  <si>
    <t>0011i000001xo3G</t>
  </si>
  <si>
    <t>Orthopaedics International</t>
  </si>
  <si>
    <t>#02-42 Gleneagles Medical Centre</t>
  </si>
  <si>
    <t>0011i000001xoLy</t>
  </si>
  <si>
    <t>The Associate Dispensary</t>
  </si>
  <si>
    <t>200026</t>
  </si>
  <si>
    <t>0011i000001xoXZ</t>
  </si>
  <si>
    <t>0011i000001xoGh</t>
  </si>
  <si>
    <t>0011i000001xoEC</t>
  </si>
  <si>
    <t>0011i000001xoGn</t>
  </si>
  <si>
    <t>0011i000001xopS</t>
  </si>
  <si>
    <t>Shenton Medical Clinic</t>
  </si>
  <si>
    <t>11 Collyer Quay #19-01</t>
  </si>
  <si>
    <t>The Arcade</t>
  </si>
  <si>
    <t>0011i000001xohN</t>
  </si>
  <si>
    <t>0011i000001xo3M</t>
  </si>
  <si>
    <t>0011i000001xo3N</t>
  </si>
  <si>
    <t>0011i000001xnqq</t>
  </si>
  <si>
    <t>Gerard Leong Cardiology Clinic</t>
  </si>
  <si>
    <t>339 Thomson Road #05-05</t>
  </si>
  <si>
    <t>0011i000001xnij</t>
  </si>
  <si>
    <t>The Gut &amp; Liver Clinic Pte Ltd</t>
  </si>
  <si>
    <t>#05-06 Gleneagles Medical Centre</t>
  </si>
  <si>
    <t>201531</t>
  </si>
  <si>
    <t>0011i000001xo37</t>
  </si>
  <si>
    <t>Sterling Family Clinic</t>
  </si>
  <si>
    <t>Blk 84 Bedok North Street 4</t>
  </si>
  <si>
    <t>202133</t>
  </si>
  <si>
    <t>460084</t>
  </si>
  <si>
    <t>0011i000001xo3O</t>
  </si>
  <si>
    <t>0011i000001xopR</t>
  </si>
  <si>
    <t>10 Anson Road #36-01</t>
  </si>
  <si>
    <t>International Plaza</t>
  </si>
  <si>
    <t>0011i000001xobK</t>
  </si>
  <si>
    <t>0011i000001xnyQ</t>
  </si>
  <si>
    <t>Alcuns Healthcare</t>
  </si>
  <si>
    <t>3 Mt Elizabeth #12-15</t>
  </si>
  <si>
    <t>Mt Elizabeth Hospital</t>
  </si>
  <si>
    <t>0011i000001xngW</t>
  </si>
  <si>
    <t>Nobel Surgery Centre</t>
  </si>
  <si>
    <t>820 Thomson Road #05-02</t>
  </si>
  <si>
    <t>0011i000001xo3P</t>
  </si>
  <si>
    <t>Kidney And Medical Centre Pte Ltd</t>
  </si>
  <si>
    <t>6 Napier Road #03-08</t>
  </si>
  <si>
    <t>201996</t>
  </si>
  <si>
    <t>0011i000001xnip</t>
  </si>
  <si>
    <t>326 Avenue 3 Clinic</t>
  </si>
  <si>
    <t>0011i000001xnir</t>
  </si>
  <si>
    <t>Medical &amp; G E Clinic</t>
  </si>
  <si>
    <t>#13-04 Mount Elizabeth Medical Centre</t>
  </si>
  <si>
    <t>0011i00000Xf1IT</t>
  </si>
  <si>
    <t>OncoCare Cancer CTR</t>
  </si>
  <si>
    <t>3 Mount Elizabeth #17-05</t>
  </si>
  <si>
    <t>0011i000001xnit</t>
  </si>
  <si>
    <t>Henderson Clinic &amp; Surgery</t>
  </si>
  <si>
    <t>0011i000001xnjd</t>
  </si>
  <si>
    <t>0011i000001xoKZ</t>
  </si>
  <si>
    <t>Silver Cross 24 Hrs Clinic</t>
  </si>
  <si>
    <t>Block 502 Jurong West Avenue 1</t>
  </si>
  <si>
    <t>#01-803</t>
  </si>
  <si>
    <t>804475</t>
  </si>
  <si>
    <t>640502</t>
  </si>
  <si>
    <t>0011i000001xoPR</t>
  </si>
  <si>
    <t>Clinic International</t>
  </si>
  <si>
    <t>0011i00000pb5MG</t>
  </si>
  <si>
    <t>0011i000001xoBO</t>
  </si>
  <si>
    <t>0011i000001xnaJ</t>
  </si>
  <si>
    <t>63B Lengkok Bahru</t>
  </si>
  <si>
    <t>#01-366</t>
  </si>
  <si>
    <t>200315</t>
  </si>
  <si>
    <t>152063</t>
  </si>
  <si>
    <t>0011i000001xmvz</t>
  </si>
  <si>
    <t>0011i000001xmhk</t>
  </si>
  <si>
    <t>#04-18 Gleneagles Medical Centre</t>
  </si>
  <si>
    <t>201886</t>
  </si>
  <si>
    <t>0011i000001xo1Y</t>
  </si>
  <si>
    <t>0011i00000S3HHQ</t>
  </si>
  <si>
    <t>0011i000007F2pm</t>
  </si>
  <si>
    <t>0011i000001xoS7</t>
  </si>
  <si>
    <t>Jade Medical Clinic Pte Ltd</t>
  </si>
  <si>
    <t>0011i000001xoNR</t>
  </si>
  <si>
    <t>0011i000001xoh3</t>
  </si>
  <si>
    <t>38 Irrawaddy Road #07-31</t>
  </si>
  <si>
    <t>Mt Elizabeth  Novena Specilaist Centre</t>
  </si>
  <si>
    <t>0011i00000FHy0n</t>
  </si>
  <si>
    <t>0011i000001xnfV</t>
  </si>
  <si>
    <t>Ler Clinic &amp; Surgery</t>
  </si>
  <si>
    <t>835 Tampines Street 83</t>
  </si>
  <si>
    <t>520835</t>
  </si>
  <si>
    <t>0011i000006Wars</t>
  </si>
  <si>
    <t>38 Irrawaddy Road #08-51</t>
  </si>
  <si>
    <t>0011i000006WatA</t>
  </si>
  <si>
    <t>0011i000001xngk</t>
  </si>
  <si>
    <t>0011i000001xo3p</t>
  </si>
  <si>
    <t>0011i000001xokP</t>
  </si>
  <si>
    <t>0011i000001xocL</t>
  </si>
  <si>
    <t>0011i000007DbWI</t>
  </si>
  <si>
    <t>0011i000001xnje</t>
  </si>
  <si>
    <t>0011i000001xoIE</t>
  </si>
  <si>
    <t>0011i000007DNLo</t>
  </si>
  <si>
    <t>0011i000001xnj0</t>
  </si>
  <si>
    <t>Lian Clinic</t>
  </si>
  <si>
    <t>18 Marsiling Lane</t>
  </si>
  <si>
    <t>730018</t>
  </si>
  <si>
    <t>0011i000001xnjF</t>
  </si>
  <si>
    <t>200318</t>
  </si>
  <si>
    <t>0011i000001xoBP</t>
  </si>
  <si>
    <t>Anteh Dispensary</t>
  </si>
  <si>
    <t>0011i00000NSm2e</t>
  </si>
  <si>
    <t>55 Siglap Road, #B1-15/16</t>
  </si>
  <si>
    <t>Siglap Cedntre</t>
  </si>
  <si>
    <t>4557871</t>
  </si>
  <si>
    <t>0011i000001xnK3</t>
  </si>
  <si>
    <t>0011i000001xnBl</t>
  </si>
  <si>
    <t>0011i000001xnhb</t>
  </si>
  <si>
    <t>Geylang Bahru Clinic</t>
  </si>
  <si>
    <t>0011i000001xoVP</t>
  </si>
  <si>
    <t>Alpha Medical Group Pte Ltd</t>
  </si>
  <si>
    <t>0011i000001xo2n</t>
  </si>
  <si>
    <t>Nexus Surgical Associates</t>
  </si>
  <si>
    <t>3 Mount Elizabeth #08-06</t>
  </si>
  <si>
    <t>0011i000001xoee</t>
  </si>
  <si>
    <t>Clementi Family Healthpoint Clinic &amp; Surgery</t>
  </si>
  <si>
    <t>0011i000001xo3V</t>
  </si>
  <si>
    <t>0011i000007FFz2</t>
  </si>
  <si>
    <t>MY Clinic</t>
  </si>
  <si>
    <t>9 King Albert Park</t>
  </si>
  <si>
    <t>598332</t>
  </si>
  <si>
    <t>0011i000002IdAF</t>
  </si>
  <si>
    <t>0011i000001xnhg</t>
  </si>
  <si>
    <t>Lien Clinic for Women</t>
  </si>
  <si>
    <t>#05-03 Mount Elizabeth Medical Centre</t>
  </si>
  <si>
    <t>201567</t>
  </si>
  <si>
    <t>0011i000001xo3W</t>
  </si>
  <si>
    <t>0011i000001xmw3</t>
  </si>
  <si>
    <t>0011i000001xnhk</t>
  </si>
  <si>
    <t>Liew Clinic &amp; Surgery</t>
  </si>
  <si>
    <t>116 Bukit Merah View</t>
  </si>
  <si>
    <t>200323</t>
  </si>
  <si>
    <t>151116</t>
  </si>
  <si>
    <t>0011i000001xoIj</t>
  </si>
  <si>
    <t>Adult &amp; Child Psychological Wellness Ctr</t>
  </si>
  <si>
    <t>0011i000001xnho</t>
  </si>
  <si>
    <t>Liew Clinic</t>
  </si>
  <si>
    <t>5000G Marine Parade Road</t>
  </si>
  <si>
    <t>#01-31 Laguna Park</t>
  </si>
  <si>
    <t>200322</t>
  </si>
  <si>
    <t>449290</t>
  </si>
  <si>
    <t>0011i000001xnhq</t>
  </si>
  <si>
    <t>Orchard Medical Centre</t>
  </si>
  <si>
    <t>9 Penang Road #07-04</t>
  </si>
  <si>
    <t>Park Mall</t>
  </si>
  <si>
    <t>238459</t>
  </si>
  <si>
    <t>0011i000001xoBQ</t>
  </si>
  <si>
    <t>Jurong Clinic &amp; Dental Surgery</t>
  </si>
  <si>
    <t>501 Jurong  West Street 51</t>
  </si>
  <si>
    <t>0011i000001xnyJ</t>
  </si>
  <si>
    <t>0011i000001xocb</t>
  </si>
  <si>
    <t>0011i000001xo3Y</t>
  </si>
  <si>
    <t>0011i000001xoH0</t>
  </si>
  <si>
    <t>0011i000001xoX4</t>
  </si>
  <si>
    <t>Temasek Clinic &amp; Surgery</t>
  </si>
  <si>
    <t>Blk 73 Bedok South Ave 3</t>
  </si>
  <si>
    <t>#01-460</t>
  </si>
  <si>
    <t>460073</t>
  </si>
  <si>
    <t>0011i000001xoZg</t>
  </si>
  <si>
    <t>0011i000001xoHU</t>
  </si>
  <si>
    <t>0011i000001xoly</t>
  </si>
  <si>
    <t>0011i00000ugAkn</t>
  </si>
  <si>
    <t>Binjai Medical &amp; Paincare Clinic</t>
  </si>
  <si>
    <t>23</t>
  </si>
  <si>
    <t>Binjai Park</t>
  </si>
  <si>
    <t>589828</t>
  </si>
  <si>
    <t>0011i000001xnos</t>
  </si>
  <si>
    <t>0011i00000ugBBP</t>
  </si>
  <si>
    <t>0011i000001xoBT</t>
  </si>
  <si>
    <t>0011i000001xnBn</t>
  </si>
  <si>
    <t>0011i000001xmw4</t>
  </si>
  <si>
    <t>0011i000001xnbX</t>
  </si>
  <si>
    <t>0011i000001xnB9</t>
  </si>
  <si>
    <t>0011i000001xnCw</t>
  </si>
  <si>
    <t>Blk 106 Hougang Ave 1</t>
  </si>
  <si>
    <t>#01-1221</t>
  </si>
  <si>
    <t>201420</t>
  </si>
  <si>
    <t>0011i000001xmn7</t>
  </si>
  <si>
    <t>0011i000001xnDK</t>
  </si>
  <si>
    <t>Blk 713 Ang Mo Kio Ave 6</t>
  </si>
  <si>
    <t>#01-4052</t>
  </si>
  <si>
    <t>200324</t>
  </si>
  <si>
    <t>560713</t>
  </si>
  <si>
    <t>0011i000001xnDN</t>
  </si>
  <si>
    <t>0011i000001xnBt</t>
  </si>
  <si>
    <t>0011i000001xmkP</t>
  </si>
  <si>
    <t>Blk 501 Bishan Street 11</t>
  </si>
  <si>
    <t>570501</t>
  </si>
  <si>
    <t>0011i000001xmr8</t>
  </si>
  <si>
    <t>202640</t>
  </si>
  <si>
    <t>0011i000001xn7k</t>
  </si>
  <si>
    <t>0011i000001xmdY</t>
  </si>
  <si>
    <t>0011i000001xnFc</t>
  </si>
  <si>
    <t>0011i000001xnRQ</t>
  </si>
  <si>
    <t>0011i000001xnRA</t>
  </si>
  <si>
    <t>#02-18</t>
  </si>
  <si>
    <t>202134</t>
  </si>
  <si>
    <t>540115</t>
  </si>
  <si>
    <t>0011i000001xn51</t>
  </si>
  <si>
    <t>198 Punggol Field Road</t>
  </si>
  <si>
    <t>820198</t>
  </si>
  <si>
    <t>0011i000001xn2p</t>
  </si>
  <si>
    <t>#01-3615</t>
  </si>
  <si>
    <t>200920</t>
  </si>
  <si>
    <t>0011i000001xncK</t>
  </si>
  <si>
    <t>201374</t>
  </si>
  <si>
    <t>0011i000001xn3P</t>
  </si>
  <si>
    <t>0011i000001xmui</t>
  </si>
  <si>
    <t>0011i000001xmcp</t>
  </si>
  <si>
    <t>524A Jelapang Road</t>
  </si>
  <si>
    <t>#02-01 Greenridge Shopping Centre</t>
  </si>
  <si>
    <t>202247</t>
  </si>
  <si>
    <t>0011i000001xnKz</t>
  </si>
  <si>
    <t>0011i000001xmq1</t>
  </si>
  <si>
    <t>642 Bukit Batok Central</t>
  </si>
  <si>
    <t>0011i000001xmxA</t>
  </si>
  <si>
    <t>0011i000001xmx8</t>
  </si>
  <si>
    <t>0011i000001xnjH</t>
  </si>
  <si>
    <t>A.L. Lim Women's Clinic &amp; Surgery</t>
  </si>
  <si>
    <t>#05-05 Thomson Medical Centre</t>
  </si>
  <si>
    <t>200743</t>
  </si>
  <si>
    <t>0011i000001xoPD</t>
  </si>
  <si>
    <t>0011i000001xoJ5</t>
  </si>
  <si>
    <t>The Bedok Medical Centre</t>
  </si>
  <si>
    <t>Blk 18 Bedok South Road</t>
  </si>
  <si>
    <t>#01-57</t>
  </si>
  <si>
    <t>460018</t>
  </si>
  <si>
    <t>0011i000001xnjJ</t>
  </si>
  <si>
    <t>0011i000001xnjL</t>
  </si>
  <si>
    <t>B L Medical Associates</t>
  </si>
  <si>
    <t>21 Science Park Road</t>
  </si>
  <si>
    <t>#02-07 The Aquarius</t>
  </si>
  <si>
    <t>117628</t>
  </si>
  <si>
    <t>0011i000001xotU</t>
  </si>
  <si>
    <t>7 Changi Business Park Crescent</t>
  </si>
  <si>
    <t>CBP 1 Standard Chartered Bldg</t>
  </si>
  <si>
    <t>486028</t>
  </si>
  <si>
    <t>0011i000001xnxx</t>
  </si>
  <si>
    <t>0011i000001xo0E</t>
  </si>
  <si>
    <t>0011i000001xnrk</t>
  </si>
  <si>
    <t>Novo Vita Clinic &amp; Surgery</t>
  </si>
  <si>
    <t>Blk 131 Jalan Bukit Merah</t>
  </si>
  <si>
    <t>#01-1573</t>
  </si>
  <si>
    <t>201777</t>
  </si>
  <si>
    <t>160131</t>
  </si>
  <si>
    <t>0011i000001xoKN</t>
  </si>
  <si>
    <t>Dr BL Lim Ctr for Psychological Wellness</t>
  </si>
  <si>
    <t>0011i000001xopm</t>
  </si>
  <si>
    <t>0011i000001xo3f</t>
  </si>
  <si>
    <t>LP Clinic The Psychiatric Practice</t>
  </si>
  <si>
    <t>#05-01 Mount Elizabeth Medical Centre</t>
  </si>
  <si>
    <t>201799</t>
  </si>
  <si>
    <t>0011i000001xoAx</t>
  </si>
  <si>
    <t>0011i000001xnjW</t>
  </si>
  <si>
    <t>Citilife Family Clinic</t>
  </si>
  <si>
    <t>0011i000001xoY2</t>
  </si>
  <si>
    <t>0011i000001xnja</t>
  </si>
  <si>
    <t>Clinic CP Lim Pte Ltd</t>
  </si>
  <si>
    <t>0011i00000Xf1IU</t>
  </si>
  <si>
    <t>OncoCare Women's Cancer Clinic</t>
  </si>
  <si>
    <t>38 Irrawaddy Road #06-22/23</t>
  </si>
  <si>
    <t>0011i000001xnfk</t>
  </si>
  <si>
    <t>Pier Medical Centre</t>
  </si>
  <si>
    <t>Blk 725 Jurong West Avenue 5</t>
  </si>
  <si>
    <t>#B1-164</t>
  </si>
  <si>
    <t>640725</t>
  </si>
  <si>
    <t>0011i000001xocK</t>
  </si>
  <si>
    <t>E.J.Tan Clinic &amp; Surgery</t>
  </si>
  <si>
    <t>0011i000001xoGC</t>
  </si>
  <si>
    <t>Sims Drive Medical Clinic</t>
  </si>
  <si>
    <t>Blk 53 Sims Place</t>
  </si>
  <si>
    <t>201320</t>
  </si>
  <si>
    <t>380053</t>
  </si>
  <si>
    <t>0011i000001xngV</t>
  </si>
  <si>
    <t>C H Lim Cardiology Clinic</t>
  </si>
  <si>
    <t>0011i000001xou5</t>
  </si>
  <si>
    <t>0011i000001xo3g</t>
  </si>
  <si>
    <t>C S Lim Colon, Rectum &amp; General Surgery</t>
  </si>
  <si>
    <t>#07-04 Gleneagles Medical Centre</t>
  </si>
  <si>
    <t>805153</t>
  </si>
  <si>
    <t>0011i000001xoWO</t>
  </si>
  <si>
    <t>SATA Uttamaram Clinic</t>
  </si>
  <si>
    <t>351 Chai Chee Road</t>
  </si>
  <si>
    <t>100015</t>
  </si>
  <si>
    <t>468982</t>
  </si>
  <si>
    <t>0011i000001xnfw</t>
  </si>
  <si>
    <t>Lim Ear Nose &amp; Throat Surgery</t>
  </si>
  <si>
    <t>#08-17 Gleneagles Medical Centre</t>
  </si>
  <si>
    <t>201495</t>
  </si>
  <si>
    <t>0011i000001xnvS</t>
  </si>
  <si>
    <t>0011i000001xoCJ</t>
  </si>
  <si>
    <t>66 Kallang Bahru</t>
  </si>
  <si>
    <t>#01-485</t>
  </si>
  <si>
    <t>330066</t>
  </si>
  <si>
    <t>0011i000001xnfY</t>
  </si>
  <si>
    <t>The Arcadia Clinic</t>
  </si>
  <si>
    <t>2 Pandan Valley</t>
  </si>
  <si>
    <t>#01-211 Acacia Court</t>
  </si>
  <si>
    <t>201348</t>
  </si>
  <si>
    <t>597626</t>
  </si>
  <si>
    <t>0011i000001xng5</t>
  </si>
  <si>
    <t>Singapore Medical Specialist Centre</t>
  </si>
  <si>
    <t>202698</t>
  </si>
  <si>
    <t>0011i000001xoCL</t>
  </si>
  <si>
    <t>Atria Medical Associates</t>
  </si>
  <si>
    <t>0011i000001xoGJ</t>
  </si>
  <si>
    <t>0011i000001xoZF</t>
  </si>
  <si>
    <t>0011i000001xogm</t>
  </si>
  <si>
    <t>Atrio Family Clinic</t>
  </si>
  <si>
    <t>0011i00000Xf1Gn</t>
  </si>
  <si>
    <t>0011i000001xo06</t>
  </si>
  <si>
    <t>0011i000001xngd</t>
  </si>
  <si>
    <t>F K Lim Family Clinic</t>
  </si>
  <si>
    <t>0011i000001xoCP</t>
  </si>
  <si>
    <t>0011i000001xnkl</t>
  </si>
  <si>
    <t>Chin Choo Clinic</t>
  </si>
  <si>
    <t>0011i000001xoCN</t>
  </si>
  <si>
    <t>0011i000001xngh</t>
  </si>
  <si>
    <t>Central Medical Group</t>
  </si>
  <si>
    <t>0011i000001xnhP</t>
  </si>
  <si>
    <t>0011i000001xoLJ</t>
  </si>
  <si>
    <t>Gordon Lim Clinic &amp; Surgery For Women</t>
  </si>
  <si>
    <t>0011i000001xngj</t>
  </si>
  <si>
    <t>Trans-Island Medical Group</t>
  </si>
  <si>
    <t>102 Towner Road</t>
  </si>
  <si>
    <t>322102</t>
  </si>
  <si>
    <t>0011i000001xngl</t>
  </si>
  <si>
    <t>Healthcare Medical Centre</t>
  </si>
  <si>
    <t>0011i000001xoIt</t>
  </si>
  <si>
    <t>Bukit Panjang Family Clinic</t>
  </si>
  <si>
    <t>Block 524A Jelapang Road</t>
  </si>
  <si>
    <t>#02-13 Greenridge Shopping Centre</t>
  </si>
  <si>
    <t>202239</t>
  </si>
  <si>
    <t>0011i000001xoCZ</t>
  </si>
  <si>
    <t>Mary Medical Clinic &amp; Surgery</t>
  </si>
  <si>
    <t>0011i000001xnfs</t>
  </si>
  <si>
    <t>Psychiatric Clinic Lim Hsin Loh</t>
  </si>
  <si>
    <t>#15-05 Mount Elizabeth Medical Centre</t>
  </si>
  <si>
    <t>201401</t>
  </si>
  <si>
    <t>0011i000001xoVQ</t>
  </si>
  <si>
    <t>Acumed Medical Group</t>
  </si>
  <si>
    <t>0011i000001xnfn</t>
  </si>
  <si>
    <t>0011i000001xoFY</t>
  </si>
  <si>
    <t>Lim Ing Haan Cardiology Clinic</t>
  </si>
  <si>
    <t>3 Mt Elizabeth #04-0-2</t>
  </si>
  <si>
    <t>203258</t>
  </si>
  <si>
    <t>0011i000001xoBa</t>
  </si>
  <si>
    <t>0011i000002Id9j</t>
  </si>
  <si>
    <t>8Blk 710 Ang Mo Kio Ave</t>
  </si>
  <si>
    <t>#01-2613</t>
  </si>
  <si>
    <t>560710</t>
  </si>
  <si>
    <t>0011i000001xonS</t>
  </si>
  <si>
    <t>Blk 279 Sengkang East Avenue</t>
  </si>
  <si>
    <t>0011i00000raslH</t>
  </si>
  <si>
    <t>0011i000001xnhG</t>
  </si>
  <si>
    <t>Greenlife Clinic &amp; Surgery Pte Ltd</t>
  </si>
  <si>
    <t>201366</t>
  </si>
  <si>
    <t>0011i000001xoPc</t>
  </si>
  <si>
    <t>Lim Jit Fong Colorectal Centre</t>
  </si>
  <si>
    <t>0011i000001xoeY</t>
  </si>
  <si>
    <t>Minimally Invasive Orthopaedic Surgery</t>
  </si>
  <si>
    <t>#03-06/07 Mount Elizabeth Medical Centre</t>
  </si>
  <si>
    <t>203181</t>
  </si>
  <si>
    <t>0011i000001xnhH</t>
  </si>
  <si>
    <t>Doctor Jay Medical Centre</t>
  </si>
  <si>
    <t>0011i000001xoSD</t>
  </si>
  <si>
    <t>24Hrs A&amp;E Clinic</t>
  </si>
  <si>
    <t>0011i00000ufvOS</t>
  </si>
  <si>
    <t>Kingsway Medical Clinic</t>
  </si>
  <si>
    <t>0011i000001xnhO</t>
  </si>
  <si>
    <t>K B Lim Skin Clinic Pte Ltd</t>
  </si>
  <si>
    <t>#09-06 Gleneagles Medical Centre</t>
  </si>
  <si>
    <t>201774</t>
  </si>
  <si>
    <t>0011i000001xoYy</t>
  </si>
  <si>
    <t>0011i000001xogv</t>
  </si>
  <si>
    <t>0011i000001xolv</t>
  </si>
  <si>
    <t>0011i000001xoBc</t>
  </si>
  <si>
    <t>0011i000001xoK7</t>
  </si>
  <si>
    <t>Healthplus Medical &amp; Clinic Surgery</t>
  </si>
  <si>
    <t>Blk 78A Telok Blangah Street 32</t>
  </si>
  <si>
    <t>805136</t>
  </si>
  <si>
    <t>101078</t>
  </si>
  <si>
    <t>0011i000001xoYD</t>
  </si>
  <si>
    <t>0011i000001xnk2</t>
  </si>
  <si>
    <t>Clarion Medical</t>
  </si>
  <si>
    <t>Blk 202 Ang Mo Kio Ave 3</t>
  </si>
  <si>
    <t>5560202</t>
  </si>
  <si>
    <t>0011i000001xoKs</t>
  </si>
  <si>
    <t>0011i000001xnhW</t>
  </si>
  <si>
    <t>Lim Clinic</t>
  </si>
  <si>
    <t>295 Changi Road</t>
  </si>
  <si>
    <t>419773</t>
  </si>
  <si>
    <t>0011i000007FG9S</t>
  </si>
  <si>
    <t>Northeast Medical Group Ang Mo Kio</t>
  </si>
  <si>
    <t>2450 ANg Mo Kio Avenue 8</t>
  </si>
  <si>
    <t>#01-02 Ang Mo Kio MRT Station</t>
  </si>
  <si>
    <t>569811</t>
  </si>
  <si>
    <t>0011i000001xofM</t>
  </si>
  <si>
    <t>Alpha Joints &amp; Orthopaedics</t>
  </si>
  <si>
    <t>0011i000001xnjr</t>
  </si>
  <si>
    <t>Lim Clinic &amp; Surgery</t>
  </si>
  <si>
    <t>#01-420</t>
  </si>
  <si>
    <t>460020</t>
  </si>
  <si>
    <t>0011i000001xoq4</t>
  </si>
  <si>
    <t>Blk 503 Tampines Central 1</t>
  </si>
  <si>
    <t>0011i000001xodw</t>
  </si>
  <si>
    <t>The Tow Yung Clinic</t>
  </si>
  <si>
    <t>#05-01 Tanglin Shopping Centre</t>
  </si>
  <si>
    <t>200638</t>
  </si>
  <si>
    <t>0011i000001xoMi</t>
  </si>
  <si>
    <t>Lim Clinic &amp; Surgery For Women</t>
  </si>
  <si>
    <t>140 Upper Bukit Timah Road</t>
  </si>
  <si>
    <t>#02-03 Beauty World Plaza</t>
  </si>
  <si>
    <t>588176</t>
  </si>
  <si>
    <t>0011i000001xoVw</t>
  </si>
  <si>
    <t>Healthway West Coast Clinic</t>
  </si>
  <si>
    <t>0011i000001xoAy</t>
  </si>
  <si>
    <t>0011i000001xnfa</t>
  </si>
  <si>
    <t>Lim Medical Clinic</t>
  </si>
  <si>
    <t>35 Selegie Road</t>
  </si>
  <si>
    <t>#03-26 Parklane Shopping Mall</t>
  </si>
  <si>
    <t>201439</t>
  </si>
  <si>
    <t>188307</t>
  </si>
  <si>
    <t>0011i000001xnfb</t>
  </si>
  <si>
    <t>L &amp; L Family Medicine Clinic</t>
  </si>
  <si>
    <t>0011i000001xonz</t>
  </si>
  <si>
    <t>The Clinic @ Campus</t>
  </si>
  <si>
    <t>0011i000001xoWM</t>
  </si>
  <si>
    <t>0011i000001xoJW</t>
  </si>
  <si>
    <t>0011i00000pbVZK</t>
  </si>
  <si>
    <t>0011i000001xnhy</t>
  </si>
  <si>
    <t>Alliance Clinic &amp; Surgery</t>
  </si>
  <si>
    <t>0011i000001xoe3</t>
  </si>
  <si>
    <t>0011i000001xni4</t>
  </si>
  <si>
    <t>IM Medical Specialist</t>
  </si>
  <si>
    <t>0011i000001xoDc</t>
  </si>
  <si>
    <t>0011i00000Xf1Ib</t>
  </si>
  <si>
    <t>Icon Cancer Centre</t>
  </si>
  <si>
    <t>1 Farrer Park Station Road, #09-13 to 20</t>
  </si>
  <si>
    <t>0011i000001xnly</t>
  </si>
  <si>
    <t>0011i000001xnll</t>
  </si>
  <si>
    <t>0011i000001xoBj</t>
  </si>
  <si>
    <t>HL Clinic</t>
  </si>
  <si>
    <t>Blk 9 Telok Blangah Crescent</t>
  </si>
  <si>
    <t>#01-135</t>
  </si>
  <si>
    <t>201895</t>
  </si>
  <si>
    <t>90012</t>
  </si>
  <si>
    <t>0011i000001xo95</t>
  </si>
  <si>
    <t>0011i000001xni9</t>
  </si>
  <si>
    <t>Drs.Lim Hwang &amp; Liang Pte Ltd</t>
  </si>
  <si>
    <t>0011i00000vHmjH</t>
  </si>
  <si>
    <t>Healthway Sengkang Clinic</t>
  </si>
  <si>
    <t>0011i000001xnmW</t>
  </si>
  <si>
    <t>0011i000001xnpY</t>
  </si>
  <si>
    <t>0011i000001xniB</t>
  </si>
  <si>
    <t>0011i000001xolg</t>
  </si>
  <si>
    <t>0011i000001xoSf</t>
  </si>
  <si>
    <t>0011i000001xnfy</t>
  </si>
  <si>
    <t>0011i000001xnjy</t>
  </si>
  <si>
    <t>0011i000001xnk1</t>
  </si>
  <si>
    <t>S &amp; L Family Clinic</t>
  </si>
  <si>
    <t>235 Yishun Sreett 21</t>
  </si>
  <si>
    <t>#01-446</t>
  </si>
  <si>
    <t>760235</t>
  </si>
  <si>
    <t>0011i000001xoLm</t>
  </si>
  <si>
    <t>Psalms Family Clinic</t>
  </si>
  <si>
    <t>#01-217</t>
  </si>
  <si>
    <t>202252</t>
  </si>
  <si>
    <t>0011i00000Xf1Gm</t>
  </si>
  <si>
    <t>0011i000001xo3s</t>
  </si>
  <si>
    <t>0011i000001xoLr</t>
  </si>
  <si>
    <t>Dr Stephen Lim</t>
  </si>
  <si>
    <t>3 Mt Elizabeth #16-15</t>
  </si>
  <si>
    <t>0011i000001xoYK</t>
  </si>
  <si>
    <t>0011i000001xo59</t>
  </si>
  <si>
    <t>0011i000001xoBm</t>
  </si>
  <si>
    <t>Yam Medical Group</t>
  </si>
  <si>
    <t>Tuas Amenity Centre</t>
  </si>
  <si>
    <t>71 Pioneer Road #01-06</t>
  </si>
  <si>
    <t>639591</t>
  </si>
  <si>
    <t>0011i000001xnr2</t>
  </si>
  <si>
    <t>0011i000001xorK</t>
  </si>
  <si>
    <t>0011i000001xoWc</t>
  </si>
  <si>
    <t>TTLIM Cardiology Pte Ltd.</t>
  </si>
  <si>
    <t>290 Orchard Road #17-10</t>
  </si>
  <si>
    <t>233859</t>
  </si>
  <si>
    <t>0011i000001xnkD</t>
  </si>
  <si>
    <t>0011i000001xnkH</t>
  </si>
  <si>
    <t>John T L Lim Clinic &amp; Surgery</t>
  </si>
  <si>
    <t>0011i000001xnkL</t>
  </si>
  <si>
    <t>Dr Lim Tiong Chee Gastro &amp; Int Med</t>
  </si>
  <si>
    <t>3 Mount Elizabeth #09-01</t>
  </si>
  <si>
    <t>0011i00000oVYM7</t>
  </si>
  <si>
    <t>#14-10 Mount Elizabeth Medical Centre</t>
  </si>
  <si>
    <t>202187</t>
  </si>
  <si>
    <t>The Heart Specialist Clinic</t>
  </si>
  <si>
    <t>3 Mt Elizabeth #14-09/10</t>
  </si>
  <si>
    <t>Mt ELizabeth Medical Centre</t>
  </si>
  <si>
    <t>0011i000007FFbq</t>
  </si>
  <si>
    <t>0011i000001xnxJ</t>
  </si>
  <si>
    <t>0011i000001xoLb</t>
  </si>
  <si>
    <t>0011i000001xoQJ</t>
  </si>
  <si>
    <t>Elim Rheumatic Centre</t>
  </si>
  <si>
    <t>3 Mt Elizabeth #04-06</t>
  </si>
  <si>
    <t>0011i000001xnkO</t>
  </si>
  <si>
    <t>Blk 446 Ang Mo Kio Ave 10</t>
  </si>
  <si>
    <t>#01-1663</t>
  </si>
  <si>
    <t>200346</t>
  </si>
  <si>
    <t>560446</t>
  </si>
  <si>
    <t>0011i00000pb5RB</t>
  </si>
  <si>
    <t>0011i000001xnkj</t>
  </si>
  <si>
    <t>Woods Medical Clinic Pte Ltd</t>
  </si>
  <si>
    <t>20 Eastwood Road</t>
  </si>
  <si>
    <t>#01-14A Eastwood Centre</t>
  </si>
  <si>
    <t>202064</t>
  </si>
  <si>
    <t>486442</t>
  </si>
  <si>
    <t>0011i000001xoDI</t>
  </si>
  <si>
    <t>0011i000001xobd</t>
  </si>
  <si>
    <t>Premier Healthcare Clinic &amp; Surgery</t>
  </si>
  <si>
    <t>Blk 376 Bukit Batok Street 31</t>
  </si>
  <si>
    <t>#01-106</t>
  </si>
  <si>
    <t>201775</t>
  </si>
  <si>
    <t>650376</t>
  </si>
  <si>
    <t>0011i000002IdAD</t>
  </si>
  <si>
    <t>0011i000001xoI5</t>
  </si>
  <si>
    <t>OneDoctors (AMK) Pte Ltd</t>
  </si>
  <si>
    <t>Blk 710 Ang Mo Kio Ave 8</t>
  </si>
  <si>
    <t>202855</t>
  </si>
  <si>
    <t>0011i00000FH4Ac</t>
  </si>
  <si>
    <t>Jason Lim Endoscopy &amp; Surgery</t>
  </si>
  <si>
    <t>0011i000007FG5t</t>
  </si>
  <si>
    <t>Northeast Medical Group Raffles Place</t>
  </si>
  <si>
    <t>22 Malacca Street</t>
  </si>
  <si>
    <t>#13-03 RB Capital Building</t>
  </si>
  <si>
    <t>048980</t>
  </si>
  <si>
    <t>0011i000001xo1Q</t>
  </si>
  <si>
    <t>0011i000001xoDv</t>
  </si>
  <si>
    <t>0011i000001xnrL</t>
  </si>
  <si>
    <t>0011i000001xnwK</t>
  </si>
  <si>
    <t>0011i000001xo40</t>
  </si>
  <si>
    <t>Cardiology Associates Pte Ltd</t>
  </si>
  <si>
    <t>#06-08 Mount Elizabeth Medical Centre</t>
  </si>
  <si>
    <t>203028</t>
  </si>
  <si>
    <t>0011i000001xoDJ</t>
  </si>
  <si>
    <t>0011i000001xonR</t>
  </si>
  <si>
    <t>0011i000001xodu</t>
  </si>
  <si>
    <t>Ortholimb Bone &amp; Joint Surgery</t>
  </si>
  <si>
    <t>6 Napier Road #07-19</t>
  </si>
  <si>
    <t>0011i000001xniW</t>
  </si>
  <si>
    <t>0011i000001xo9E</t>
  </si>
  <si>
    <t>0011i000001xonM</t>
  </si>
  <si>
    <t>Access Medical</t>
  </si>
  <si>
    <t>59 Upper Changi Road</t>
  </si>
  <si>
    <t>#01-1268</t>
  </si>
  <si>
    <t>461059</t>
  </si>
  <si>
    <t>0011i000001xnkd</t>
  </si>
  <si>
    <t>Esther Yeo Clinic</t>
  </si>
  <si>
    <t>0011i000001xnkb</t>
  </si>
  <si>
    <t>Neighbourhood Clinic</t>
  </si>
  <si>
    <t>260 Bangkit Road</t>
  </si>
  <si>
    <t>#01-13</t>
  </si>
  <si>
    <t>670260</t>
  </si>
  <si>
    <t>0011i000001xnkh</t>
  </si>
  <si>
    <t>0011i000001xnhR</t>
  </si>
  <si>
    <t>0011i000001xokR</t>
  </si>
  <si>
    <t>0011i000001xn7t</t>
  </si>
  <si>
    <t>0011i000001xnCD</t>
  </si>
  <si>
    <t>0011i000001xnIm</t>
  </si>
  <si>
    <t>0011i000001xmkh</t>
  </si>
  <si>
    <t>0011i000001xmrH</t>
  </si>
  <si>
    <t>0011i000001xnBz</t>
  </si>
  <si>
    <t>Blk 320 Clementi Ave 4</t>
  </si>
  <si>
    <t>200341</t>
  </si>
  <si>
    <t>120320</t>
  </si>
  <si>
    <t>0011i000001xn1g</t>
  </si>
  <si>
    <t>0011i000001xoXi</t>
  </si>
  <si>
    <t>Department of Diagnostic Radiology</t>
  </si>
  <si>
    <t>0011i000001xopX</t>
  </si>
  <si>
    <t>0011i000001xnko</t>
  </si>
  <si>
    <t>Lin &amp; Sons Clinic &amp; Surgery Pte Ltd</t>
  </si>
  <si>
    <t>Block 18 Teck Whye Lane</t>
  </si>
  <si>
    <t>201024</t>
  </si>
  <si>
    <t>680018</t>
  </si>
  <si>
    <t>0011i00000S3ZS1</t>
  </si>
  <si>
    <t>0011i000001xoRJ</t>
  </si>
  <si>
    <t>0011i000001xnuH</t>
  </si>
  <si>
    <t>0011i000001xnC3</t>
  </si>
  <si>
    <t>0011i000001xnkx</t>
  </si>
  <si>
    <t>0011i000001xoDP</t>
  </si>
  <si>
    <t>Apex Medical Centre Pte Ltd (Jurong)</t>
  </si>
  <si>
    <t>Blk 960 Jurong West Street 92</t>
  </si>
  <si>
    <t>#01-172</t>
  </si>
  <si>
    <t>201463</t>
  </si>
  <si>
    <t>0011i000001xnkz</t>
  </si>
  <si>
    <t>The Healer Medical Pte Ltd</t>
  </si>
  <si>
    <t>Blk 154 Serangoon North Ave 1</t>
  </si>
  <si>
    <t>#01-452</t>
  </si>
  <si>
    <t>550154</t>
  </si>
  <si>
    <t>0011i000001xoDQ</t>
  </si>
  <si>
    <t>KL Ling Gastroenterology &amp; Liver Clinic</t>
  </si>
  <si>
    <t>3 Mt Elizabeth Road #16-04</t>
  </si>
  <si>
    <t>0011i000001xogU</t>
  </si>
  <si>
    <t>0011i000001xo45</t>
  </si>
  <si>
    <t>0011i000001xo29</t>
  </si>
  <si>
    <t>0011i000001xoca</t>
  </si>
  <si>
    <t>0011i00000C7UTf</t>
  </si>
  <si>
    <t>0011i000002IdA8</t>
  </si>
  <si>
    <t>0011i000001xmlP</t>
  </si>
  <si>
    <t>0011i00000ugB5T</t>
  </si>
  <si>
    <t>0011i00000oXuIH</t>
  </si>
  <si>
    <t>0011i000001xoI9</t>
  </si>
  <si>
    <t>0011i00000ugBEE</t>
  </si>
  <si>
    <t>0011i000007FG6X</t>
  </si>
  <si>
    <t>0011i00000rasma</t>
  </si>
  <si>
    <t>0011i000001xob7</t>
  </si>
  <si>
    <t>0011i000001xoeh</t>
  </si>
  <si>
    <t>Island Medical Clinic</t>
  </si>
  <si>
    <t>55 Newton Road</t>
  </si>
  <si>
    <t>#02-07 Revenue House</t>
  </si>
  <si>
    <t>307987</t>
  </si>
  <si>
    <t>0011i00000EgdEZ</t>
  </si>
  <si>
    <t>Healthmark Medical Clinic Punggol</t>
  </si>
  <si>
    <t>0011i000001xola</t>
  </si>
  <si>
    <t>Shenton Family Clinic</t>
  </si>
  <si>
    <t>Blk 728 Ang Mo Kio Ave 6</t>
  </si>
  <si>
    <t>#01-4208</t>
  </si>
  <si>
    <t>560728</t>
  </si>
  <si>
    <t>0011i000007DbXu</t>
  </si>
  <si>
    <t>0011i00000Xf1HY</t>
  </si>
  <si>
    <t>0011i00000PJfYU</t>
  </si>
  <si>
    <t>3 Mount Elizabeth #14-13</t>
  </si>
  <si>
    <t>0011i00000rZxw4</t>
  </si>
  <si>
    <t>#06-07, 820 Thomson Road Medical Centre A</t>
  </si>
  <si>
    <t>0011i000001xnfc</t>
  </si>
  <si>
    <t>0011i000001xn4G</t>
  </si>
  <si>
    <t>#04-05 Thomson Medical Centre</t>
  </si>
  <si>
    <t>202809</t>
  </si>
  <si>
    <t>0011i000001xon2</t>
  </si>
  <si>
    <t>Hisemainn Medical Clinic</t>
  </si>
  <si>
    <t>Blk 289E Bukit Batok St 25</t>
  </si>
  <si>
    <t>0011i000001xoBr</t>
  </si>
  <si>
    <t>0011i000001xoZ9</t>
  </si>
  <si>
    <t>Singhealth Polyclinics</t>
  </si>
  <si>
    <t>Institute of Health #06-03</t>
  </si>
  <si>
    <t>0011i000001xnvb</t>
  </si>
  <si>
    <t>0011i000001xoBt</t>
  </si>
  <si>
    <t>Bukit Timah Family Clinic &amp; Surgery</t>
  </si>
  <si>
    <t>897 Bukit Timah Road</t>
  </si>
  <si>
    <t>589617</t>
  </si>
  <si>
    <t>0011i000001xnlA</t>
  </si>
  <si>
    <t>Lo &amp; Lee Clinic</t>
  </si>
  <si>
    <t>134 Lorong Ah Soo</t>
  </si>
  <si>
    <t>#01-462</t>
  </si>
  <si>
    <t>LO &amp; Lee Cl</t>
  </si>
  <si>
    <t>530134</t>
  </si>
  <si>
    <t>0011i000001xoK4</t>
  </si>
  <si>
    <t>Northland Family Clinic &amp; Surgery</t>
  </si>
  <si>
    <t>0011i000001xng0</t>
  </si>
  <si>
    <t>0011i000001xocV</t>
  </si>
  <si>
    <t>0011i00000pbXOf</t>
  </si>
  <si>
    <t>0011i00000uPQY4</t>
  </si>
  <si>
    <t>0011i000001xnkA</t>
  </si>
  <si>
    <t>0011i000001xoCt</t>
  </si>
  <si>
    <t>0011i00000pbjv4</t>
  </si>
  <si>
    <t>Providence Clinic @ Novena</t>
  </si>
  <si>
    <t>1 Goldhill Plaza</t>
  </si>
  <si>
    <t>308899</t>
  </si>
  <si>
    <t>0011i000001xnlD</t>
  </si>
  <si>
    <t>Healthway Tuas Medical Clinic</t>
  </si>
  <si>
    <t>Block 960 Jurong West Street 92</t>
  </si>
  <si>
    <t>#01-166</t>
  </si>
  <si>
    <t>201091</t>
  </si>
  <si>
    <t>0011i000001xoDW</t>
  </si>
  <si>
    <t>Royal Health Clinic &amp; Surgery</t>
  </si>
  <si>
    <t>0011i000001xnlF</t>
  </si>
  <si>
    <t>Loh's Clinic</t>
  </si>
  <si>
    <t>Blk 45 Sim's Drive</t>
  </si>
  <si>
    <t>200347</t>
  </si>
  <si>
    <t>380045</t>
  </si>
  <si>
    <t>0011i000001xoRO</t>
  </si>
  <si>
    <t>0011i000001xod3</t>
  </si>
  <si>
    <t>26 Teck Whye Clinic</t>
  </si>
  <si>
    <t>0011i000001xou4</t>
  </si>
  <si>
    <t>0011i000007DNJT</t>
  </si>
  <si>
    <t>0011i000001xo47</t>
  </si>
  <si>
    <t>0011i000001xnlI</t>
  </si>
  <si>
    <t>Family Medicare Clinic &amp; Surgery</t>
  </si>
  <si>
    <t>0011i000001xnyK</t>
  </si>
  <si>
    <t>Ear, Nose, Throat, Sinus &amp; Dizziness Centre</t>
  </si>
  <si>
    <t>#13-11 Mount Elizabeth Medical Centre</t>
  </si>
  <si>
    <t>201659</t>
  </si>
  <si>
    <t>0011i000001xoHC</t>
  </si>
  <si>
    <t>0011i000001xo48</t>
  </si>
  <si>
    <t>0011i000001xnlR</t>
  </si>
  <si>
    <t>United Clinic</t>
  </si>
  <si>
    <t>Parklane Shopping Mall</t>
  </si>
  <si>
    <t>#05-06 35 Selegie Road</t>
  </si>
  <si>
    <t>0011i000001xotQ</t>
  </si>
  <si>
    <t>The Singapore Clinic for Kidney Diseases</t>
  </si>
  <si>
    <t>3 Mount Elizabeth #08-01</t>
  </si>
  <si>
    <t>0011i000001xoJd</t>
  </si>
  <si>
    <t>0011i000001xoM2</t>
  </si>
  <si>
    <t>0011i000001xoDZ</t>
  </si>
  <si>
    <t>0011i000001xoZY</t>
  </si>
  <si>
    <t>Purchasing Unit</t>
  </si>
  <si>
    <t>0011i000001xooC</t>
  </si>
  <si>
    <t>0011i000001xnlW</t>
  </si>
  <si>
    <t>0011i000001xoix</t>
  </si>
  <si>
    <t>0011i000001xnlZ</t>
  </si>
  <si>
    <t>Drs Koo, Loh &amp; Associates Pte Ltd</t>
  </si>
  <si>
    <t>0011i000001xoU5</t>
  </si>
  <si>
    <t>0011i000001xoNS</t>
  </si>
  <si>
    <t>0011i00000jv1kE</t>
  </si>
  <si>
    <t>0011i000001xnZx</t>
  </si>
  <si>
    <t>0011i000001xmpG</t>
  </si>
  <si>
    <t>#10-05 Mount Elizabeth Centre</t>
  </si>
  <si>
    <t>202595</t>
  </si>
  <si>
    <t>0011i000001xnlc</t>
  </si>
  <si>
    <t>Loi &amp; Wong Clinic &amp; Surgery</t>
  </si>
  <si>
    <t>Block 492 Jurong West Street 41</t>
  </si>
  <si>
    <t>201519</t>
  </si>
  <si>
    <t>0011i000001xnle</t>
  </si>
  <si>
    <t>Lok Clinic &amp; Surgery</t>
  </si>
  <si>
    <t>150 Bishan Street 11</t>
  </si>
  <si>
    <t>0011i000001xnli</t>
  </si>
  <si>
    <t>Family Care Medical Centre</t>
  </si>
  <si>
    <t>Blk 916 Hougang Avenue 9</t>
  </si>
  <si>
    <t>5390916</t>
  </si>
  <si>
    <t>0011i000001xob4</t>
  </si>
  <si>
    <t>Mediline Wei Min Clinic</t>
  </si>
  <si>
    <t>14 Kensington Park Road</t>
  </si>
  <si>
    <t>202637</t>
  </si>
  <si>
    <t>0011i000001xmf7</t>
  </si>
  <si>
    <t>Blk 104 Hougang Ave 1</t>
  </si>
  <si>
    <t>#01-1123</t>
  </si>
  <si>
    <t>201857</t>
  </si>
  <si>
    <t>0011i000001xnlr</t>
  </si>
  <si>
    <t>General Outpatient Medical Care</t>
  </si>
  <si>
    <t>0011i000001xo4C</t>
  </si>
  <si>
    <t>0011i000001xnlx</t>
  </si>
  <si>
    <t>0011i000001xnlv</t>
  </si>
  <si>
    <t>0011i000001xoOk</t>
  </si>
  <si>
    <t>0011i000001xos4</t>
  </si>
  <si>
    <t>0011i000001xni5</t>
  </si>
  <si>
    <t>0011i00000uRlpx</t>
  </si>
  <si>
    <t>0011i000001xobS</t>
  </si>
  <si>
    <t>0011i000001xnm2</t>
  </si>
  <si>
    <t>Looi Surgery Pte Ltd</t>
  </si>
  <si>
    <t>#01-254</t>
  </si>
  <si>
    <t>0011i000001xmpV</t>
  </si>
  <si>
    <t>Blk 102 Towner Road</t>
  </si>
  <si>
    <t>0011i000001xoXq</t>
  </si>
  <si>
    <t>King George's Medical Centre</t>
  </si>
  <si>
    <t>0011i000001xoZA</t>
  </si>
  <si>
    <t>11 Jln Tan Tock Seng Hospital</t>
  </si>
  <si>
    <t>National Health Grp Pharmacy</t>
  </si>
  <si>
    <t>0011i000001xo4F</t>
  </si>
  <si>
    <t>0011i000001xoD0</t>
  </si>
  <si>
    <t>The Sloane Clinic</t>
  </si>
  <si>
    <t>2 Orchard Turn</t>
  </si>
  <si>
    <t>#03-18 Ion Orchard</t>
  </si>
  <si>
    <t>203342</t>
  </si>
  <si>
    <t>238801</t>
  </si>
  <si>
    <t>0011i000001xo8F</t>
  </si>
  <si>
    <t>0011i000001xo4G</t>
  </si>
  <si>
    <t>0011i000001xoIc</t>
  </si>
  <si>
    <t>First Care Family Clinic</t>
  </si>
  <si>
    <t>Blk 253 Jurong East Street 24</t>
  </si>
  <si>
    <t>#01-257</t>
  </si>
  <si>
    <t>600253</t>
  </si>
  <si>
    <t>0011i000001xo0j</t>
  </si>
  <si>
    <t>0011i000001xoTB</t>
  </si>
  <si>
    <t>0011i000001xnm9</t>
  </si>
  <si>
    <t>Asiamedic Eye Centre Pte Ltd</t>
  </si>
  <si>
    <t>0011i000001xnmD</t>
  </si>
  <si>
    <t>Healthwise Medical Clinic &amp; Surg</t>
  </si>
  <si>
    <t>0011i000001xoeH</t>
  </si>
  <si>
    <t>Department of Rheumatology &amp; Immunology</t>
  </si>
  <si>
    <t>Blk 6 Level 9 Outram Road</t>
  </si>
  <si>
    <t>0011i000001xnmG</t>
  </si>
  <si>
    <t>Universal Medical Clinic</t>
  </si>
  <si>
    <t>Block 164 Bukit Batok Street 11</t>
  </si>
  <si>
    <t>650164</t>
  </si>
  <si>
    <t>0011i000001xo2S</t>
  </si>
  <si>
    <t>0011i000001xnmM</t>
  </si>
  <si>
    <t>Low Medical Clinic</t>
  </si>
  <si>
    <t>67 Kallang Bahru</t>
  </si>
  <si>
    <t>#01-447</t>
  </si>
  <si>
    <t>330067</t>
  </si>
  <si>
    <t>0011i000001xnmO</t>
  </si>
  <si>
    <t>Nee Soon Clinic</t>
  </si>
  <si>
    <t>Blk 779 Yishun Ave 2</t>
  </si>
  <si>
    <t>#01-1547</t>
  </si>
  <si>
    <t>803757</t>
  </si>
  <si>
    <t>760779</t>
  </si>
  <si>
    <t>0011i000001xnmQ</t>
  </si>
  <si>
    <t>Low &amp; Lee Clinic &amp; Surgery</t>
  </si>
  <si>
    <t>55 Chai Chee Drive</t>
  </si>
  <si>
    <t>0011i00000uPQbX</t>
  </si>
  <si>
    <t>0011i000001xojf</t>
  </si>
  <si>
    <t>0011i000001xnus</t>
  </si>
  <si>
    <t>0011i000007FG63</t>
  </si>
  <si>
    <t>0011i000001xnxl</t>
  </si>
  <si>
    <t>0011i000001xojv</t>
  </si>
  <si>
    <t>0011i000001xoE8</t>
  </si>
  <si>
    <t>0011i000001xoHt</t>
  </si>
  <si>
    <t>0011i000001xoFy</t>
  </si>
  <si>
    <t>0011i000001xoIM</t>
  </si>
  <si>
    <t>0011i000001xnmd</t>
  </si>
  <si>
    <t>The Jurong Dispensary</t>
  </si>
  <si>
    <t>Block 449 Clementi Avenue 3</t>
  </si>
  <si>
    <t>#01-255</t>
  </si>
  <si>
    <t>200255</t>
  </si>
  <si>
    <t>120449</t>
  </si>
  <si>
    <t>0011i000001xoNM</t>
  </si>
  <si>
    <t>Brenda Low Clinic For Women</t>
  </si>
  <si>
    <t>0011i000001xo4I</t>
  </si>
  <si>
    <t>0011i000001xnmg</t>
  </si>
  <si>
    <t>Stamford Medical Group Pte Ltd</t>
  </si>
  <si>
    <t>Block 7 Tanjong Pagar Plaza</t>
  </si>
  <si>
    <t>#01-102</t>
  </si>
  <si>
    <t>807243</t>
  </si>
  <si>
    <t>0011i000001xoPf</t>
  </si>
  <si>
    <t>0011i000001xo4K</t>
  </si>
  <si>
    <t>0011i000001xncX</t>
  </si>
  <si>
    <t>0011i000001xnck</t>
  </si>
  <si>
    <t>#11-05/06 Mount Elizabeth Medical Centre</t>
  </si>
  <si>
    <t>200355</t>
  </si>
  <si>
    <t>0011i000001xncj</t>
  </si>
  <si>
    <t>0011i000001xoLv</t>
  </si>
  <si>
    <t>0011i000001xoV5</t>
  </si>
  <si>
    <t>Doctors INC Medical Group</t>
  </si>
  <si>
    <t>0011i000001xn1S</t>
  </si>
  <si>
    <t>Loyang Offshore Supply Base</t>
  </si>
  <si>
    <t>Loyang Crescent Box 5142</t>
  </si>
  <si>
    <t>508988</t>
  </si>
  <si>
    <t>0011i000001xnXr</t>
  </si>
  <si>
    <t>Blk 258 Pasir Ris Street 21</t>
  </si>
  <si>
    <t>#02-327</t>
  </si>
  <si>
    <t>201725</t>
  </si>
  <si>
    <t>510258</t>
  </si>
  <si>
    <t>0011i000001xnU9</t>
  </si>
  <si>
    <t>#05-10 Mount Elizabeth Medical Centre</t>
  </si>
  <si>
    <t>0011i000001xmnW</t>
  </si>
  <si>
    <t>#02-05 Mount Alvernia Med Ctr Block A</t>
  </si>
  <si>
    <t>0011i000001xnmh</t>
  </si>
  <si>
    <t>Fullerton Health @ Drs Horne CHin &amp; Partners</t>
  </si>
  <si>
    <t>0011i000001xnmi</t>
  </si>
  <si>
    <t>Lua Clinic &amp; Surgery</t>
  </si>
  <si>
    <t>Blk 350 Ubi Ave 1</t>
  </si>
  <si>
    <t>#01-941</t>
  </si>
  <si>
    <t>200824</t>
  </si>
  <si>
    <t>400350</t>
  </si>
  <si>
    <t>0011i000001xoo8</t>
  </si>
  <si>
    <t>0011i000001xoqE</t>
  </si>
  <si>
    <t>0011i000001xncn</t>
  </si>
  <si>
    <t>0011i00000Xf1HZ</t>
  </si>
  <si>
    <t>0011i000001xnmj</t>
  </si>
  <si>
    <t>P S Lui Clinic &amp; Surg For Women</t>
  </si>
  <si>
    <t>#06-19 Orchard Plaza</t>
  </si>
  <si>
    <t>200938</t>
  </si>
  <si>
    <t>0011i000001xoqL</t>
  </si>
  <si>
    <t>The Family Practice @ Skyville</t>
  </si>
  <si>
    <t>0011i000001xodf</t>
  </si>
  <si>
    <t>The Family Medical Centre</t>
  </si>
  <si>
    <t>Blk 411 Yishun Ring Road</t>
  </si>
  <si>
    <t>#01-1827</t>
  </si>
  <si>
    <t>201297</t>
  </si>
  <si>
    <t>760411</t>
  </si>
  <si>
    <t>0011i000001xnmk</t>
  </si>
  <si>
    <t>Thong Hoe Clinic</t>
  </si>
  <si>
    <t>0011i000001xoKM</t>
  </si>
  <si>
    <t>0011i000001xnmn</t>
  </si>
  <si>
    <t>Island Group Clinic</t>
  </si>
  <si>
    <t>0011i000001xnmp</t>
  </si>
  <si>
    <t>Lum Clinic &amp; Surgery</t>
  </si>
  <si>
    <t>Block 109 Bukit Purmei Road</t>
  </si>
  <si>
    <t>200772</t>
  </si>
  <si>
    <t>0011i000001xmwR</t>
  </si>
  <si>
    <t>0011i000001xoZx</t>
  </si>
  <si>
    <t>Ang Mo Kio Community Hospital</t>
  </si>
  <si>
    <t>0011i000001xo2z</t>
  </si>
  <si>
    <t>Singapore Family Clinic &amp; Surgery</t>
  </si>
  <si>
    <t>0011i000001xodB</t>
  </si>
  <si>
    <t>Central Clinic &amp; Surgery (Clementi)</t>
  </si>
  <si>
    <t>Blk 450 Clementi Ave 3</t>
  </si>
  <si>
    <t>#01-291</t>
  </si>
  <si>
    <t>202179</t>
  </si>
  <si>
    <t>120450</t>
  </si>
  <si>
    <t>0011i000001xnmr</t>
  </si>
  <si>
    <t>Centre For Kidney Diseases Pte Ltd</t>
  </si>
  <si>
    <t>0011i00000w07Ym</t>
  </si>
  <si>
    <t>0011i00000NqfZc</t>
  </si>
  <si>
    <t>The Harley Street Heart &amp; Vascular center</t>
  </si>
  <si>
    <t>Mount Elizabeth medical centre</t>
  </si>
  <si>
    <t>#11-07</t>
  </si>
  <si>
    <t>0011i000001xo4P</t>
  </si>
  <si>
    <t>0011i000001xndX</t>
  </si>
  <si>
    <t>78 Circuit Road</t>
  </si>
  <si>
    <t>#01-488</t>
  </si>
  <si>
    <t>370078</t>
  </si>
  <si>
    <t>0011i000001xoJU</t>
  </si>
  <si>
    <t>0011i000001xnms</t>
  </si>
  <si>
    <t>Our Family Clinic &amp; Surgery</t>
  </si>
  <si>
    <t>221 Pasir Ris Street 21</t>
  </si>
  <si>
    <t>510221</t>
  </si>
  <si>
    <t>0011i000001xnmv</t>
  </si>
  <si>
    <t>0011i00000nIBI4</t>
  </si>
  <si>
    <t>0011i000001xo4Q</t>
  </si>
  <si>
    <t>0011i000001xo4R</t>
  </si>
  <si>
    <t>KH Mak Heart Clinic Pte Ltd</t>
  </si>
  <si>
    <t>0011i000001xmbn</t>
  </si>
  <si>
    <t>201418</t>
  </si>
  <si>
    <t>0011i000001xnl8</t>
  </si>
  <si>
    <t>0011i000001xoqt</t>
  </si>
  <si>
    <t>0011i000001xnIG</t>
  </si>
  <si>
    <t>0011i000001xnB4</t>
  </si>
  <si>
    <t>151 Chin Swee Road</t>
  </si>
  <si>
    <t>#01-10 Manhattan House</t>
  </si>
  <si>
    <t>200364</t>
  </si>
  <si>
    <t>169876</t>
  </si>
  <si>
    <t>0011i000001xnII</t>
  </si>
  <si>
    <t>0011i000001xntN</t>
  </si>
  <si>
    <t>0011i000001xogR</t>
  </si>
  <si>
    <t>0011i000001xncq</t>
  </si>
  <si>
    <t>149 Silat Avenue</t>
  </si>
  <si>
    <t>#01-54</t>
  </si>
  <si>
    <t>200800</t>
  </si>
  <si>
    <t>160149</t>
  </si>
  <si>
    <t>0011i000001xnaH</t>
  </si>
  <si>
    <t>0011i000001xnNg</t>
  </si>
  <si>
    <t>0011i000001xnUf</t>
  </si>
  <si>
    <t>0011i000001xo4g</t>
  </si>
  <si>
    <t>General Medicine Department</t>
  </si>
  <si>
    <t>0011i000001xnU1</t>
  </si>
  <si>
    <t>78 Guan Chuan Street</t>
  </si>
  <si>
    <t>160078</t>
  </si>
  <si>
    <t>0011i000001xnc2</t>
  </si>
  <si>
    <t>Blk 59 Marine Terrace</t>
  </si>
  <si>
    <t>#01-81</t>
  </si>
  <si>
    <t>440059</t>
  </si>
  <si>
    <t>0011i000001xnMw</t>
  </si>
  <si>
    <t>0011i000001xnJb</t>
  </si>
  <si>
    <t>0011i000001xnKK</t>
  </si>
  <si>
    <t>0011i000001xnYV</t>
  </si>
  <si>
    <t>0011i000001xmzt</t>
  </si>
  <si>
    <t>0011i000001xnKH</t>
  </si>
  <si>
    <t>0011i000001xn2Z</t>
  </si>
  <si>
    <t>57 Marine Terrace</t>
  </si>
  <si>
    <t>440057</t>
  </si>
  <si>
    <t>0011i000001xn9c</t>
  </si>
  <si>
    <t>120 Cantonment Road #02-05</t>
  </si>
  <si>
    <t>Maritime House</t>
  </si>
  <si>
    <t>89760</t>
  </si>
  <si>
    <t>0011i000001xoMR</t>
  </si>
  <si>
    <t>0011i000002IdAB</t>
  </si>
  <si>
    <t>0011i000001xnDo</t>
  </si>
  <si>
    <t>Blk 131 Marsiling Rise</t>
  </si>
  <si>
    <t>200369</t>
  </si>
  <si>
    <t>730131</t>
  </si>
  <si>
    <t>0011i000001xncs</t>
  </si>
  <si>
    <t>Blk 111 Woodlands Street 13</t>
  </si>
  <si>
    <t>200981</t>
  </si>
  <si>
    <t>730111</t>
  </si>
  <si>
    <t>0011i000001xnWT</t>
  </si>
  <si>
    <t>Blk 252 Jurong East St 24</t>
  </si>
  <si>
    <t>0011i00000uPPcC</t>
  </si>
  <si>
    <t>0011i000001xniT</t>
  </si>
  <si>
    <t>0011i000001xoSa</t>
  </si>
  <si>
    <t>0011i000001xnFB</t>
  </si>
  <si>
    <t>1 Farrer Park Station Road #07-07/08</t>
  </si>
  <si>
    <t>Farrer Park Medical Centrre</t>
  </si>
  <si>
    <t>0011i000001xn1t</t>
  </si>
  <si>
    <t>#03-01 Camden Medical Centre</t>
  </si>
  <si>
    <t>202126</t>
  </si>
  <si>
    <t>0011i000001xncB</t>
  </si>
  <si>
    <t>0011i000001xndA</t>
  </si>
  <si>
    <t>41 Holland Road</t>
  </si>
  <si>
    <t>201318</t>
  </si>
  <si>
    <t>0011i000001xmff</t>
  </si>
  <si>
    <t>#17-11 Mount Elizabeth Medical Centre</t>
  </si>
  <si>
    <t>0011i000001xmnv</t>
  </si>
  <si>
    <t>Blk 59 Lengkok Bahru</t>
  </si>
  <si>
    <t>#01-553</t>
  </si>
  <si>
    <t>200373</t>
  </si>
  <si>
    <t>150059</t>
  </si>
  <si>
    <t>0011i000001xn1Z</t>
  </si>
  <si>
    <t>35 Telok Blangah Rise</t>
  </si>
  <si>
    <t>#01-295</t>
  </si>
  <si>
    <t>90035</t>
  </si>
  <si>
    <t>0011i000001xmhe</t>
  </si>
  <si>
    <t>Blk 35 Telok Blangah Rise</t>
  </si>
  <si>
    <t>200374</t>
  </si>
  <si>
    <t>0011i000001xnD5</t>
  </si>
  <si>
    <t>#01-837</t>
  </si>
  <si>
    <t>200923</t>
  </si>
  <si>
    <t>0011i000001xmwi</t>
  </si>
  <si>
    <t>200380</t>
  </si>
  <si>
    <t>0011i000001xmwc</t>
  </si>
  <si>
    <t>#14-18 Mount Elizabeth Medical Centre</t>
  </si>
  <si>
    <t>0011i000001xmjV</t>
  </si>
  <si>
    <t>0011i000001xndB</t>
  </si>
  <si>
    <t>15 Beach Road</t>
  </si>
  <si>
    <t>#01-4683</t>
  </si>
  <si>
    <t>190015</t>
  </si>
  <si>
    <t>0011i000001xn1J</t>
  </si>
  <si>
    <t>0011i000001xmur</t>
  </si>
  <si>
    <t>Blk 249 Jurong East Street 24</t>
  </si>
  <si>
    <t>#01-88</t>
  </si>
  <si>
    <t>200391</t>
  </si>
  <si>
    <t>600249</t>
  </si>
  <si>
    <t>0011i000001xmjW</t>
  </si>
  <si>
    <t>Blk 261 Serangoon Central Drive</t>
  </si>
  <si>
    <t>#01-33</t>
  </si>
  <si>
    <t>201205</t>
  </si>
  <si>
    <t>550261</t>
  </si>
  <si>
    <t>0011i000001xmjA</t>
  </si>
  <si>
    <t>Blk 474 Tampines Street 43</t>
  </si>
  <si>
    <t>#01-122</t>
  </si>
  <si>
    <t>201268</t>
  </si>
  <si>
    <t>520474</t>
  </si>
  <si>
    <t>0011i000001xmhi</t>
  </si>
  <si>
    <t>0011i000001xnPl</t>
  </si>
  <si>
    <t>0011i000001xnNr</t>
  </si>
  <si>
    <t>0011i000001xmh6</t>
  </si>
  <si>
    <t>0011i000001xnL3</t>
  </si>
  <si>
    <t>Blk 479 Tampines Street 44</t>
  </si>
  <si>
    <t>202158</t>
  </si>
  <si>
    <t>520479</t>
  </si>
  <si>
    <t>0011i000001xnQh</t>
  </si>
  <si>
    <t>Blk 654 Yishun Ave 4</t>
  </si>
  <si>
    <t>#01-437</t>
  </si>
  <si>
    <t>202449</t>
  </si>
  <si>
    <t>760654</t>
  </si>
  <si>
    <t>0011i000001xmnp</t>
  </si>
  <si>
    <t>0011i000001xmsx</t>
  </si>
  <si>
    <t>Blk 236 Yishun Ring Road</t>
  </si>
  <si>
    <t>#01-1012</t>
  </si>
  <si>
    <t>760236</t>
  </si>
  <si>
    <t>0011i000001xnHo</t>
  </si>
  <si>
    <t>Blk 330 Anchovale Street</t>
  </si>
  <si>
    <t>540330</t>
  </si>
  <si>
    <t>0011i000001xmoT</t>
  </si>
  <si>
    <t>Blk 150 Toa Payoh Lorong 1</t>
  </si>
  <si>
    <t>#01-999</t>
  </si>
  <si>
    <t>310150</t>
  </si>
  <si>
    <t>0011i000001xnmz</t>
  </si>
  <si>
    <t>Medora Clinic &amp; Surgery</t>
  </si>
  <si>
    <t>115 Upper Paya Lebar</t>
  </si>
  <si>
    <t>200400</t>
  </si>
  <si>
    <t>534833</t>
  </si>
  <si>
    <t>0011i000001xn8w</t>
  </si>
  <si>
    <t>0011i000001xnn1</t>
  </si>
  <si>
    <t>Meenara Clinic</t>
  </si>
  <si>
    <t>Block 422 Ang Mo Kio Avenue 3</t>
  </si>
  <si>
    <t>#01-2536</t>
  </si>
  <si>
    <t>200392</t>
  </si>
  <si>
    <t>560422</t>
  </si>
  <si>
    <t>0011i000001xn8x</t>
  </si>
  <si>
    <t>0011i000001xoqG</t>
  </si>
  <si>
    <t>Paragon #10-01</t>
  </si>
  <si>
    <t>Unity Pharmacy - Tampines Mall</t>
  </si>
  <si>
    <t>200247</t>
  </si>
  <si>
    <t>0011i000001xnKw</t>
  </si>
  <si>
    <t>Blk 158 Mei Ling Street</t>
  </si>
  <si>
    <t>140158</t>
  </si>
  <si>
    <t>0011i000001xnCI</t>
  </si>
  <si>
    <t>Blk 500 Toa Payoh Lorong 6</t>
  </si>
  <si>
    <t>#04-33 Biz One HDB</t>
  </si>
  <si>
    <t>310500</t>
  </si>
  <si>
    <t>0011i000001xmuf</t>
  </si>
  <si>
    <t>Blk 500 Toa Payoh</t>
  </si>
  <si>
    <t>#04-33 Bis One HDB Hub</t>
  </si>
  <si>
    <t>202440</t>
  </si>
  <si>
    <t>0011i000001xnMs</t>
  </si>
  <si>
    <t>#04-33 Biz One HDB HUB</t>
  </si>
  <si>
    <t>0011i000001xnFG</t>
  </si>
  <si>
    <t>0011i000001xnab</t>
  </si>
  <si>
    <t>0011i000001xnTf</t>
  </si>
  <si>
    <t>0011i000001xomc</t>
  </si>
  <si>
    <t>0011i000001xnIz</t>
  </si>
  <si>
    <t>0011i000001xo4S</t>
  </si>
  <si>
    <t>0011i000001xmfi</t>
  </si>
  <si>
    <t>200396</t>
  </si>
  <si>
    <t>0011i000001xnJw</t>
  </si>
  <si>
    <t>0011i000001xnmY</t>
  </si>
  <si>
    <t>0011i000001xnRV</t>
  </si>
  <si>
    <t>Blk 452 Ang Mo Kio Ave 10</t>
  </si>
  <si>
    <t>#01-1789</t>
  </si>
  <si>
    <t>201918</t>
  </si>
  <si>
    <t>0011i000001xomw</t>
  </si>
  <si>
    <t>0011i000001xn9N</t>
  </si>
  <si>
    <t>0011i000001xnBi</t>
  </si>
  <si>
    <t>Blk 849 Woodlands Street 82</t>
  </si>
  <si>
    <t>730849</t>
  </si>
  <si>
    <t>0011i000001xmfd</t>
  </si>
  <si>
    <t>533 Choa CHu Kang Street 51</t>
  </si>
  <si>
    <t>Limbang Shopping Ctr #01-33</t>
  </si>
  <si>
    <t>0011i000001xn8o</t>
  </si>
  <si>
    <t>1 Farrer Park Station #10-19</t>
  </si>
  <si>
    <t>Farrer Park Station Road Connexion</t>
  </si>
  <si>
    <t>1 Farrer Park Station Road #10-19</t>
  </si>
  <si>
    <t>Farrer Park Medical Centre Connexion</t>
  </si>
  <si>
    <t>0011i000001xnVz</t>
  </si>
  <si>
    <t>0011i000001xoDd</t>
  </si>
  <si>
    <t>0011i000001xnMF</t>
  </si>
  <si>
    <t>780 Upper Serangoon Road</t>
  </si>
  <si>
    <t>202550</t>
  </si>
  <si>
    <t>534649</t>
  </si>
  <si>
    <t>0011i000001xmro</t>
  </si>
  <si>
    <t>0011i000001xomQ</t>
  </si>
  <si>
    <t>0011i000001xmfa</t>
  </si>
  <si>
    <t>#05-02B Thomson Medical Centre</t>
  </si>
  <si>
    <t>0011i000001xo8e</t>
  </si>
  <si>
    <t>Raffles Japanese Clinic Pte Ltd</t>
  </si>
  <si>
    <t>#12-00 Raffles Hospital</t>
  </si>
  <si>
    <t>0011i000001xodc</t>
  </si>
  <si>
    <t>0011i000001xnn3</t>
  </si>
  <si>
    <t>Rakyat Clinic</t>
  </si>
  <si>
    <t>573 Balestier Road</t>
  </si>
  <si>
    <t>800013</t>
  </si>
  <si>
    <t>329888</t>
  </si>
  <si>
    <t>0011i000001xo7V</t>
  </si>
  <si>
    <t>0011i000001xnl9</t>
  </si>
  <si>
    <t>0011i000001xonG</t>
  </si>
  <si>
    <t>0011i000001xolt</t>
  </si>
  <si>
    <t>0011i000001xmnx</t>
  </si>
  <si>
    <t>145 Syed Alwi Road</t>
  </si>
  <si>
    <t>Mustafa Centre</t>
  </si>
  <si>
    <t>207704</t>
  </si>
  <si>
    <t>0011i000001xnn4</t>
  </si>
  <si>
    <t>Nawaz Clinic</t>
  </si>
  <si>
    <t>#01-841</t>
  </si>
  <si>
    <t>0011i000001xnn5</t>
  </si>
  <si>
    <t>Crescent Clinic &amp; Dental Surgery</t>
  </si>
  <si>
    <t>0011i000001xnfL</t>
  </si>
  <si>
    <t>0011i000001xorW</t>
  </si>
  <si>
    <t>Pinnacle Family Clinic</t>
  </si>
  <si>
    <t>240 River Valley Road</t>
  </si>
  <si>
    <t>238297</t>
  </si>
  <si>
    <t>0011i000001xoZi</t>
  </si>
  <si>
    <t>0011i000001xnn6</t>
  </si>
  <si>
    <t>#01-1143</t>
  </si>
  <si>
    <t>0011i000001xnnH</t>
  </si>
  <si>
    <t>Renal Department</t>
  </si>
  <si>
    <t>0011i000001xoaA</t>
  </si>
  <si>
    <t>0011i000001xndP</t>
  </si>
  <si>
    <t>0011i000001xmk5</t>
  </si>
  <si>
    <t>0011i000001xmjv</t>
  </si>
  <si>
    <t>3 Mount Elizabeth Block B Level 2</t>
  </si>
  <si>
    <t>0011i000001xnWn</t>
  </si>
  <si>
    <t>0011i000001xmou</t>
  </si>
  <si>
    <t>0011i000001xnVN</t>
  </si>
  <si>
    <t>0011i000001xngX</t>
  </si>
  <si>
    <t>Sengkang Family Clinic</t>
  </si>
  <si>
    <t>Blk 274D Compassvale Bow</t>
  </si>
  <si>
    <t>544274</t>
  </si>
  <si>
    <t>0011i000001xoXF</t>
  </si>
  <si>
    <t>Sembawang Mart Medical Centre</t>
  </si>
  <si>
    <t>511 Canberra Road</t>
  </si>
  <si>
    <t>#02-02A</t>
  </si>
  <si>
    <t>750511</t>
  </si>
  <si>
    <t>0011i000001xo5c</t>
  </si>
  <si>
    <t>Wan Medical Clinic</t>
  </si>
  <si>
    <t>Blk 416 Bedok North Avenue 2</t>
  </si>
  <si>
    <t>460416</t>
  </si>
  <si>
    <t>0011i00000wQq5R</t>
  </si>
  <si>
    <t>0011i000001xnn7</t>
  </si>
  <si>
    <t>Paragon Medical Centre</t>
  </si>
  <si>
    <t>#02-323</t>
  </si>
  <si>
    <t>0011i000001xnnA</t>
  </si>
  <si>
    <t>Kinder Family Clinic Pte Ltd</t>
  </si>
  <si>
    <t>Blk 501 Jurong West Street 51</t>
  </si>
  <si>
    <t>#01-277</t>
  </si>
  <si>
    <t>202654</t>
  </si>
  <si>
    <t>0011i000001xo4Z</t>
  </si>
  <si>
    <t>0011i000001xmxd</t>
  </si>
  <si>
    <t>0011i000001xmt9</t>
  </si>
  <si>
    <t>Blk 106A Punggol Field</t>
  </si>
  <si>
    <t>#01-546</t>
  </si>
  <si>
    <t>821106</t>
  </si>
  <si>
    <t>0011i000002Id6z</t>
  </si>
  <si>
    <t>70 Punggol Central #01-07</t>
  </si>
  <si>
    <t>Punggol MRT</t>
  </si>
  <si>
    <t>528868</t>
  </si>
  <si>
    <t>0011i000001xmnA</t>
  </si>
  <si>
    <t>319B Anchorvale Drive</t>
  </si>
  <si>
    <t>#01-92</t>
  </si>
  <si>
    <t>202432</t>
  </si>
  <si>
    <t>542319</t>
  </si>
  <si>
    <t>0011i000001xna2</t>
  </si>
  <si>
    <t>0011i000001xn74</t>
  </si>
  <si>
    <t>18 Cross Street #02-11/12</t>
  </si>
  <si>
    <t>China Square Central</t>
  </si>
  <si>
    <t>0011i000001xoV2</t>
  </si>
  <si>
    <t>SATA Uttaram Clinic</t>
  </si>
  <si>
    <t>900 South Woodalnds Drive</t>
  </si>
  <si>
    <t>Woodlands Civic Centre #04-01</t>
  </si>
  <si>
    <t>730900</t>
  </si>
  <si>
    <t>0011i000001xmzN</t>
  </si>
  <si>
    <t>5 Coleman Street</t>
  </si>
  <si>
    <t>#02-24 Excelsior Hotel</t>
  </si>
  <si>
    <t>203030</t>
  </si>
  <si>
    <t>0011i000002Id73</t>
  </si>
  <si>
    <t>0011i00000l5Vag</t>
  </si>
  <si>
    <t>0011i000001xnEe</t>
  </si>
  <si>
    <t>Blk 416 Saujana Road</t>
  </si>
  <si>
    <t>0011i000001xnbk</t>
  </si>
  <si>
    <t>Blk 301 Punggol Central</t>
  </si>
  <si>
    <t>820301</t>
  </si>
  <si>
    <t>0011i000002Id76</t>
  </si>
  <si>
    <t>0011i000001xmyD</t>
  </si>
  <si>
    <t>Blk 46-2 Commonwealth Drive</t>
  </si>
  <si>
    <t>201518</t>
  </si>
  <si>
    <t>140462</t>
  </si>
  <si>
    <t>0011i000001xmyz</t>
  </si>
  <si>
    <t>Blk 628 Senja Road</t>
  </si>
  <si>
    <t>#01-04 Senja Grand</t>
  </si>
  <si>
    <t>670628</t>
  </si>
  <si>
    <t>0011i000001xn7l</t>
  </si>
  <si>
    <t>Blk 790 Toa Payoh Central</t>
  </si>
  <si>
    <t>#01-53</t>
  </si>
  <si>
    <t>314079</t>
  </si>
  <si>
    <t>0011i000001xmwz</t>
  </si>
  <si>
    <t>0011i000001xnMk</t>
  </si>
  <si>
    <t>0011i000001xmyC</t>
  </si>
  <si>
    <t>6 Napier Road #05-17</t>
  </si>
  <si>
    <t>807059</t>
  </si>
  <si>
    <t>0011i000001xo71</t>
  </si>
  <si>
    <t>Neuroscience centre</t>
  </si>
  <si>
    <t>Raffles Hospital, Level 13</t>
  </si>
  <si>
    <t>0011i000001xnnB</t>
  </si>
  <si>
    <t>Selegie Medical Centre</t>
  </si>
  <si>
    <t>189 Selegie Road</t>
  </si>
  <si>
    <t>Selegie Centre #02-05</t>
  </si>
  <si>
    <t>188332</t>
  </si>
  <si>
    <t>0011i000001xnlM</t>
  </si>
  <si>
    <t>0011i000001xodR</t>
  </si>
  <si>
    <t>0011i00000Xf1H0</t>
  </si>
  <si>
    <t>0011i00000vyv1m</t>
  </si>
  <si>
    <t>30 Woodlands Avenue 2</t>
  </si>
  <si>
    <t>#01-47/48/49</t>
  </si>
  <si>
    <t>738343</t>
  </si>
  <si>
    <t>0011i000001xoPZ</t>
  </si>
  <si>
    <t>0011i000001xnhc</t>
  </si>
  <si>
    <t>0011i000001xoil</t>
  </si>
  <si>
    <t>0011i000001xoQw</t>
  </si>
  <si>
    <t>0011i00000Egz9I</t>
  </si>
  <si>
    <t>Pulse Clinic</t>
  </si>
  <si>
    <t>38 Beo Crescent #01-32</t>
  </si>
  <si>
    <t>The Beo Crescent</t>
  </si>
  <si>
    <t>Singapore 160038</t>
  </si>
  <si>
    <t>0011i000001xoYl</t>
  </si>
  <si>
    <t>Maritime Medeical Centre</t>
  </si>
  <si>
    <t>0011i000001xnnD</t>
  </si>
  <si>
    <t>24-Hour Medical Walk-In Clinic</t>
  </si>
  <si>
    <t>0011i000001xoWt</t>
  </si>
  <si>
    <t>Seed of lIfe, Fertility &amp; Women's Care Med Ctr</t>
  </si>
  <si>
    <t>38 Irrawaddy Road #06-41</t>
  </si>
  <si>
    <t>0011i000001xnnI</t>
  </si>
  <si>
    <t>Nair Cardiac &amp; Medical Centre</t>
  </si>
  <si>
    <t>#16-08 Mount Elizabeth Medical Centre</t>
  </si>
  <si>
    <t>200404</t>
  </si>
  <si>
    <t>0011i000001xn90</t>
  </si>
  <si>
    <t>0011i000001xoMk</t>
  </si>
  <si>
    <t>0011i000001xnnJ</t>
  </si>
  <si>
    <t>Sinnan Clinic</t>
  </si>
  <si>
    <t>390 Victoria Street</t>
  </si>
  <si>
    <t>#02-29 Golden Landmark</t>
  </si>
  <si>
    <t>200536</t>
  </si>
  <si>
    <t>188061</t>
  </si>
  <si>
    <t>0011i000001xnrh</t>
  </si>
  <si>
    <t>Clinic @ Costa</t>
  </si>
  <si>
    <t>0011i000001xn9C</t>
  </si>
  <si>
    <t>#01-22 Beauty World Centre</t>
  </si>
  <si>
    <t>0011i000001xo4a</t>
  </si>
  <si>
    <t>0011i000001xny7</t>
  </si>
  <si>
    <t>0011i000001xoAu</t>
  </si>
  <si>
    <t>0011i000001xmqp</t>
  </si>
  <si>
    <t>0011i000001xmqT</t>
  </si>
  <si>
    <t>0011i000001xmo4</t>
  </si>
  <si>
    <t>0011i00000Xf13b</t>
  </si>
  <si>
    <t>0011i000001xmpi</t>
  </si>
  <si>
    <t>0011i000001xn2R</t>
  </si>
  <si>
    <t>0011i000001xnNb</t>
  </si>
  <si>
    <t>0011i000001xmgz</t>
  </si>
  <si>
    <t>0011i000001xmjm</t>
  </si>
  <si>
    <t>0011i000001xn24</t>
  </si>
  <si>
    <t>0011i000001xn6k</t>
  </si>
  <si>
    <t>0011i000001xmlr</t>
  </si>
  <si>
    <t>0011i000001xmuE</t>
  </si>
  <si>
    <t>0011i000001xnPa</t>
  </si>
  <si>
    <t>0011i000001xmbC</t>
  </si>
  <si>
    <t>0011i000001xmod</t>
  </si>
  <si>
    <t>0011i000001xn5M</t>
  </si>
  <si>
    <t>0011i000001xmit</t>
  </si>
  <si>
    <t>0011i000001xn5Z</t>
  </si>
  <si>
    <t>0011i000001xnSi</t>
  </si>
  <si>
    <t>0011i000001xnXB</t>
  </si>
  <si>
    <t>0011i000001xnXz</t>
  </si>
  <si>
    <t>0011i000001xmh3</t>
  </si>
  <si>
    <t>400155</t>
  </si>
  <si>
    <t>0011i000001xmqa</t>
  </si>
  <si>
    <t>0011i000001xn0A</t>
  </si>
  <si>
    <t>0011i000001xnAR</t>
  </si>
  <si>
    <t>0011i000001xnEn</t>
  </si>
  <si>
    <t>0011i000001xmk3</t>
  </si>
  <si>
    <t>0011i000001xnMK</t>
  </si>
  <si>
    <t>0011i000001xnZz</t>
  </si>
  <si>
    <t>0011i000001xmii</t>
  </si>
  <si>
    <t>Lower Kent Ridge</t>
  </si>
  <si>
    <t>0011i000001xmuU</t>
  </si>
  <si>
    <t>0011i000001xnE9</t>
  </si>
  <si>
    <t>The Heart Institute</t>
  </si>
  <si>
    <t>0011i000001xnGP</t>
  </si>
  <si>
    <t>0011i000001xnPM</t>
  </si>
  <si>
    <t>0011i000001xnYI</t>
  </si>
  <si>
    <t>Department of Respiratory</t>
  </si>
  <si>
    <t>0011i000001xnYx</t>
  </si>
  <si>
    <t>0011i000001xnYy</t>
  </si>
  <si>
    <t>0011i000001xmo6</t>
  </si>
  <si>
    <t>0011i000001xnbT</t>
  </si>
  <si>
    <t>0011i000001xmjL</t>
  </si>
  <si>
    <t>0011i000001xmxM</t>
  </si>
  <si>
    <t>0011i000001xnXc</t>
  </si>
  <si>
    <t>10 Kent Ridge Crescent</t>
  </si>
  <si>
    <t>University Hall Level 6</t>
  </si>
  <si>
    <t>200653</t>
  </si>
  <si>
    <t>119260</t>
  </si>
  <si>
    <t>0011i000001xmub</t>
  </si>
  <si>
    <t>95 Lower Kent Ridge Road</t>
  </si>
  <si>
    <t>University Health &amp; Wellness Centre</t>
  </si>
  <si>
    <t>119078</t>
  </si>
  <si>
    <t>0011i000001xnOe</t>
  </si>
  <si>
    <t>0011i000001xmvq</t>
  </si>
  <si>
    <t>0011i000001xnhi</t>
  </si>
  <si>
    <t>0011i000007DNJJ</t>
  </si>
  <si>
    <t>0011i000001xnjQ</t>
  </si>
  <si>
    <t>0011i000001xnDV</t>
  </si>
  <si>
    <t>200409</t>
  </si>
  <si>
    <t>0011i000001xnnL</t>
  </si>
  <si>
    <t>Nei Neurology Clinic</t>
  </si>
  <si>
    <t>#11-04 Mount Elizabeth Medical Centre</t>
  </si>
  <si>
    <t>0011i000001xo66</t>
  </si>
  <si>
    <t>0011i000001xnC0</t>
  </si>
  <si>
    <t>0011i000001xn5v</t>
  </si>
  <si>
    <t>0011i000001xnL2</t>
  </si>
  <si>
    <t>Blk 683 Hougang Avenue 8</t>
  </si>
  <si>
    <t>#01-901</t>
  </si>
  <si>
    <t>200916</t>
  </si>
  <si>
    <t>0011i000007FG4q</t>
  </si>
  <si>
    <t>Northeast Medical Group Tampines</t>
  </si>
  <si>
    <t>20 Tampines Central 1</t>
  </si>
  <si>
    <t>#01-25 Tampines MRT Station</t>
  </si>
  <si>
    <t>529538</t>
  </si>
  <si>
    <t>0011i000001xnnM</t>
  </si>
  <si>
    <t>Ben Neo Clinic for Women</t>
  </si>
  <si>
    <t>0011i000001xo0I</t>
  </si>
  <si>
    <t>0011i000001xnnO</t>
  </si>
  <si>
    <t>Neo Medical Centre</t>
  </si>
  <si>
    <t>Block 120 Potong Pasir Avenue 1</t>
  </si>
  <si>
    <t>#01-818</t>
  </si>
  <si>
    <t>200412</t>
  </si>
  <si>
    <t>350120</t>
  </si>
  <si>
    <t>0011i000001xnnP</t>
  </si>
  <si>
    <t>Dr L.Y. Lai &amp; Neo Clinic</t>
  </si>
  <si>
    <t>0011i000001xoGE</t>
  </si>
  <si>
    <t>0011i000001xmwY</t>
  </si>
  <si>
    <t>Blk 257 Bangkit Road</t>
  </si>
  <si>
    <t>#01-45</t>
  </si>
  <si>
    <t>200903</t>
  </si>
  <si>
    <t>670257</t>
  </si>
  <si>
    <t>0011i000001xnnR</t>
  </si>
  <si>
    <t>Neoh &amp; Ong Medical Clinic</t>
  </si>
  <si>
    <t>Blk 2A Eunos Crescent</t>
  </si>
  <si>
    <t>#01-2447</t>
  </si>
  <si>
    <t>200941</t>
  </si>
  <si>
    <t>401002</t>
  </si>
  <si>
    <t>0011i000001xmwZ</t>
  </si>
  <si>
    <t>0011i000001xndU</t>
  </si>
  <si>
    <t>0011i000001xnZq</t>
  </si>
  <si>
    <t>0011i000001xn87</t>
  </si>
  <si>
    <t>0011i000001xmv7</t>
  </si>
  <si>
    <t>#05-39 Gleneagles Hospital Annexe Block</t>
  </si>
  <si>
    <t>202310</t>
  </si>
  <si>
    <t>0011i00000eV10e</t>
  </si>
  <si>
    <t>17-16 Mount Elizabeth Medical Centre</t>
  </si>
  <si>
    <t>0011i000001xmfG</t>
  </si>
  <si>
    <t>0011i000001xmjs</t>
  </si>
  <si>
    <t>0011i000001xmvi</t>
  </si>
  <si>
    <t>Hospital Annexex Block</t>
  </si>
  <si>
    <t>6A napier Road</t>
  </si>
  <si>
    <t>0011i000001xnc5</t>
  </si>
  <si>
    <t>#18-02A Liat Towers</t>
  </si>
  <si>
    <t>201230</t>
  </si>
  <si>
    <t>0011i000001xnV5</t>
  </si>
  <si>
    <t>35 Selegie Road #03-02</t>
  </si>
  <si>
    <t>0011i000001xmr2</t>
  </si>
  <si>
    <t>0011i000001xn1f</t>
  </si>
  <si>
    <t>201370</t>
  </si>
  <si>
    <t>0011i000001xn38</t>
  </si>
  <si>
    <t>1 Jalan Berseh #01-02</t>
  </si>
  <si>
    <t>New World Centre</t>
  </si>
  <si>
    <t>209037</t>
  </si>
  <si>
    <t>0011i000001xnci</t>
  </si>
  <si>
    <t>0011i000001xnVu</t>
  </si>
  <si>
    <t>3 Mount Elizabeth #11-02</t>
  </si>
  <si>
    <t>0011i000001xnnS</t>
  </si>
  <si>
    <t>Cardiology Clinic Pte Ltd</t>
  </si>
  <si>
    <t>0011i000001xoYZ</t>
  </si>
  <si>
    <t>0011i000001xoZ5</t>
  </si>
  <si>
    <t>0011i000001xnnT</t>
  </si>
  <si>
    <t>Bukit Merah Clinic</t>
  </si>
  <si>
    <t>0011i000001xo4d</t>
  </si>
  <si>
    <t>Ng Beng Yeong Psych Medicine Clinic</t>
  </si>
  <si>
    <t>3 Mount Elizabeth #15-05</t>
  </si>
  <si>
    <t>0011i000001xo12</t>
  </si>
  <si>
    <t>0011i000001xnnV</t>
  </si>
  <si>
    <t>Family Medicine Clinic</t>
  </si>
  <si>
    <t>0011i000001xnnW</t>
  </si>
  <si>
    <t>Hope Family Clinic &amp; Surgery</t>
  </si>
  <si>
    <t>0011i000001xo4i</t>
  </si>
  <si>
    <t>GynaeMD Women's &amp; Rejuvenation Clinic</t>
  </si>
  <si>
    <t>0011i000001xoOA</t>
  </si>
  <si>
    <t>ONE Surgical Clinic &amp; Surgery</t>
  </si>
  <si>
    <t>38 Irrawaddy Road #09-23</t>
  </si>
  <si>
    <t>0011i000001xngm</t>
  </si>
  <si>
    <t>0011i000001xoJ7</t>
  </si>
  <si>
    <t>Senja Family Clinic</t>
  </si>
  <si>
    <t>Blk 609</t>
  </si>
  <si>
    <t>#B1-908 Bt Panjang Ring Road</t>
  </si>
  <si>
    <t>202842</t>
  </si>
  <si>
    <t>670609</t>
  </si>
  <si>
    <t>0011i000001xoMj</t>
  </si>
  <si>
    <t>0011i000001xnna</t>
  </si>
  <si>
    <t>United Family Clinic</t>
  </si>
  <si>
    <t>802480</t>
  </si>
  <si>
    <t>0011i000001xo8k</t>
  </si>
  <si>
    <t>Cassia Clinic &amp; Surgery</t>
  </si>
  <si>
    <t>0011i000001xo8l</t>
  </si>
  <si>
    <t>0011i000001xobD</t>
  </si>
  <si>
    <t>A&amp;E Department</t>
  </si>
  <si>
    <t>0011i000001xon0</t>
  </si>
  <si>
    <t>Eterna Medical Clinic</t>
  </si>
  <si>
    <t>Blk 629 Ang Mo Kio Ave 4</t>
  </si>
  <si>
    <t>0011i000001xnnb</t>
  </si>
  <si>
    <t>Faber Clinic &amp; Surgery</t>
  </si>
  <si>
    <t>0011i000001xnnc</t>
  </si>
  <si>
    <t>E.C. Ng Medical Centre</t>
  </si>
  <si>
    <t>2 Marne Road #01-01</t>
  </si>
  <si>
    <t>Studios@Marne</t>
  </si>
  <si>
    <t>208393</t>
  </si>
  <si>
    <t>0011i000001xo4k</t>
  </si>
  <si>
    <t>0011i000001xnne</t>
  </si>
  <si>
    <t>Dr G.K. Ng Clinic for Women</t>
  </si>
  <si>
    <t>0011i000001xnng</t>
  </si>
  <si>
    <t>Sheffield Clinic &amp; Surgery</t>
  </si>
  <si>
    <t>Blk 69 Toa Payoh Lorong 4</t>
  </si>
  <si>
    <t>201326</t>
  </si>
  <si>
    <t>310069</t>
  </si>
  <si>
    <t>0011i00000vwvps</t>
  </si>
  <si>
    <t>Blk 415 Bukit Batok West Ave 4</t>
  </si>
  <si>
    <t>801387</t>
  </si>
  <si>
    <t>650415</t>
  </si>
  <si>
    <t>Family Care Clinic Pte Ltd</t>
  </si>
  <si>
    <t>0011i000001xo8G</t>
  </si>
  <si>
    <t>Department of Gastroenterology</t>
  </si>
  <si>
    <t>0011i000001xnnh</t>
  </si>
  <si>
    <t>Hong's Clinic People's Park Centre</t>
  </si>
  <si>
    <t>0011i000001xnni</t>
  </si>
  <si>
    <t>Medical &amp; Haematology Clinic</t>
  </si>
  <si>
    <t>0011i000001xoIF</t>
  </si>
  <si>
    <t>0011i000001xniY</t>
  </si>
  <si>
    <t>0011i000001xnnj</t>
  </si>
  <si>
    <t>Evangel Medical Clinic</t>
  </si>
  <si>
    <t>0011i000001xoav</t>
  </si>
  <si>
    <t>Department of Neurosurgeon</t>
  </si>
  <si>
    <t>0011i000001xoQB</t>
  </si>
  <si>
    <t>Arden Endocrinology Specialist Clinic</t>
  </si>
  <si>
    <t>38 Irrawaddy Road #09-45/46</t>
  </si>
  <si>
    <t>0011i000001xnxf</t>
  </si>
  <si>
    <t>0011i000001xopP</t>
  </si>
  <si>
    <t>0011i000001xnnl</t>
  </si>
  <si>
    <t>Galilee Clinic</t>
  </si>
  <si>
    <t>0011i000001xnkP</t>
  </si>
  <si>
    <t>0011i000001xoC9</t>
  </si>
  <si>
    <t>0011i000001xoJb</t>
  </si>
  <si>
    <t>KH Ng Colorectal Surgery</t>
  </si>
  <si>
    <t>Road #10-036 Napier</t>
  </si>
  <si>
    <t>0011i000001xo4l</t>
  </si>
  <si>
    <t>KS Ng Cardiology Pte Ltd</t>
  </si>
  <si>
    <t>0011i000001xnnm</t>
  </si>
  <si>
    <t>Cambridge Clinic</t>
  </si>
  <si>
    <t>0011i000001xort</t>
  </si>
  <si>
    <t>0011i000001xoGq</t>
  </si>
  <si>
    <t>Novena Heart Centre</t>
  </si>
  <si>
    <t>38 Irrawaddy Road #06-42</t>
  </si>
  <si>
    <t>0011i000001xo4m</t>
  </si>
  <si>
    <t>0011i000001xo4n</t>
  </si>
  <si>
    <t>0011i000001xno0</t>
  </si>
  <si>
    <t>0011i000001xoqs</t>
  </si>
  <si>
    <t>0011i000001xoIX</t>
  </si>
  <si>
    <t>0011i00000Xf1Go</t>
  </si>
  <si>
    <t>0011i000001xnns</t>
  </si>
  <si>
    <t>May Medical Clinic &amp; Surgery</t>
  </si>
  <si>
    <t>0011i000001xomB</t>
  </si>
  <si>
    <t>Kim Tian Clinic</t>
  </si>
  <si>
    <t>0011i00000w07R1</t>
  </si>
  <si>
    <t>0011i000007FFc0</t>
  </si>
  <si>
    <t>0011i000001xnnu</t>
  </si>
  <si>
    <t>Medical &amp; G.E. Clinic</t>
  </si>
  <si>
    <t>0011i00000Xf1Gq</t>
  </si>
  <si>
    <t>0011i000001xnnx</t>
  </si>
  <si>
    <t>S Y Ng Clinic</t>
  </si>
  <si>
    <t>226A Ang Mo Kio Ave 1</t>
  </si>
  <si>
    <t>#01-631</t>
  </si>
  <si>
    <t>200427</t>
  </si>
  <si>
    <t>561226</t>
  </si>
  <si>
    <t>0011i00000uRls3</t>
  </si>
  <si>
    <t>0011i000001xoKA</t>
  </si>
  <si>
    <t>Frontier Healthcare Ubi</t>
  </si>
  <si>
    <t>Blk 304 Ubi Ave 1</t>
  </si>
  <si>
    <t>200974</t>
  </si>
  <si>
    <t>0011i000001xo4v</t>
  </si>
  <si>
    <t>0011i000001xo8H</t>
  </si>
  <si>
    <t>Napier Road</t>
  </si>
  <si>
    <t>#01-386A Gleneagles Hospital Annex</t>
  </si>
  <si>
    <t>202576</t>
  </si>
  <si>
    <t>0011i000001xno3</t>
  </si>
  <si>
    <t>Acumed Medical Group - Taman Jurong</t>
  </si>
  <si>
    <t>0011i000001xoKl</t>
  </si>
  <si>
    <t>0011i000001xoKw</t>
  </si>
  <si>
    <t>0011i000001xo4w</t>
  </si>
  <si>
    <t>Ng Tay Meng Gastrointestinal &amp; Liver Clinic</t>
  </si>
  <si>
    <t>6 Napier Road #08-01</t>
  </si>
  <si>
    <t>Glkeneagles Medical Centre</t>
  </si>
  <si>
    <t>0011i000001xno4</t>
  </si>
  <si>
    <t>Simei Clinic &amp; Surgery</t>
  </si>
  <si>
    <t>248 Simei Street 3</t>
  </si>
  <si>
    <t>#01-132</t>
  </si>
  <si>
    <t>201030</t>
  </si>
  <si>
    <t>0011i000001xo8y</t>
  </si>
  <si>
    <t>Sunshine Clinic</t>
  </si>
  <si>
    <t>445 Tampines Street 42</t>
  </si>
  <si>
    <t>202018</t>
  </si>
  <si>
    <t>520445</t>
  </si>
  <si>
    <t>0011i000001xo8q</t>
  </si>
  <si>
    <t>Dept of Orthopaedic</t>
  </si>
  <si>
    <t>0011i000001xno6</t>
  </si>
  <si>
    <t>Faith Clinic (Rivervale)</t>
  </si>
  <si>
    <t>11 Rivervale Crescent</t>
  </si>
  <si>
    <t>#01-10 Rivervale Mall</t>
  </si>
  <si>
    <t>202843</t>
  </si>
  <si>
    <t>545082</t>
  </si>
  <si>
    <t>0011i000007DsK9</t>
  </si>
  <si>
    <t>T G NG KIDNEY &amp; Medical Centre</t>
  </si>
  <si>
    <t>6 Napier Road #09-19</t>
  </si>
  <si>
    <t>Gleneagles medical centre</t>
  </si>
  <si>
    <t>0011i000001xoLB</t>
  </si>
  <si>
    <t>0011i000001xo8z</t>
  </si>
  <si>
    <t>0011i000001xoW1</t>
  </si>
  <si>
    <t>0011i000001xoVO</t>
  </si>
  <si>
    <t>0011i000001xo4x</t>
  </si>
  <si>
    <t>0011i000001xnml</t>
  </si>
  <si>
    <t>0011i000001xnpG</t>
  </si>
  <si>
    <t>0011i000001xoDj</t>
  </si>
  <si>
    <t>London (MH) Clinic &amp; Surgery</t>
  </si>
  <si>
    <t>0011i000001xote</t>
  </si>
  <si>
    <t>0011i000001xoEX</t>
  </si>
  <si>
    <t>0011i000001xnHm</t>
  </si>
  <si>
    <t>0011i000001xoXa</t>
  </si>
  <si>
    <t>Department of Cardiac Anaesthesia</t>
  </si>
  <si>
    <t>0011i00000Xf1Im</t>
  </si>
  <si>
    <t>CURIE Oncology</t>
  </si>
  <si>
    <t>0011i000001xo90</t>
  </si>
  <si>
    <t>0011i000001xohI</t>
  </si>
  <si>
    <t>0011i00000Xf1HP</t>
  </si>
  <si>
    <t>0011i000001xnEz</t>
  </si>
  <si>
    <t>#06-09 Gleneagles Medical Centre</t>
  </si>
  <si>
    <t>201500</t>
  </si>
  <si>
    <t>0011i000001xmct</t>
  </si>
  <si>
    <t>0011i000001xnVW</t>
  </si>
  <si>
    <t>0011i000001xngR</t>
  </si>
  <si>
    <t>0011i000001xobH</t>
  </si>
  <si>
    <t>0011i000001xo4y</t>
  </si>
  <si>
    <t>Ngui Psychiatry &amp; Associates</t>
  </si>
  <si>
    <t>10 Sinaran Drive #11-23</t>
  </si>
  <si>
    <t>0011i000001xnGY</t>
  </si>
  <si>
    <t>0011i000001xmkr</t>
  </si>
  <si>
    <t>0011i000001xoGz</t>
  </si>
  <si>
    <t>Grammery Heart &amp; Vascular Centre</t>
  </si>
  <si>
    <t>0011i000001xndJ</t>
  </si>
  <si>
    <t>825 Tampines Street 8</t>
  </si>
  <si>
    <t>#01-64</t>
  </si>
  <si>
    <t>0011i000001xmsb</t>
  </si>
  <si>
    <t>6A Napier Road #03-37</t>
  </si>
  <si>
    <t>0011i000001xoFd</t>
  </si>
  <si>
    <t>0011i000001xnfo</t>
  </si>
  <si>
    <t>0011i000001xnLx</t>
  </si>
  <si>
    <t>0011i000001xmzn</t>
  </si>
  <si>
    <t>820 Thomson Road #01-03</t>
  </si>
  <si>
    <t>Mount Alvernia  Medical Centre</t>
  </si>
  <si>
    <t>0011i000001xnFU</t>
  </si>
  <si>
    <t>0011i000001xosy</t>
  </si>
  <si>
    <t>0011i000001xoqd</t>
  </si>
  <si>
    <t>Shenton Family Medical Clinic</t>
  </si>
  <si>
    <t>#01-67</t>
  </si>
  <si>
    <t>0011i000001xoEr</t>
  </si>
  <si>
    <t>Zam Family Clinic</t>
  </si>
  <si>
    <t>Blk 516 Choa Chu Kang St 51</t>
  </si>
  <si>
    <t>203161</t>
  </si>
  <si>
    <t>0011i000001xnt2</t>
  </si>
  <si>
    <t>0011i000001xoA8</t>
  </si>
  <si>
    <t>0011i000001xmyW</t>
  </si>
  <si>
    <t>0011i000001xnT0</t>
  </si>
  <si>
    <t>22 Malacca Street #13-01</t>
  </si>
  <si>
    <t>Raffles Place, Royal Brothers Bldg</t>
  </si>
  <si>
    <t>0011i000001xmlV</t>
  </si>
  <si>
    <t>#B1-00</t>
  </si>
  <si>
    <t>48979</t>
  </si>
  <si>
    <t>0011i000001xnKY</t>
  </si>
  <si>
    <t>994 Bendemmer Road</t>
  </si>
  <si>
    <t>#06-09B Central</t>
  </si>
  <si>
    <t>339943</t>
  </si>
  <si>
    <t>0011i000001xmfm</t>
  </si>
  <si>
    <t>Blk 531 Bedok North Street 3</t>
  </si>
  <si>
    <t>#01-692</t>
  </si>
  <si>
    <t>460531</t>
  </si>
  <si>
    <t>0011i000001xnKS</t>
  </si>
  <si>
    <t>Blk 633 Bukit Batok Central</t>
  </si>
  <si>
    <t>#01-128</t>
  </si>
  <si>
    <t>650633</t>
  </si>
  <si>
    <t>0011i000001xmio</t>
  </si>
  <si>
    <t>0011i000007FG5Z</t>
  </si>
  <si>
    <t>0011i000001xmst</t>
  </si>
  <si>
    <t>0011i000001xn22</t>
  </si>
  <si>
    <t>0011i000007Eavq</t>
  </si>
  <si>
    <t>785E Woodlands Rise</t>
  </si>
  <si>
    <t>735785</t>
  </si>
  <si>
    <t>0011i000001xmfJ</t>
  </si>
  <si>
    <t>38 Irrawaddy Road #09-41</t>
  </si>
  <si>
    <t>0011i000001xnAj</t>
  </si>
  <si>
    <t>0011i000001xnEP</t>
  </si>
  <si>
    <t>#09-05 Novena Medical Centre</t>
  </si>
  <si>
    <t>203115</t>
  </si>
  <si>
    <t>0011i000001xmjN</t>
  </si>
  <si>
    <t>#09-06 Novena Medical Centre</t>
  </si>
  <si>
    <t>0011i000001xnAi</t>
  </si>
  <si>
    <t>38 Irrawaddy Road #07-58</t>
  </si>
  <si>
    <t>0011i000001xnEh</t>
  </si>
  <si>
    <t>0011i000001xmwG</t>
  </si>
  <si>
    <t>10 Sinaran Drive #10-21</t>
  </si>
  <si>
    <t>Novena Medical Center</t>
  </si>
  <si>
    <t>0011i000001xmvB</t>
  </si>
  <si>
    <t>914 East Coast Road #01-03</t>
  </si>
  <si>
    <t>The Domain</t>
  </si>
  <si>
    <t>459108</t>
  </si>
  <si>
    <t>0011i00000oYBGv</t>
  </si>
  <si>
    <t>0011i000001xn69</t>
  </si>
  <si>
    <t>#17-03 Mount Elizabeth Medical Centre</t>
  </si>
  <si>
    <t>202165</t>
  </si>
  <si>
    <t>0011i000001xnd8</t>
  </si>
  <si>
    <t>312 Bedok Road</t>
  </si>
  <si>
    <t>201936</t>
  </si>
  <si>
    <t>469514</t>
  </si>
  <si>
    <t>0011i000001xmkZ</t>
  </si>
  <si>
    <t>203210</t>
  </si>
  <si>
    <t>0011i000001xnZd</t>
  </si>
  <si>
    <t>10 Sinaran Drive #09-12</t>
  </si>
  <si>
    <t>0011i000001xmyV</t>
  </si>
  <si>
    <t>#05-38 Gleneagles Hospital Annex Block</t>
  </si>
  <si>
    <t>805141</t>
  </si>
  <si>
    <t>0011i000001xmiD</t>
  </si>
  <si>
    <t>0011i000001xnJR</t>
  </si>
  <si>
    <t>202609</t>
  </si>
  <si>
    <t>0011i000001xnUI</t>
  </si>
  <si>
    <t>Blk 56 New Upper Changi Road</t>
  </si>
  <si>
    <t>#01-1322</t>
  </si>
  <si>
    <t>807128</t>
  </si>
  <si>
    <t>0011i000001xoQt</t>
  </si>
  <si>
    <t>My Gynae Pte Ltd</t>
  </si>
  <si>
    <t>0011i000001xnoC</t>
  </si>
  <si>
    <t>Oei Clinic</t>
  </si>
  <si>
    <t>59 New Upper Changi Road</t>
  </si>
  <si>
    <t>#01-1284</t>
  </si>
  <si>
    <t>0011i000001xmwl</t>
  </si>
  <si>
    <t>0011i000001xo7Y</t>
  </si>
  <si>
    <t>The Clinic @ One George Street</t>
  </si>
  <si>
    <t>1 George Street</t>
  </si>
  <si>
    <t>#05-05 Lobby C</t>
  </si>
  <si>
    <t>49145</t>
  </si>
  <si>
    <t>0011i000001xnch</t>
  </si>
  <si>
    <t>#09-06 Mount Elizabeth Medical Centre</t>
  </si>
  <si>
    <t>200712</t>
  </si>
  <si>
    <t>0011i000001xnBS</t>
  </si>
  <si>
    <t>0011i000001xoCg</t>
  </si>
  <si>
    <t>University Health Service</t>
  </si>
  <si>
    <t>0011i000001xofn</t>
  </si>
  <si>
    <t>Family Medicine Clinic @ Chinatown</t>
  </si>
  <si>
    <t>0011i000001xnoD</t>
  </si>
  <si>
    <t>Drs Wee &amp; Oh</t>
  </si>
  <si>
    <t>0011i00000Ju23G</t>
  </si>
  <si>
    <t>0011i000007DNLe</t>
  </si>
  <si>
    <t>0011i000005IdST</t>
  </si>
  <si>
    <t>0011i000001xnoE</t>
  </si>
  <si>
    <t>Klinik Omar</t>
  </si>
  <si>
    <t>0011i00000Xf13u</t>
  </si>
  <si>
    <t>0011i00000Xf13w</t>
  </si>
  <si>
    <t>820 Thomson Road #08-53</t>
  </si>
  <si>
    <t>Medical Centre D Mount Alvernia Hospital</t>
  </si>
  <si>
    <t>0011i00000Xf13q</t>
  </si>
  <si>
    <t>0011i00000Xf13r</t>
  </si>
  <si>
    <t>0011i00000Xf13t</t>
  </si>
  <si>
    <t>0011i000001xmkO</t>
  </si>
  <si>
    <t>0011i000001xnEC</t>
  </si>
  <si>
    <t>0011i000001xmkY</t>
  </si>
  <si>
    <t>0011i000001xnGD</t>
  </si>
  <si>
    <t>BLk 630 Bukit Batok Central</t>
  </si>
  <si>
    <t>#01-148</t>
  </si>
  <si>
    <t>650630</t>
  </si>
  <si>
    <t>0011i000001xnT5</t>
  </si>
  <si>
    <t>#01-3611</t>
  </si>
  <si>
    <t>202132</t>
  </si>
  <si>
    <t>0011i000001xmhO</t>
  </si>
  <si>
    <t>0011i000001xnOg</t>
  </si>
  <si>
    <t>0011i000001xmkq</t>
  </si>
  <si>
    <t>83 Punggol Central</t>
  </si>
  <si>
    <t>#02-17 Waterway Point</t>
  </si>
  <si>
    <t>828761</t>
  </si>
  <si>
    <t>0011i000002Id6x</t>
  </si>
  <si>
    <t>0011i000001xmlK</t>
  </si>
  <si>
    <t>0011i000001xndD</t>
  </si>
  <si>
    <t>710 Ang Mo Kio Ave 8</t>
  </si>
  <si>
    <t>0011i00000wQqA7</t>
  </si>
  <si>
    <t>0011i000001xoOV</t>
  </si>
  <si>
    <t>9 Penag Road #07-04</t>
  </si>
  <si>
    <t>0011i000001xoXb</t>
  </si>
  <si>
    <t>0011i000001xnoL</t>
  </si>
  <si>
    <t>Prime Health Med Group</t>
  </si>
  <si>
    <t>81 Clemenceau Avenue</t>
  </si>
  <si>
    <t>#03-22 UE Square</t>
  </si>
  <si>
    <t>239917</t>
  </si>
  <si>
    <t>0011i000001xo99</t>
  </si>
  <si>
    <t>0011i000001xo9A</t>
  </si>
  <si>
    <t>Parkson Medical Clinic &amp; Surgery</t>
  </si>
  <si>
    <t>Block 137 Potong Pasir Avenue 3</t>
  </si>
  <si>
    <t>#01-146</t>
  </si>
  <si>
    <t>201900</t>
  </si>
  <si>
    <t>350137</t>
  </si>
  <si>
    <t>0011i000001xnoM</t>
  </si>
  <si>
    <t>Ong Clinic</t>
  </si>
  <si>
    <t>Blk 83 Toa Payoh Lorong 2</t>
  </si>
  <si>
    <t>#01-455</t>
  </si>
  <si>
    <t>800088</t>
  </si>
  <si>
    <t>310083</t>
  </si>
  <si>
    <t>0011i000007DNLF</t>
  </si>
  <si>
    <t>0011i000001xoFK</t>
  </si>
  <si>
    <t>0011i000001xoMw</t>
  </si>
  <si>
    <t>Marine Terrace Family Clinic</t>
  </si>
  <si>
    <t>0011i000001xoks</t>
  </si>
  <si>
    <t>0011i000007DNMS</t>
  </si>
  <si>
    <t>0011i000001xoP1</t>
  </si>
  <si>
    <t>HL Family Clinic &amp; Surgery</t>
  </si>
  <si>
    <t>Blk 111 Jalan Bukit Merah</t>
  </si>
  <si>
    <t>#01-1706</t>
  </si>
  <si>
    <t>160111</t>
  </si>
  <si>
    <t>0011i000001xoJj</t>
  </si>
  <si>
    <t>0011i000001xo52</t>
  </si>
  <si>
    <t>0011i000001xo2h</t>
  </si>
  <si>
    <t>0011i000001xo8M</t>
  </si>
  <si>
    <t>9 Raffles Place</t>
  </si>
  <si>
    <t>#02-22 Republic Plaza II</t>
  </si>
  <si>
    <t>202989</t>
  </si>
  <si>
    <t>48619</t>
  </si>
  <si>
    <t>0011i000001xo2d</t>
  </si>
  <si>
    <t>0011i00000FIGMB</t>
  </si>
  <si>
    <t>Parson Medical Clinic</t>
  </si>
  <si>
    <t>779 Yishun Ave 2</t>
  </si>
  <si>
    <t>#01-1541</t>
  </si>
  <si>
    <t>0011i000001xnoS</t>
  </si>
  <si>
    <t>0011i000001xoDf</t>
  </si>
  <si>
    <t>Julian Ong Endoscopy &amp; Surgery</t>
  </si>
  <si>
    <t>0011i000001xoFs</t>
  </si>
  <si>
    <t>Department of Haematology</t>
  </si>
  <si>
    <t>0011i000001xnoU</t>
  </si>
  <si>
    <t>K.K. Ong Heart &amp; Lung Clinic Pte Ltd</t>
  </si>
  <si>
    <t>0011i000001xoFR</t>
  </si>
  <si>
    <t>0011i00000PG8N1</t>
  </si>
  <si>
    <t>0011i00000rb9HI</t>
  </si>
  <si>
    <t>0011i000001xo9G</t>
  </si>
  <si>
    <t>Point Medical Group</t>
  </si>
  <si>
    <t>Blk 399 Yung Sheng Road</t>
  </si>
  <si>
    <t>#01-31 Taman Jurong Shopping Centre</t>
  </si>
  <si>
    <t>610399</t>
  </si>
  <si>
    <t>0011i000001xnoW</t>
  </si>
  <si>
    <t>0011i00000tVKLX</t>
  </si>
  <si>
    <t>Shenton Medical Group - Esplanade Xchange</t>
  </si>
  <si>
    <t>90 Bras Basah Road</t>
  </si>
  <si>
    <t>B1-02</t>
  </si>
  <si>
    <t>189562</t>
  </si>
  <si>
    <t>0011i000001xo55</t>
  </si>
  <si>
    <t>0011i000007DNKq</t>
  </si>
  <si>
    <t>0011i000001xo9K</t>
  </si>
  <si>
    <t>Yusof Ishak House</t>
  </si>
  <si>
    <t>Kent Ridge Crescent</t>
  </si>
  <si>
    <t>803996</t>
  </si>
  <si>
    <t>0011i000001xo56</t>
  </si>
  <si>
    <t>0011i00000ufvJc</t>
  </si>
  <si>
    <t>0011i000001xnl2</t>
  </si>
  <si>
    <t>0011i000001xoNG</t>
  </si>
  <si>
    <t>0011i000001xoLt</t>
  </si>
  <si>
    <t>0011i000001xoeP</t>
  </si>
  <si>
    <t>0011i000001xnoa</t>
  </si>
  <si>
    <t>3 Mt Elizabeth #15-17</t>
  </si>
  <si>
    <t>0011i000001xnof</t>
  </si>
  <si>
    <t>0011i000001xo57</t>
  </si>
  <si>
    <t>0011i000001xo9L</t>
  </si>
  <si>
    <t>Kreta Ayer Clinic Pte Ltd</t>
  </si>
  <si>
    <t>0011i000001xolH</t>
  </si>
  <si>
    <t>276 Jurong West St 25</t>
  </si>
  <si>
    <t>0011i000001xnog</t>
  </si>
  <si>
    <t>Ong Theng Kiat Clinic &amp; Surgery for Women</t>
  </si>
  <si>
    <t>#08-08 Gleneagles Medical Centre</t>
  </si>
  <si>
    <t>800159</t>
  </si>
  <si>
    <t>0011i000001xnoh</t>
  </si>
  <si>
    <t>Ong Medical Clinic</t>
  </si>
  <si>
    <t>Blk 316B Ang Mo Kio Street 31</t>
  </si>
  <si>
    <t>200436</t>
  </si>
  <si>
    <t>560307</t>
  </si>
  <si>
    <t>0011i000001xnoi</t>
  </si>
  <si>
    <t>Jireh Medical Clinic</t>
  </si>
  <si>
    <t>0011i000001xo58</t>
  </si>
  <si>
    <t>0011i000001xoIn</t>
  </si>
  <si>
    <t>0011i000001xnla</t>
  </si>
  <si>
    <t>0011i000001xorC</t>
  </si>
  <si>
    <t>Healthway Jurong West Clinic</t>
  </si>
  <si>
    <t>0011i000001xnol</t>
  </si>
  <si>
    <t>Ong's Clinic</t>
  </si>
  <si>
    <t>175 Bencoolen</t>
  </si>
  <si>
    <t>#01-44 Burlington Square</t>
  </si>
  <si>
    <t>200434</t>
  </si>
  <si>
    <t>180013</t>
  </si>
  <si>
    <t>0011i000001xoay</t>
  </si>
  <si>
    <t>0011i000001xo8K</t>
  </si>
  <si>
    <t>0011i000001xnMb</t>
  </si>
  <si>
    <t>175 Bencoonlen Street</t>
  </si>
  <si>
    <t>#01-44  Burlington Square</t>
  </si>
  <si>
    <t>189649</t>
  </si>
  <si>
    <t>0011i000001xndV</t>
  </si>
  <si>
    <t>0011i000001xmkn</t>
  </si>
  <si>
    <t>#01-56</t>
  </si>
  <si>
    <t>203179</t>
  </si>
  <si>
    <t>0011i000001xndG</t>
  </si>
  <si>
    <t>0011i000001xndH</t>
  </si>
  <si>
    <t>Blk 463 Jurong West Street 41</t>
  </si>
  <si>
    <t>#01-560</t>
  </si>
  <si>
    <t>200437</t>
  </si>
  <si>
    <t>640463</t>
  </si>
  <si>
    <t>0011i000001xoSG</t>
  </si>
  <si>
    <t>0011i000001xo8g</t>
  </si>
  <si>
    <t>0011i000001xoXP</t>
  </si>
  <si>
    <t>B S Ooi Colorectal, General &amp; Laparoscopic Surgery Centre</t>
  </si>
  <si>
    <t>0011i000001xngo</t>
  </si>
  <si>
    <t>0011i000001xnqH</t>
  </si>
  <si>
    <t>0011i000001xnh8</t>
  </si>
  <si>
    <t>Central (Clinic + Surgery)</t>
  </si>
  <si>
    <t>Blk 83 Marine Parade Central</t>
  </si>
  <si>
    <t>#01-630</t>
  </si>
  <si>
    <t>0011i000001xnom</t>
  </si>
  <si>
    <t>Alex Ooi &amp; Associates Obgyn Consultants</t>
  </si>
  <si>
    <t>0011i000001xoPv</t>
  </si>
  <si>
    <t>0011i000001xoDw</t>
  </si>
  <si>
    <t>Parkway Shenton Medical</t>
  </si>
  <si>
    <t>0011i000001xnon</t>
  </si>
  <si>
    <t>Civic Clinic</t>
  </si>
  <si>
    <t>0011i00000Xf1It</t>
  </si>
  <si>
    <t>International Cancer Specialists</t>
  </si>
  <si>
    <t>290 Orchard Road #15-01/02</t>
  </si>
  <si>
    <t>Paragon Tower 1 Lobby F</t>
  </si>
  <si>
    <t>0011i000001xoek</t>
  </si>
  <si>
    <t>Sozo Cardiology</t>
  </si>
  <si>
    <t>38 Irrawaddy Road #06-39</t>
  </si>
  <si>
    <t>0011i000007EdiF</t>
  </si>
  <si>
    <t>Blk 624 Choa Chua Kang St 62</t>
  </si>
  <si>
    <t>#01-226</t>
  </si>
  <si>
    <t>201324</t>
  </si>
  <si>
    <t>Temasek Medical Centre</t>
  </si>
  <si>
    <t>0011i000001xnop</t>
  </si>
  <si>
    <t>Tropical Med &amp; Infectious Diseases</t>
  </si>
  <si>
    <t>#12-09 Mount Elizabeth Medical Centre</t>
  </si>
  <si>
    <t>0011i000001xnJN</t>
  </si>
  <si>
    <t>#07-17 Gleneagles Medical Centre</t>
  </si>
  <si>
    <t>201850</t>
  </si>
  <si>
    <t>0011i000001xmsI</t>
  </si>
  <si>
    <t>0011i000001xn9g</t>
  </si>
  <si>
    <t>0011i000001xnDG</t>
  </si>
  <si>
    <t>0011i000001xnSH</t>
  </si>
  <si>
    <t>3 Mount Elizabeth #06-02</t>
  </si>
  <si>
    <t>3 Mt Elizabeth #06-06</t>
  </si>
  <si>
    <t>0011i000001xn1U</t>
  </si>
  <si>
    <t>0011i000001xn2o</t>
  </si>
  <si>
    <t>498 Jurong West St 41</t>
  </si>
  <si>
    <t>0011i000001xnOm</t>
  </si>
  <si>
    <t>0011i000001xmhp</t>
  </si>
  <si>
    <t>#04-05 Gleneagles Medical Centre</t>
  </si>
  <si>
    <t>200454</t>
  </si>
  <si>
    <t>0011i000001xmoe</t>
  </si>
  <si>
    <t>0011i000001xn2u</t>
  </si>
  <si>
    <t>0011i000001xnay</t>
  </si>
  <si>
    <t>0011i000001xndK</t>
  </si>
  <si>
    <t>0011i000001xmmC</t>
  </si>
  <si>
    <t>0011i000001xnG9</t>
  </si>
  <si>
    <t>0011i000001xnLB</t>
  </si>
  <si>
    <t>0011i000001xnHs</t>
  </si>
  <si>
    <t>0011i000001xnQA</t>
  </si>
  <si>
    <t>#03-01/02 Mount Elizabeth Medical Centre</t>
  </si>
  <si>
    <t>202343</t>
  </si>
  <si>
    <t>0011i000001xmlX</t>
  </si>
  <si>
    <t>#02-03 Parkway East Medical Centre</t>
  </si>
  <si>
    <t>201625</t>
  </si>
  <si>
    <t>0011i000001xnYJ</t>
  </si>
  <si>
    <t>803848</t>
  </si>
  <si>
    <t>0011i000001xn1k</t>
  </si>
  <si>
    <t>Blk 8 Jalan Batu</t>
  </si>
  <si>
    <t>201809</t>
  </si>
  <si>
    <t>431008</t>
  </si>
  <si>
    <t>0011i000001xnZl</t>
  </si>
  <si>
    <t>0011i000001xn2P</t>
  </si>
  <si>
    <t>0011i000001xnZ2</t>
  </si>
  <si>
    <t>0011i000001xmzc</t>
  </si>
  <si>
    <t>0011i000001xmfx</t>
  </si>
  <si>
    <t>0011i000001xmmB</t>
  </si>
  <si>
    <t>0011i000001xmzT</t>
  </si>
  <si>
    <t>0011i000001xnSJ</t>
  </si>
  <si>
    <t>0011i000001xnlg</t>
  </si>
  <si>
    <t>0011i000001xo9Y</t>
  </si>
  <si>
    <t>Peace Family Clinic</t>
  </si>
  <si>
    <t>371 Woodlands Avenue 1</t>
  </si>
  <si>
    <t>#01-821</t>
  </si>
  <si>
    <t>730371</t>
  </si>
  <si>
    <t>0011i000001xoZr</t>
  </si>
  <si>
    <t>One Care Medical Clinic</t>
  </si>
  <si>
    <t>0011i000001xmoY</t>
  </si>
  <si>
    <t>Block 356 Hougang Avenue 7</t>
  </si>
  <si>
    <t>200831</t>
  </si>
  <si>
    <t>0011i000001xn7j</t>
  </si>
  <si>
    <t>0011i000001xmqM</t>
  </si>
  <si>
    <t>Blk 87 Whampoa Drive</t>
  </si>
  <si>
    <t>#01-869</t>
  </si>
  <si>
    <t>200704</t>
  </si>
  <si>
    <t>320087</t>
  </si>
  <si>
    <t>0011i000001xoa5</t>
  </si>
  <si>
    <t>P &amp; L Pharmacy</t>
  </si>
  <si>
    <t>#03-26 Tanglin Shopping Centre</t>
  </si>
  <si>
    <t>0011i000001xn7B</t>
  </si>
  <si>
    <t>0011i000001xmo7</t>
  </si>
  <si>
    <t>0011i000001xnAT</t>
  </si>
  <si>
    <t>290 Orchard Road #09-01</t>
  </si>
  <si>
    <t>0011i000001xnOK</t>
  </si>
  <si>
    <t>0011i000001xnXf</t>
  </si>
  <si>
    <t>Blk 716 Yishun Street 71</t>
  </si>
  <si>
    <t>#01-270</t>
  </si>
  <si>
    <t>201093</t>
  </si>
  <si>
    <t>760716</t>
  </si>
  <si>
    <t>0011i000001xnDL</t>
  </si>
  <si>
    <t>#01-227</t>
  </si>
  <si>
    <t>201334</t>
  </si>
  <si>
    <t>0011i000001xmq0</t>
  </si>
  <si>
    <t>#20-01 Paragon</t>
  </si>
  <si>
    <t>202679</t>
  </si>
  <si>
    <t>0011i00000tVKMk</t>
  </si>
  <si>
    <t>0011i000001xmlJ</t>
  </si>
  <si>
    <t>38 Irrawady Road #08-31</t>
  </si>
  <si>
    <t>0011i000001xnm6</t>
  </si>
  <si>
    <t>0011i000001xnqF</t>
  </si>
  <si>
    <t>0011i000001xoYQ</t>
  </si>
  <si>
    <t>0011i00000w0627</t>
  </si>
  <si>
    <t>0011i000001xmz6</t>
  </si>
  <si>
    <t>38 Irrawaddy Road #10-43/44</t>
  </si>
  <si>
    <t>Mt Elizabeth Novena Medical Specialists</t>
  </si>
  <si>
    <t>0011i000001xmz7</t>
  </si>
  <si>
    <t>Mt Elizabeth Novena Medical Specialist</t>
  </si>
  <si>
    <t>0011i00000Xf1HD</t>
  </si>
  <si>
    <t>0011i000001xoGK</t>
  </si>
  <si>
    <t>0011i000001xnot</t>
  </si>
  <si>
    <t>0011i000001xnou</t>
  </si>
  <si>
    <t>Medical Associates Centre</t>
  </si>
  <si>
    <t>8 Sinaran Drive</t>
  </si>
  <si>
    <t>#04-06 Novena Specialist Centre</t>
  </si>
  <si>
    <t>0011i000001xoKO</t>
  </si>
  <si>
    <t>Pacific Specialist Practice</t>
  </si>
  <si>
    <t>0011i000001xnov</t>
  </si>
  <si>
    <t>Fullerton Healthcare @ Gethin Jones</t>
  </si>
  <si>
    <t>0011i000001xnoy</t>
  </si>
  <si>
    <t>Everhealth Family Clinic &amp; Surgery</t>
  </si>
  <si>
    <t>0011i000001xoLE</t>
  </si>
  <si>
    <t>HealthSense Specialist Clinic</t>
  </si>
  <si>
    <t>0011i000001xnEi</t>
  </si>
  <si>
    <t>Blk 312B Sumang Link</t>
  </si>
  <si>
    <t>822312</t>
  </si>
  <si>
    <t>0011i00000TWqzG</t>
  </si>
  <si>
    <t>932B Hougang Ave 9</t>
  </si>
  <si>
    <t>532932</t>
  </si>
  <si>
    <t>0011i000001xnDY</t>
  </si>
  <si>
    <t>Blk 632 Bedok Reservoir Road</t>
  </si>
  <si>
    <t>#01-804</t>
  </si>
  <si>
    <t>200462</t>
  </si>
  <si>
    <t>470632</t>
  </si>
  <si>
    <t>0011i000001xoV8</t>
  </si>
  <si>
    <t>0011i000001xnIk</t>
  </si>
  <si>
    <t>Pan Malayan Pharmaceuticals</t>
  </si>
  <si>
    <t>Trivec Building, 3rd Level</t>
  </si>
  <si>
    <t>368361</t>
  </si>
  <si>
    <t>0011i000001xmwX</t>
  </si>
  <si>
    <t>0011i000001xnKy</t>
  </si>
  <si>
    <t>0011i00000ugBD6</t>
  </si>
  <si>
    <t>0011i000001xnNs</t>
  </si>
  <si>
    <t>35 Selegie Road #02-25A</t>
  </si>
  <si>
    <t>0011i00000Xf13e</t>
  </si>
  <si>
    <t>3 Mount Elizabeth Level 2</t>
  </si>
  <si>
    <t>Mount Elizabeth Hospital</t>
  </si>
  <si>
    <t>0011i00000Xf13j</t>
  </si>
  <si>
    <t>3 Mount Elizabeth, #13-16/17</t>
  </si>
  <si>
    <t>0011i000001xnGe</t>
  </si>
  <si>
    <t>#05-01 Parkway Parade</t>
  </si>
  <si>
    <t>0011i000001xmdP</t>
  </si>
  <si>
    <t>6A Napier Road, Level 3</t>
  </si>
  <si>
    <t>0011i000001xmht</t>
  </si>
  <si>
    <t>0011i00000oUwti</t>
  </si>
  <si>
    <t>10 Sengkang central #01-04</t>
  </si>
  <si>
    <t>Buangkok NEL MRT station</t>
  </si>
  <si>
    <t>0011i000001xn4g</t>
  </si>
  <si>
    <t>11 Collyer Quay#19-01</t>
  </si>
  <si>
    <t>0011i000001xn7q</t>
  </si>
  <si>
    <t>1 Cantonment Road #01-02</t>
  </si>
  <si>
    <t>Pinnacle @ Duxton</t>
  </si>
  <si>
    <t>80001</t>
  </si>
  <si>
    <t>0011i000001xmto</t>
  </si>
  <si>
    <t>0011i000001xn5W</t>
  </si>
  <si>
    <t>0011i000001xmsF</t>
  </si>
  <si>
    <t>0011i000001xmfF</t>
  </si>
  <si>
    <t>#09-02 One Raffles Quay North Tower</t>
  </si>
  <si>
    <t>203026</t>
  </si>
  <si>
    <t>0011i000001xmkt</t>
  </si>
  <si>
    <t>0011i000001xn9t</t>
  </si>
  <si>
    <t>20 Bendemeer Road</t>
  </si>
  <si>
    <t>#01-02/06 Cyberhub Building</t>
  </si>
  <si>
    <t>339914</t>
  </si>
  <si>
    <t>0011i000001xnFr</t>
  </si>
  <si>
    <t>0011i000001xnbH</t>
  </si>
  <si>
    <t>0011i000001xmsi</t>
  </si>
  <si>
    <t>#19-01, The Arcade</t>
  </si>
  <si>
    <t>0011i000001xmlL</t>
  </si>
  <si>
    <t>0011i000001xnEW</t>
  </si>
  <si>
    <t>0011i00000FIGM6</t>
  </si>
  <si>
    <t>0011i000001xnC9</t>
  </si>
  <si>
    <t>Blk 442 Pasir Ris Drive 6</t>
  </si>
  <si>
    <t>#01-28</t>
  </si>
  <si>
    <t>201070</t>
  </si>
  <si>
    <t>510442</t>
  </si>
  <si>
    <t>0011i000001xnQI</t>
  </si>
  <si>
    <t>0011i000001xna5</t>
  </si>
  <si>
    <t>0011i000001xn71</t>
  </si>
  <si>
    <t>529457</t>
  </si>
  <si>
    <t>0011i000001xnIb</t>
  </si>
  <si>
    <t>0011i000001xoY6</t>
  </si>
  <si>
    <t>0011i000001xor9</t>
  </si>
  <si>
    <t>0011i000001xoV6</t>
  </si>
  <si>
    <t>0011i000001xnDk</t>
  </si>
  <si>
    <t>0011i000001xmoR</t>
  </si>
  <si>
    <t>3 Mt Elizabeth #13-06</t>
  </si>
  <si>
    <t>0011i000001xnPE</t>
  </si>
  <si>
    <t>0011i000001xn6O</t>
  </si>
  <si>
    <t>0011i000001xmq4</t>
  </si>
  <si>
    <t>0011i000001xnAo</t>
  </si>
  <si>
    <t>0011i000001xnNF</t>
  </si>
  <si>
    <t>0011i000001xn27</t>
  </si>
  <si>
    <t>0011i000001xmpd</t>
  </si>
  <si>
    <t>0011i000001xnp1</t>
  </si>
  <si>
    <t>0011i000001xoJM</t>
  </si>
  <si>
    <t>0011i000001xoEA</t>
  </si>
  <si>
    <t>0011i000001xo0Y</t>
  </si>
  <si>
    <t>0011i000001xoA4</t>
  </si>
  <si>
    <t>0011i000001xoOm</t>
  </si>
  <si>
    <t>0011i000001xoZ2</t>
  </si>
  <si>
    <t>Department Of Colorectal</t>
  </si>
  <si>
    <t>0011i000001xo5F</t>
  </si>
  <si>
    <t>Inez Psychological Well Being Clinic</t>
  </si>
  <si>
    <t>0011i000001xmsH</t>
  </si>
  <si>
    <t>#06-05/06 Gleneagles Medical Centre</t>
  </si>
  <si>
    <t>201638</t>
  </si>
  <si>
    <t>0011i000001xnUv</t>
  </si>
  <si>
    <t>0011i000001xmy2</t>
  </si>
  <si>
    <t>#04-10 Gleneagles Medical Centre</t>
  </si>
  <si>
    <t>201236</t>
  </si>
  <si>
    <t>0011i000001xnp2</t>
  </si>
  <si>
    <t>The People's Clinic</t>
  </si>
  <si>
    <t>145 Teck Whye Avenue</t>
  </si>
  <si>
    <t>#01-161</t>
  </si>
  <si>
    <t>200476</t>
  </si>
  <si>
    <t>680145</t>
  </si>
  <si>
    <t>0011i000001xoH9</t>
  </si>
  <si>
    <t>0011i000001xoLj</t>
  </si>
  <si>
    <t>Everton Clinic</t>
  </si>
  <si>
    <t>0011i000001xniD</t>
  </si>
  <si>
    <t>Pharmacy Service Centre</t>
  </si>
  <si>
    <t>10 Buangkok View (IMH)</t>
  </si>
  <si>
    <t>Blk 9 Bunagkok Green Med Park</t>
  </si>
  <si>
    <t>0011i000001xnCf</t>
  </si>
  <si>
    <t>Guardian Pharmacy</t>
  </si>
  <si>
    <t>1 Vista Exchange Green</t>
  </si>
  <si>
    <t>#B1-12 The Star Vista</t>
  </si>
  <si>
    <t>138617</t>
  </si>
  <si>
    <t>0011i000001xn6X</t>
  </si>
  <si>
    <t>0011i000001xom3</t>
  </si>
  <si>
    <t>Unity Pharmacy - Seletar Mall</t>
  </si>
  <si>
    <t>#B2-16/18 The Seletar Mall</t>
  </si>
  <si>
    <t>797653</t>
  </si>
  <si>
    <t>0011i000001xoUe</t>
  </si>
  <si>
    <t>Unity Pharmacy - Tanglin Mall</t>
  </si>
  <si>
    <t>#B1-13 Tanglin Mall</t>
  </si>
  <si>
    <t>0011i000001xolx</t>
  </si>
  <si>
    <t>Guardian Pharmacy - 112 Katong</t>
  </si>
  <si>
    <t>112 East Coast Road</t>
  </si>
  <si>
    <t>112 Katong #B1-07</t>
  </si>
  <si>
    <t>428802</t>
  </si>
  <si>
    <t>0011i000001xo8V</t>
  </si>
  <si>
    <t>0011i000001xomK</t>
  </si>
  <si>
    <t>Guardian Pharmacy - Bugis</t>
  </si>
  <si>
    <t>Bugis Junction</t>
  </si>
  <si>
    <t>0011i000001xoUM</t>
  </si>
  <si>
    <t>Unity Pharmacy - Bukit Panjang Plaza</t>
  </si>
  <si>
    <t>Bukit Panjang Plaza</t>
  </si>
  <si>
    <t>677743</t>
  </si>
  <si>
    <t>0011i000001xoTW</t>
  </si>
  <si>
    <t>Guardian Pharmacy - Centrepoint</t>
  </si>
  <si>
    <t>0011i000001xo96</t>
  </si>
  <si>
    <t>Watson Pharmacy - Centrepoint</t>
  </si>
  <si>
    <t>Centrepoint</t>
  </si>
  <si>
    <t>0011i000001xohk</t>
  </si>
  <si>
    <t>Guardian Pharmacy - Century Mall</t>
  </si>
  <si>
    <t>Central 52 Tampines</t>
  </si>
  <si>
    <t>529509</t>
  </si>
  <si>
    <t>0011i000001xo81</t>
  </si>
  <si>
    <t>Guardian Pharmacy - Chinatown</t>
  </si>
  <si>
    <t>133 New Bridge Road</t>
  </si>
  <si>
    <t>Chinatown Point #B1-34</t>
  </si>
  <si>
    <t>0011i000001xob8</t>
  </si>
  <si>
    <t>0011i000001xomG</t>
  </si>
  <si>
    <t>Guardian Pharmacy - City Square</t>
  </si>
  <si>
    <t>#B1-18/19 City Square</t>
  </si>
  <si>
    <t>208539</t>
  </si>
  <si>
    <t>0011i000001xo9c</t>
  </si>
  <si>
    <t>Unity Pharmacy - Clementi Mall</t>
  </si>
  <si>
    <t>#B1-10/11 The Clementi Mall</t>
  </si>
  <si>
    <t>129588</t>
  </si>
  <si>
    <t>0011i000001xnNO</t>
  </si>
  <si>
    <t>0011i000001xnTE</t>
  </si>
  <si>
    <t>0011i000001xnNP</t>
  </si>
  <si>
    <t>0011i000001xn1T</t>
  </si>
  <si>
    <t>5 Hospital Avenue Level 2A</t>
  </si>
  <si>
    <t>0011i000001xn1W</t>
  </si>
  <si>
    <t>0011i000001xnBH</t>
  </si>
  <si>
    <t>0011i000001xnRR</t>
  </si>
  <si>
    <t>0011i000001xo0G</t>
  </si>
  <si>
    <t>Guardian Pharmacy  - GMC</t>
  </si>
  <si>
    <t>0011i000001xoTh</t>
  </si>
  <si>
    <t>0011i000001xoUR</t>
  </si>
  <si>
    <t>Unity Pharmacy - Great World City</t>
  </si>
  <si>
    <t>#B1-14/15 Great World City</t>
  </si>
  <si>
    <t>0011i000001xnyt</t>
  </si>
  <si>
    <t>Unity Pharmacy - Harbourfront Center</t>
  </si>
  <si>
    <t>Harbourfront Centre</t>
  </si>
  <si>
    <t>99253</t>
  </si>
  <si>
    <t>0011i000001xohy</t>
  </si>
  <si>
    <t>0011i000001xoiU</t>
  </si>
  <si>
    <t>0011i000001xo8v</t>
  </si>
  <si>
    <t>Watson Pharmacy - Holland</t>
  </si>
  <si>
    <t>211 Holland Avenue</t>
  </si>
  <si>
    <t>0011i000001xofe</t>
  </si>
  <si>
    <t>Guardian Pharmacy - Hougang Mall</t>
  </si>
  <si>
    <t>#B1-31 Hougang Mall</t>
  </si>
  <si>
    <t>738766</t>
  </si>
  <si>
    <t>0011i000001xoUT</t>
  </si>
  <si>
    <t>Unity Pharmacy - Hougang Mall</t>
  </si>
  <si>
    <t>#B1-35/36 Hougang Mall</t>
  </si>
  <si>
    <t>0011i000001xoTj</t>
  </si>
  <si>
    <t>Guardian Pharmacy - IMM</t>
  </si>
  <si>
    <t>2 Jurong East Street 21</t>
  </si>
  <si>
    <t>609601</t>
  </si>
  <si>
    <t>0011i000001xnhY</t>
  </si>
  <si>
    <t>Guardian Pharmacy - International Building</t>
  </si>
  <si>
    <t>0011i000001xoHV</t>
  </si>
  <si>
    <t>Guardian Pharmacy - ION</t>
  </si>
  <si>
    <t>#B4-02 ION Orchard</t>
  </si>
  <si>
    <t>0011i000001xoTR</t>
  </si>
  <si>
    <t>Guardian Pharmacy - Junction 8</t>
  </si>
  <si>
    <t>Junction 8 Shopping Centre</t>
  </si>
  <si>
    <t>579837</t>
  </si>
  <si>
    <t>0011i000001xoTl</t>
  </si>
  <si>
    <t>0011i000001xo9O</t>
  </si>
  <si>
    <t>Watson Pharmacy - Kallang Leisure Mall</t>
  </si>
  <si>
    <t>No.5 Stadium Walk #02-05/06</t>
  </si>
  <si>
    <t>397693</t>
  </si>
  <si>
    <t>0011i000001xoTo</t>
  </si>
  <si>
    <t>0011i000001xoWd</t>
  </si>
  <si>
    <t>1 Maritime Square #02-111/112</t>
  </si>
  <si>
    <t>#02-111/112</t>
  </si>
  <si>
    <t>0011i000001xoTr</t>
  </si>
  <si>
    <t>Guardian Pharmacy - MEMC</t>
  </si>
  <si>
    <t>3 Mount Elizabeth #02-10/11</t>
  </si>
  <si>
    <t>0011i00000Q3X2k</t>
  </si>
  <si>
    <t>38 Irrawaddy Rd</t>
  </si>
  <si>
    <t>#01-08/09/10/11</t>
  </si>
  <si>
    <t>0011i000001xo7W</t>
  </si>
  <si>
    <t>Guardian Pharmacy - NEX</t>
  </si>
  <si>
    <t>#B1-62/63</t>
  </si>
  <si>
    <t>556083</t>
  </si>
  <si>
    <t>0011i000001xnu4</t>
  </si>
  <si>
    <t>Watson Pharmacy - Northpoint</t>
  </si>
  <si>
    <t>930 Yishun Ave 2 #B1-64/65</t>
  </si>
  <si>
    <t>769098</t>
  </si>
  <si>
    <t>0011i000001xo7P</t>
  </si>
  <si>
    <t>0011i000001xoTy</t>
  </si>
  <si>
    <t>0011i000001xnkw</t>
  </si>
  <si>
    <t>Guardian Pharmacy - Oasis Terrace</t>
  </si>
  <si>
    <t>Oasis Terrace</t>
  </si>
  <si>
    <t>0011i000001xoU0</t>
  </si>
  <si>
    <t>0011i00000Q3YSk</t>
  </si>
  <si>
    <t>290 Orchard Rd</t>
  </si>
  <si>
    <t>#B1 - 20 /24</t>
  </si>
  <si>
    <t>0011i000001xoU1</t>
  </si>
  <si>
    <t>0011i000001xomE</t>
  </si>
  <si>
    <t>Unity Pharmacy - Plaza Singapura</t>
  </si>
  <si>
    <t>#B2-20A Plaza Singapura</t>
  </si>
  <si>
    <t>238839</t>
  </si>
  <si>
    <t>0011i000001xorY</t>
  </si>
  <si>
    <t>Guardian Pharmacy - Waterway Point</t>
  </si>
  <si>
    <t>#B1-04 Waterway Point</t>
  </si>
  <si>
    <t>0011i000001xoU2</t>
  </si>
  <si>
    <t>0011i000001xoTd</t>
  </si>
  <si>
    <t>Guardian Pharmacy - Raffles Place</t>
  </si>
  <si>
    <t>#01-19/20/21 Clifford Centre</t>
  </si>
  <si>
    <t>0011i000001xoU3</t>
  </si>
  <si>
    <t>0011i000001xoU7</t>
  </si>
  <si>
    <t>Guardian Pharmacy - Suntec City Mall</t>
  </si>
  <si>
    <t>#02-328/329 Suntec City Mall</t>
  </si>
  <si>
    <t>0011i000001xnBy</t>
  </si>
  <si>
    <t>167 Jalan Bukit Merah #15-10</t>
  </si>
  <si>
    <t>Connection One (Tower 5)</t>
  </si>
  <si>
    <t>0011i000001xohg</t>
  </si>
  <si>
    <t>Watson Pharmacy - Takashimaya</t>
  </si>
  <si>
    <t>#B2-06/09 Ngee Ann City</t>
  </si>
  <si>
    <t>238872</t>
  </si>
  <si>
    <t>0011i000001xoUc</t>
  </si>
  <si>
    <t>Unity Pharmacy - Tampines 1</t>
  </si>
  <si>
    <t>#B1-11/12</t>
  </si>
  <si>
    <t>10 Tampines Central 1</t>
  </si>
  <si>
    <t>529536</t>
  </si>
  <si>
    <t>0011i000001xoAg</t>
  </si>
  <si>
    <t>Guardian Pharmacy - Tanjong Pagar</t>
  </si>
  <si>
    <t>0011i000001xoUf</t>
  </si>
  <si>
    <t>Unity Pharmacy - Tanjong Pagar Plaza</t>
  </si>
  <si>
    <t>5 Tanjong Pagar Plaza</t>
  </si>
  <si>
    <t>#01-01 Podium Complex</t>
  </si>
  <si>
    <t>81005</t>
  </si>
  <si>
    <t>0011i000001xok9</t>
  </si>
  <si>
    <t>Unity Healthcare Pharmacy - Thomson Plaza</t>
  </si>
  <si>
    <t>Thomson Plaza #01-102</t>
  </si>
  <si>
    <t>0011i000001xnky</t>
  </si>
  <si>
    <t>Guardian Pharmacy - Tiong Bahru MRT</t>
  </si>
  <si>
    <t>Tiong Bahru MRT</t>
  </si>
  <si>
    <t>168731</t>
  </si>
  <si>
    <t>0011i000001xoUC</t>
  </si>
  <si>
    <t>0011i000001xoUE</t>
  </si>
  <si>
    <t>Guardian Pharmacy - United Square</t>
  </si>
  <si>
    <t>101 Thomson Road</t>
  </si>
  <si>
    <t>#B1-28 Unitede Square</t>
  </si>
  <si>
    <t>307591</t>
  </si>
  <si>
    <t>0011i00000S22gZ</t>
  </si>
  <si>
    <t>101 Thomson Rd</t>
  </si>
  <si>
    <t>#B1-28</t>
  </si>
  <si>
    <t>0011i000001xniM</t>
  </si>
  <si>
    <t>0011i000001xniO</t>
  </si>
  <si>
    <t>Unity Pharmacy - Waterway Point</t>
  </si>
  <si>
    <t>Waterway Point</t>
  </si>
  <si>
    <t>0011i000001xosX</t>
  </si>
  <si>
    <t>0011i000001xoB5</t>
  </si>
  <si>
    <t>0011i000001xoA5</t>
  </si>
  <si>
    <t>0011i000001xnEX</t>
  </si>
  <si>
    <t>0011i000001xnp3</t>
  </si>
  <si>
    <t>Royal Medical Centre</t>
  </si>
  <si>
    <t>#01-84</t>
  </si>
  <si>
    <t>201553</t>
  </si>
  <si>
    <t>0011i000001xoA6</t>
  </si>
  <si>
    <t>0011i000001xmwS</t>
  </si>
  <si>
    <t>1 Seletar Road #02-11</t>
  </si>
  <si>
    <t>Greenwich V</t>
  </si>
  <si>
    <t>807011</t>
  </si>
  <si>
    <t>0011i00000C7N8i</t>
  </si>
  <si>
    <t>0011i000001xoXj</t>
  </si>
  <si>
    <t>#01-322 Elias Mall</t>
  </si>
  <si>
    <t>0011i000001xnCi</t>
  </si>
  <si>
    <t>Block 632 Bedok Reservoir Road</t>
  </si>
  <si>
    <t>#01-828</t>
  </si>
  <si>
    <t>200482</t>
  </si>
  <si>
    <t>0011i000001xoH2</t>
  </si>
  <si>
    <t>0011i000001xo4W</t>
  </si>
  <si>
    <t>Parkway Shenton Group</t>
  </si>
  <si>
    <t>0011i000001xo0a</t>
  </si>
  <si>
    <t>Medivale Medical Clinic</t>
  </si>
  <si>
    <t>0011i00000Xz2a8</t>
  </si>
  <si>
    <t>K2 Medical Clinic @ Simei (Member of DA Clinic Group)</t>
  </si>
  <si>
    <t>248 Simei Street 5</t>
  </si>
  <si>
    <t>0011i000001xnp8</t>
  </si>
  <si>
    <t>SL Ming Clinic Pte Ltd</t>
  </si>
  <si>
    <t>201721</t>
  </si>
  <si>
    <t>0011i000001xnp9</t>
  </si>
  <si>
    <t>TechLink #01-05</t>
  </si>
  <si>
    <t>0011i000001xnAr</t>
  </si>
  <si>
    <t>101 Thomson Road #01-17</t>
  </si>
  <si>
    <t>United Square</t>
  </si>
  <si>
    <t>0011i000001xn7a</t>
  </si>
  <si>
    <t>#01-17 United Square</t>
  </si>
  <si>
    <t>0011i000001xnBM</t>
  </si>
  <si>
    <t>0011i000001xnpC</t>
  </si>
  <si>
    <t>3 Mt Elizabeth #03-04/05</t>
  </si>
  <si>
    <t>0011i000001xnCk</t>
  </si>
  <si>
    <t>#03-04/05 Mount Elizabeth Medical Centre</t>
  </si>
  <si>
    <t>201893</t>
  </si>
  <si>
    <t>0011i000001xnpE</t>
  </si>
  <si>
    <t>Blk 95 Aljunied Crescent</t>
  </si>
  <si>
    <t>380095</t>
  </si>
  <si>
    <t>0011i000001xn0m</t>
  </si>
  <si>
    <t>0011i000001xnFJ</t>
  </si>
  <si>
    <t>Mt Elizabeth Medical Ctr</t>
  </si>
  <si>
    <t>0011i000001xnH4</t>
  </si>
  <si>
    <t>0011i000007DbTn</t>
  </si>
  <si>
    <t>0011i000001xnXL</t>
  </si>
  <si>
    <t>Blk 36 Beo Crescent</t>
  </si>
  <si>
    <t>#01-49</t>
  </si>
  <si>
    <t>201834</t>
  </si>
  <si>
    <t>160036</t>
  </si>
  <si>
    <t>0011i000007FFef</t>
  </si>
  <si>
    <t>0011i000001xoLl</t>
  </si>
  <si>
    <t>0011i00000k1XCh</t>
  </si>
  <si>
    <t>Alpine Surgical</t>
  </si>
  <si>
    <t>0011i000001xoAA</t>
  </si>
  <si>
    <t>0011i000001xnXp</t>
  </si>
  <si>
    <t>0011i000001xmfZ</t>
  </si>
  <si>
    <t>0011i000001xofg</t>
  </si>
  <si>
    <t>0011i000001xoEM</t>
  </si>
  <si>
    <t>0011i000001xol3</t>
  </si>
  <si>
    <t>0011i000001xntf</t>
  </si>
  <si>
    <t>0011i000001xor5</t>
  </si>
  <si>
    <t>0011i00000eV1NC</t>
  </si>
  <si>
    <t>Neuropsychiatry Associates</t>
  </si>
  <si>
    <t>0011i000001xoHh</t>
  </si>
  <si>
    <t>0011i000001xoZh</t>
  </si>
  <si>
    <t>0011i00000vHmfO</t>
  </si>
  <si>
    <t>0011i000001xmsp</t>
  </si>
  <si>
    <t>Blk 148 Potong Pasir Avenue 1</t>
  </si>
  <si>
    <t>350148</t>
  </si>
  <si>
    <t>0011i000001xnpL</t>
  </si>
  <si>
    <t>Pow Family Clinic &amp; Surgery</t>
  </si>
  <si>
    <t>Blk 620 Hougang Ave 8</t>
  </si>
  <si>
    <t>201882</t>
  </si>
  <si>
    <t>530620</t>
  </si>
  <si>
    <t>0011i000001xo4s</t>
  </si>
  <si>
    <t>0011i000001xoHG</t>
  </si>
  <si>
    <t>0011i000001xoON</t>
  </si>
  <si>
    <t>0011i00000uOGL7</t>
  </si>
  <si>
    <t>717 Tampines Street 72</t>
  </si>
  <si>
    <t>#01-75</t>
  </si>
  <si>
    <t>530717</t>
  </si>
  <si>
    <t>0011i000001xodh</t>
  </si>
  <si>
    <t>0011i000001xmdb</t>
  </si>
  <si>
    <t>0011i000001xmtP</t>
  </si>
  <si>
    <t>0011i000001xn5z</t>
  </si>
  <si>
    <t>0011i000001xmwm</t>
  </si>
  <si>
    <t>0011i000007EVGw</t>
  </si>
  <si>
    <t>#03-37C, Annexe Block</t>
  </si>
  <si>
    <t>0011i000001xoTL</t>
  </si>
  <si>
    <t>109 Clementi Street 11</t>
  </si>
  <si>
    <t>120109</t>
  </si>
  <si>
    <t>0011i000001xoNp</t>
  </si>
  <si>
    <t>Pritams Clinic &amp; Surgery, Ob-Gyn Consultants</t>
  </si>
  <si>
    <t>#12-18 Mount Elizabeth Medical Centre</t>
  </si>
  <si>
    <t>0011i000001xnOo</t>
  </si>
  <si>
    <t>0011i000001xnPp</t>
  </si>
  <si>
    <t>259 Bukit Panjang Ring Road</t>
  </si>
  <si>
    <t>671259</t>
  </si>
  <si>
    <t>0011i000001xnPo</t>
  </si>
  <si>
    <t>0011i000001xnL1</t>
  </si>
  <si>
    <t>0011i000001xnSD</t>
  </si>
  <si>
    <t>#09-23 Novena Medical Centre</t>
  </si>
  <si>
    <t>203522</t>
  </si>
  <si>
    <t>0011i000002Id77</t>
  </si>
  <si>
    <t>400 Balestier Road #01-45</t>
  </si>
  <si>
    <t>Balestier Plza</t>
  </si>
  <si>
    <t>0011i000001xnDa</t>
  </si>
  <si>
    <t>#01-596</t>
  </si>
  <si>
    <t>0011i000001xmk0</t>
  </si>
  <si>
    <t>8 Cross Street #01-03</t>
  </si>
  <si>
    <t>PWC Building</t>
  </si>
  <si>
    <t>48424</t>
  </si>
  <si>
    <t>0011i000001xn8t</t>
  </si>
  <si>
    <t>0011i000001xnVt</t>
  </si>
  <si>
    <t>0011i000001xnBq</t>
  </si>
  <si>
    <t>0011i000001xo1m</t>
  </si>
  <si>
    <t>0011i00000Egz8o</t>
  </si>
  <si>
    <t>0011i000001xnSt</t>
  </si>
  <si>
    <t>0011i000001xo5I</t>
  </si>
  <si>
    <t>0011i000001xnpN</t>
  </si>
  <si>
    <t>Pwee Medical &amp; Nephrology Clinic</t>
  </si>
  <si>
    <t>0011i000001xoJ4</t>
  </si>
  <si>
    <t>#01-00 Raffles Hospital</t>
  </si>
  <si>
    <t>0011i000001xmvU</t>
  </si>
  <si>
    <t>0011i000001xnFf</t>
  </si>
  <si>
    <t>0011i000001xmlA</t>
  </si>
  <si>
    <t>0011i000007FAkP</t>
  </si>
  <si>
    <t>EH Medical Bukit Batok</t>
  </si>
  <si>
    <t>0011i000001xo5J</t>
  </si>
  <si>
    <t>0011i000001xoC4</t>
  </si>
  <si>
    <t>0011i00000UMnI0</t>
  </si>
  <si>
    <t>Crossroad Clinic</t>
  </si>
  <si>
    <t>0011i000001xnpS</t>
  </si>
  <si>
    <t>Quah Medical Clinic</t>
  </si>
  <si>
    <t>Blk 325 Ubi Avenue 1</t>
  </si>
  <si>
    <t>#01-701</t>
  </si>
  <si>
    <t>400325</t>
  </si>
  <si>
    <t>0011i00000pbXQc</t>
  </si>
  <si>
    <t>0011i000001xnVv</t>
  </si>
  <si>
    <t>0011i00000ULtS7</t>
  </si>
  <si>
    <t>0011i000001xoa2</t>
  </si>
  <si>
    <t>GI Endoscopy and Liver Centre</t>
  </si>
  <si>
    <t>101 Irrawaddy Road #15-01</t>
  </si>
  <si>
    <t>0011i000001xnTr</t>
  </si>
  <si>
    <t>0011i000001xmft</t>
  </si>
  <si>
    <t>0011i000001xmcf</t>
  </si>
  <si>
    <t>0011i000001xmih</t>
  </si>
  <si>
    <t>0011i000001xnJJ</t>
  </si>
  <si>
    <t>0011i000001xnGH</t>
  </si>
  <si>
    <t>0011i000001xnKG</t>
  </si>
  <si>
    <t>0011i000001xoRT</t>
  </si>
  <si>
    <t>ProHealth 24-Hour Medical Clinic</t>
  </si>
  <si>
    <t>0011i00000raTiC</t>
  </si>
  <si>
    <t>0011i000001xnpW</t>
  </si>
  <si>
    <t>Bedok Life Clinic</t>
  </si>
  <si>
    <t>0011i000001xoYv</t>
  </si>
  <si>
    <t>SL Chang Clinic Pte Ltd</t>
  </si>
  <si>
    <t>200064</t>
  </si>
  <si>
    <t>0011i000001xo5K</t>
  </si>
  <si>
    <t>0011i000001xoCB</t>
  </si>
  <si>
    <t>Vista Family Clinic</t>
  </si>
  <si>
    <t>201934</t>
  </si>
  <si>
    <t>0011i000001xoWQ</t>
  </si>
  <si>
    <t>Carelink Family Clinic</t>
  </si>
  <si>
    <t>400 Balestier Road</t>
  </si>
  <si>
    <t>#01-09/10 Balestier Plaza</t>
  </si>
  <si>
    <t>0011i000001xnpc</t>
  </si>
  <si>
    <t>Corporation Clinic</t>
  </si>
  <si>
    <t>0011i00000Xf1I3</t>
  </si>
  <si>
    <t>Parkway Cancer CTRE</t>
  </si>
  <si>
    <t>0011i000001xoqP</t>
  </si>
  <si>
    <t>0011i000001xoOh</t>
  </si>
  <si>
    <t>0011i000001xoOD</t>
  </si>
  <si>
    <t>Parkway Gynaecology Screening &amp; Treatment Ctr</t>
  </si>
  <si>
    <t>0011i000001xnpd</t>
  </si>
  <si>
    <t>Susan Quek Heart Care Clinic</t>
  </si>
  <si>
    <t>#15-14 Mount Elizabeth Medical Centre</t>
  </si>
  <si>
    <t>201520</t>
  </si>
  <si>
    <t>0011i00000KMGxz</t>
  </si>
  <si>
    <t>0011i000001xoFa</t>
  </si>
  <si>
    <t>0011i000001xoXx</t>
  </si>
  <si>
    <t>0011i000001xosq</t>
  </si>
  <si>
    <t>10 Coller Quay #03-08/09</t>
  </si>
  <si>
    <t>0011i000001xmzz</t>
  </si>
  <si>
    <t>Blk 810 Hougang Central</t>
  </si>
  <si>
    <t>#01-220</t>
  </si>
  <si>
    <t>203003</t>
  </si>
  <si>
    <t>530810</t>
  </si>
  <si>
    <t>0011i000001xnGZ</t>
  </si>
  <si>
    <t>5 Tampines Central 6</t>
  </si>
  <si>
    <t>#01-13 Telepark</t>
  </si>
  <si>
    <t>529482</t>
  </si>
  <si>
    <t>0011i000001xmd9</t>
  </si>
  <si>
    <t>0011i000001xnYz</t>
  </si>
  <si>
    <t>Department of Plastic Surgery</t>
  </si>
  <si>
    <t>0011i000001xn2H</t>
  </si>
  <si>
    <t>0011i000001xn8a</t>
  </si>
  <si>
    <t>0011i000001xnMU</t>
  </si>
  <si>
    <t>0011i000001xmtR</t>
  </si>
  <si>
    <t>#02-00</t>
  </si>
  <si>
    <t>0011i000001xn0p</t>
  </si>
  <si>
    <t>0011i000001xmd4</t>
  </si>
  <si>
    <t>0011i000001xmtG</t>
  </si>
  <si>
    <t>Raffles Hospital #12-00</t>
  </si>
  <si>
    <t>0011i000001xmgs</t>
  </si>
  <si>
    <t>0011i000001xnCa</t>
  </si>
  <si>
    <t>0011i000001xnLg</t>
  </si>
  <si>
    <t>0011i000001xnbs</t>
  </si>
  <si>
    <t>0011i000001xmnt</t>
  </si>
  <si>
    <t>0011i000001xmxe</t>
  </si>
  <si>
    <t>0011i000001xnOD</t>
  </si>
  <si>
    <t>203024</t>
  </si>
  <si>
    <t>0011i000001xmyO</t>
  </si>
  <si>
    <t>0011i000001xn4Z</t>
  </si>
  <si>
    <t>Colorectal Surgery</t>
  </si>
  <si>
    <t>0011i000001xmtS</t>
  </si>
  <si>
    <t>Block 202 Bedok North Street 1</t>
  </si>
  <si>
    <t>#01-487</t>
  </si>
  <si>
    <t>460202</t>
  </si>
  <si>
    <t>0011i000001xoKS</t>
  </si>
  <si>
    <t>0011i000001xoVC</t>
  </si>
  <si>
    <t>0011i000001xnlz</t>
  </si>
  <si>
    <t>0011i000001xnpf</t>
  </si>
  <si>
    <t>5 Coleman Street #02-24</t>
  </si>
  <si>
    <t>0011i00000Xf1H5</t>
  </si>
  <si>
    <t>0011i000001xoYB</t>
  </si>
  <si>
    <t>0011i000001xoo3</t>
  </si>
  <si>
    <t>0011i000001xojG</t>
  </si>
  <si>
    <t>0011i000001xoCj</t>
  </si>
  <si>
    <t>0011i000001xnpk</t>
  </si>
  <si>
    <t>Goodwill Clinic</t>
  </si>
  <si>
    <t>0011i000001xoif</t>
  </si>
  <si>
    <t>0011i000001xnZn</t>
  </si>
  <si>
    <t>0011i000001xnBY</t>
  </si>
  <si>
    <t>0011i000001xoAn</t>
  </si>
  <si>
    <t>Winstedt Clinic</t>
  </si>
  <si>
    <t>51 Upper Weld Road</t>
  </si>
  <si>
    <t>200670</t>
  </si>
  <si>
    <t>207408</t>
  </si>
  <si>
    <t>0011i000001xoAo</t>
  </si>
  <si>
    <t>0011i000001xoZS</t>
  </si>
  <si>
    <t>0011i000001xnpm</t>
  </si>
  <si>
    <t>Marina Medical Centre (Tiong Bahru)</t>
  </si>
  <si>
    <t>0011i000001xoX2</t>
  </si>
  <si>
    <t>0011i000001xnzw</t>
  </si>
  <si>
    <t>0011i000001xnpn</t>
  </si>
  <si>
    <t>Straits Clinic</t>
  </si>
  <si>
    <t>35 Sturdee Road</t>
  </si>
  <si>
    <t>200547</t>
  </si>
  <si>
    <t>207847</t>
  </si>
  <si>
    <t>0011i000001xoZ7</t>
  </si>
  <si>
    <t>0011i000001xnpo</t>
  </si>
  <si>
    <t>Ravi Surgery</t>
  </si>
  <si>
    <t>3 Mount Elizabeth #14-15</t>
  </si>
  <si>
    <t>0011i00000C7N8Y</t>
  </si>
  <si>
    <t>Phoenix Medical Group HillV2</t>
  </si>
  <si>
    <t>4 Hillview Rise</t>
  </si>
  <si>
    <t>#02-20</t>
  </si>
  <si>
    <t>667979</t>
  </si>
  <si>
    <t>0011i000001xnCs</t>
  </si>
  <si>
    <t>0011i000001xoAG</t>
  </si>
  <si>
    <t>0011i000001xoR9</t>
  </si>
  <si>
    <t>Urological Clinic</t>
  </si>
  <si>
    <t>3 Mt Elizabeth #14-02</t>
  </si>
  <si>
    <t>0011i000001xogu</t>
  </si>
  <si>
    <t>0011i000001xnR8</t>
  </si>
  <si>
    <t>0011i000001xnnp</t>
  </si>
  <si>
    <t>GynaeMD WOmen's Clinic</t>
  </si>
  <si>
    <t>Blk 446 Clementi Ave 3</t>
  </si>
  <si>
    <t>120446</t>
  </si>
  <si>
    <t>0011i000001xngS</t>
  </si>
  <si>
    <t>0011i000001xn1a</t>
  </si>
  <si>
    <t>0011i000001xmqK</t>
  </si>
  <si>
    <t>Blk 932 Yishun Central 1</t>
  </si>
  <si>
    <t>760932</t>
  </si>
  <si>
    <t>0011i000001xo5O</t>
  </si>
  <si>
    <t>0011i000001xmhz</t>
  </si>
  <si>
    <t>0011i00000S3ZRw</t>
  </si>
  <si>
    <t>0011i000001xmvQ</t>
  </si>
  <si>
    <t>0011i000001xnGz</t>
  </si>
  <si>
    <t>0011i000001xoe4</t>
  </si>
  <si>
    <t>0011i000001xmsD</t>
  </si>
  <si>
    <t>#06-02 Gleneagles Medical Centre</t>
  </si>
  <si>
    <t>202138</t>
  </si>
  <si>
    <t>0011i000001xnAM</t>
  </si>
  <si>
    <t>820 Thomson Road #07-52</t>
  </si>
  <si>
    <t>0011i000007FFdw</t>
  </si>
  <si>
    <t>0011i000001xnyM</t>
  </si>
  <si>
    <t>0011i000001xnSl</t>
  </si>
  <si>
    <t>#16-09 Mount Elizabeth Medical Centre</t>
  </si>
  <si>
    <t>200910</t>
  </si>
  <si>
    <t>0011i000001xmjk</t>
  </si>
  <si>
    <t>#10-02 Liat Towers</t>
  </si>
  <si>
    <t>0011i000001xoPB</t>
  </si>
  <si>
    <t>0011i000001xmuc</t>
  </si>
  <si>
    <t>0011i000001xnwV</t>
  </si>
  <si>
    <t>0011i000001xmyS</t>
  </si>
  <si>
    <t>#05-03 Gleneagles Medical Centre</t>
  </si>
  <si>
    <t>200583</t>
  </si>
  <si>
    <t>0011i000001xnrD</t>
  </si>
  <si>
    <t>Robless Vascular Surgery</t>
  </si>
  <si>
    <t>0011i000001xmkd</t>
  </si>
  <si>
    <t>0011i000001xmtA</t>
  </si>
  <si>
    <t>#10-06 Gleneagles Medical Centre</t>
  </si>
  <si>
    <t>203424</t>
  </si>
  <si>
    <t>0011i000001xoLX</t>
  </si>
  <si>
    <t>0011i000001xmvD</t>
  </si>
  <si>
    <t>6 Napier Road #09-14</t>
  </si>
  <si>
    <t>0011i000001xnVw</t>
  </si>
  <si>
    <t>Blk 642 Rowell Road</t>
  </si>
  <si>
    <t>200121</t>
  </si>
  <si>
    <t>0011i000001xorq</t>
  </si>
  <si>
    <t>0011i000001xnS0</t>
  </si>
  <si>
    <t>0011i000001xnTv</t>
  </si>
  <si>
    <t>0011i000001xnHf</t>
  </si>
  <si>
    <t>290 Orchard Road #14-10</t>
  </si>
  <si>
    <t>#07-11 Connexion Farrer Park Medical Centre</t>
  </si>
  <si>
    <t>0011i000001xn3k</t>
  </si>
  <si>
    <t>#08-06 Mount Elizabeth Medical Centre</t>
  </si>
  <si>
    <t>202670</t>
  </si>
  <si>
    <t>0011i000001xn7Y</t>
  </si>
  <si>
    <t>0011i000001xnWL</t>
  </si>
  <si>
    <t>Blk 744 Yishun Ave 5 Street 72</t>
  </si>
  <si>
    <t>#01-195</t>
  </si>
  <si>
    <t>200777</t>
  </si>
  <si>
    <t>760744</t>
  </si>
  <si>
    <t>0011i000001xmqn</t>
  </si>
  <si>
    <t>Block 226A Ang Mo Kio Avenue 1</t>
  </si>
  <si>
    <t>0011i000001xnM4</t>
  </si>
  <si>
    <t>Blk 729 Yishun Street 71</t>
  </si>
  <si>
    <t>802089</t>
  </si>
  <si>
    <t>760729</t>
  </si>
  <si>
    <t>0011i000001xnpr</t>
  </si>
  <si>
    <t>Far East Med Practitioner</t>
  </si>
  <si>
    <t>0011i000007CAGL</t>
  </si>
  <si>
    <t>0011i00000JenIF</t>
  </si>
  <si>
    <t>0011i000001xncP</t>
  </si>
  <si>
    <t>#05-07 Parklane Shopping Mall</t>
  </si>
  <si>
    <t>201573</t>
  </si>
  <si>
    <t>0011i000001xoro</t>
  </si>
  <si>
    <t>0011i000001xnuh</t>
  </si>
  <si>
    <t>0011i000001xoL6</t>
  </si>
  <si>
    <t>0011i000001xoNq</t>
  </si>
  <si>
    <t>0011i000001xnwe</t>
  </si>
  <si>
    <t>0011i000001xoty</t>
  </si>
  <si>
    <t>0011i000001xofj</t>
  </si>
  <si>
    <t>0011i000001xopL</t>
  </si>
  <si>
    <t>0011i000001xohO</t>
  </si>
  <si>
    <t>0011i000001xoRZ</t>
  </si>
  <si>
    <t>Katong Family Clinic</t>
  </si>
  <si>
    <t>263 Tanjong Katong Road</t>
  </si>
  <si>
    <t>#01-03 Suites @ Katong</t>
  </si>
  <si>
    <t>437050</t>
  </si>
  <si>
    <t>0011i000001xnpz</t>
  </si>
  <si>
    <t>0011i000001xmhM</t>
  </si>
  <si>
    <t>0011i000001xnSk</t>
  </si>
  <si>
    <t>0011i000001xo1Z</t>
  </si>
  <si>
    <t>Dr Devan Psychiatry &amp; Psychotherapy</t>
  </si>
  <si>
    <t>38 Irrawaddy Road #04-25</t>
  </si>
  <si>
    <t>0011i000001xoC3</t>
  </si>
  <si>
    <t>0011i000001xoSN</t>
  </si>
  <si>
    <t>Ear Nose Throat &amp; Snoring Ctr</t>
  </si>
  <si>
    <t>3 Mt Elizabeth #12-13</t>
  </si>
  <si>
    <t>0011i000001xnq0</t>
  </si>
  <si>
    <t>H S Saw Clinic</t>
  </si>
  <si>
    <t>#16-06 Mount Elizabeth Medical Centre</t>
  </si>
  <si>
    <t>201643</t>
  </si>
  <si>
    <t>0011i000001xmuH</t>
  </si>
  <si>
    <t>#01-827</t>
  </si>
  <si>
    <t>201072</t>
  </si>
  <si>
    <t>0011i000001xoRI</t>
  </si>
  <si>
    <t>0011i000001xmzE</t>
  </si>
  <si>
    <t>#16-12 Paragon Medical Tower</t>
  </si>
  <si>
    <t>201375</t>
  </si>
  <si>
    <t>0011i000001xnL6</t>
  </si>
  <si>
    <t>0011i000001xoEV</t>
  </si>
  <si>
    <t>Neuroscience Clinic</t>
  </si>
  <si>
    <t>0011i000001xo50</t>
  </si>
  <si>
    <t>0011i000001xoIH</t>
  </si>
  <si>
    <t>0011i000001xnq1</t>
  </si>
  <si>
    <t>Seah Skin &amp; Medical Clinic</t>
  </si>
  <si>
    <t>0011i000001xnq2</t>
  </si>
  <si>
    <t>Twin City Medical Group</t>
  </si>
  <si>
    <t>1 Kim Seng Promenade</t>
  </si>
  <si>
    <t>#09-02 Great World City</t>
  </si>
  <si>
    <t>202394</t>
  </si>
  <si>
    <t>0011i000001xoVe</t>
  </si>
  <si>
    <t>0011i000001xnU3</t>
  </si>
  <si>
    <t>0011i000001xnDT</t>
  </si>
  <si>
    <t>Blk 844 Tampines Street 82</t>
  </si>
  <si>
    <t>201819</t>
  </si>
  <si>
    <t>520844</t>
  </si>
  <si>
    <t>0011i000001xnpI</t>
  </si>
  <si>
    <t>Department of Moulmein Road</t>
  </si>
  <si>
    <t>0011i000001xoCq</t>
  </si>
  <si>
    <t>Ho Tong Clinic</t>
  </si>
  <si>
    <t>0011i000001xoS5</t>
  </si>
  <si>
    <t>0011i000001xo5Q</t>
  </si>
  <si>
    <t>0011i000001xohv</t>
  </si>
  <si>
    <t>0011i00000Xf1Hy</t>
  </si>
  <si>
    <t>Parkway Cancer CNTR</t>
  </si>
  <si>
    <t>0011i000001xoVz</t>
  </si>
  <si>
    <t>0011i000001xnq6</t>
  </si>
  <si>
    <t>Make-Well Family Clinic &amp; Surgery</t>
  </si>
  <si>
    <t>0011i000001xnqA</t>
  </si>
  <si>
    <t>Boon Lay Central Clinic</t>
  </si>
  <si>
    <t>Blk 221 Boon Lay Place</t>
  </si>
  <si>
    <t>#01-242 Boon Lay Shopping Centre</t>
  </si>
  <si>
    <t>200043</t>
  </si>
  <si>
    <t>0011i000001xnqB</t>
  </si>
  <si>
    <t>0011i000001xoNI</t>
  </si>
  <si>
    <t>0011i000001xoeo</t>
  </si>
  <si>
    <t>Daily Medical Centre</t>
  </si>
  <si>
    <t>0011i000001xnq7</t>
  </si>
  <si>
    <t>Seetho Clinic For Women</t>
  </si>
  <si>
    <t>#07-11/12 Gleneagles Medical Centre</t>
  </si>
  <si>
    <t>200516</t>
  </si>
  <si>
    <t>0011i000001xmyJ</t>
  </si>
  <si>
    <t>0011i000001xnq8</t>
  </si>
  <si>
    <t>The Family Practice Clinic &amp; Surgery</t>
  </si>
  <si>
    <t>117 Commonwealth Drive</t>
  </si>
  <si>
    <t>#01-723</t>
  </si>
  <si>
    <t>140117</t>
  </si>
  <si>
    <t>0011i000001xnZh</t>
  </si>
  <si>
    <t>Block 41 Holland Drive</t>
  </si>
  <si>
    <t>201822</t>
  </si>
  <si>
    <t>278115</t>
  </si>
  <si>
    <t>0011i000001xoCx</t>
  </si>
  <si>
    <t>Segar East Coast Med Ctr</t>
  </si>
  <si>
    <t>184 East Coast Road</t>
  </si>
  <si>
    <t>428890</t>
  </si>
  <si>
    <t>0011i000001xniK</t>
  </si>
  <si>
    <t>0011i000001xnzj</t>
  </si>
  <si>
    <t>Promises Healthcare</t>
  </si>
  <si>
    <t>10 Sinaran Drive #09-23</t>
  </si>
  <si>
    <t>0011i000001xngA</t>
  </si>
  <si>
    <t>0011i00000Q3Rei</t>
  </si>
  <si>
    <t>0011i000001xnD2</t>
  </si>
  <si>
    <t>0011i000001xodg</t>
  </si>
  <si>
    <t>Drs Jiten &amp; Caroline Med CT + Xray</t>
  </si>
  <si>
    <t>0011i000001xn6N</t>
  </si>
  <si>
    <t>#06-24 Tanglin Shopping Centre</t>
  </si>
  <si>
    <t>200520</t>
  </si>
  <si>
    <t>0011i000001xoQU</t>
  </si>
  <si>
    <t>0011i000001xolM</t>
  </si>
  <si>
    <t>Nobel Psychological Wellness Clinic</t>
  </si>
  <si>
    <t>10 Sinaran Drive #09-35</t>
  </si>
  <si>
    <t>203394</t>
  </si>
  <si>
    <t>0011i000001xoXH</t>
  </si>
  <si>
    <t>KM Seng's O.G. Practice - Dr K M Seng</t>
  </si>
  <si>
    <t>0011i000001xnqD</t>
  </si>
  <si>
    <t>0011i000001xnc1</t>
  </si>
  <si>
    <t>0011i000001xn54</t>
  </si>
  <si>
    <t>0011i000001xnKJ</t>
  </si>
  <si>
    <t>0011i000001xnKN</t>
  </si>
  <si>
    <t>0011i000001xnVI</t>
  </si>
  <si>
    <t>0011i000001xmib</t>
  </si>
  <si>
    <t>0011i000001xmzu</t>
  </si>
  <si>
    <t>0011i000001xmzv</t>
  </si>
  <si>
    <t>0011i000001xnKL</t>
  </si>
  <si>
    <t>0011i000001xnKO</t>
  </si>
  <si>
    <t>0011i000002IdAO</t>
  </si>
  <si>
    <t>0011i000001xoD5</t>
  </si>
  <si>
    <t>0011i000001xoVB</t>
  </si>
  <si>
    <t>0011i000001xo5T</t>
  </si>
  <si>
    <t>0011i000007FALG</t>
  </si>
  <si>
    <t>EH Medical Woodlands</t>
  </si>
  <si>
    <t>Blk 785E, #01-12</t>
  </si>
  <si>
    <t>Woodlands Rise</t>
  </si>
  <si>
    <t>0011i000001xoFT</t>
  </si>
  <si>
    <t>0011i000001xoOv</t>
  </si>
  <si>
    <t>0011i000001xo5V</t>
  </si>
  <si>
    <t>0011i000001xoHF</t>
  </si>
  <si>
    <t>0011i000001xmku</t>
  </si>
  <si>
    <t>290 Orchard Road #06-06</t>
  </si>
  <si>
    <t>0011i000001xmgg</t>
  </si>
  <si>
    <t>263 Serangoon Central Drive</t>
  </si>
  <si>
    <t>201044</t>
  </si>
  <si>
    <t>550263</t>
  </si>
  <si>
    <t>0011i000001xmbu</t>
  </si>
  <si>
    <t>#01-548</t>
  </si>
  <si>
    <t>201259</t>
  </si>
  <si>
    <t>0011i000001xoXB</t>
  </si>
  <si>
    <t>0011i000001xnW2</t>
  </si>
  <si>
    <t>84 Serangoon Garden Way</t>
  </si>
  <si>
    <t>555980</t>
  </si>
  <si>
    <t>0011i000001xnod</t>
  </si>
  <si>
    <t>0011i000001xorF</t>
  </si>
  <si>
    <t>0011i000001xnh4</t>
  </si>
  <si>
    <t>0011i000001xo5W</t>
  </si>
  <si>
    <t>0011i000001xmfe</t>
  </si>
  <si>
    <t>231 Bain Road</t>
  </si>
  <si>
    <t>#03-57 Bras Basah Complex</t>
  </si>
  <si>
    <t>180231</t>
  </si>
  <si>
    <t>0011i000001xoLc</t>
  </si>
  <si>
    <t>Providence Medical Centre Pte Ltd</t>
  </si>
  <si>
    <t>8 Cross Street</t>
  </si>
  <si>
    <t>#01-03 PWC Building</t>
  </si>
  <si>
    <t>202935</t>
  </si>
  <si>
    <t>0011i00000tXmhD</t>
  </si>
  <si>
    <t>0011i000001xoMa</t>
  </si>
  <si>
    <t>0011i000001xoce</t>
  </si>
  <si>
    <t>0011i000001xnw4</t>
  </si>
  <si>
    <t>0011i000001xoqm</t>
  </si>
  <si>
    <t>0011i000001xms1</t>
  </si>
  <si>
    <t>805263</t>
  </si>
  <si>
    <t>0011i000001xofz</t>
  </si>
  <si>
    <t>Singapore Family Clinic and Surgery</t>
  </si>
  <si>
    <t>717 Woodlands Drive 70</t>
  </si>
  <si>
    <t>0011i000001xnMp</t>
  </si>
  <si>
    <t>Bukom Clinic</t>
  </si>
  <si>
    <t>Medical Department Pulau Bukom</t>
  </si>
  <si>
    <t>201749</t>
  </si>
  <si>
    <t>903808</t>
  </si>
  <si>
    <t>0011i000001xoX5</t>
  </si>
  <si>
    <t>0011i000001xmbM</t>
  </si>
  <si>
    <t>Blk 498 Jurong West Street 41</t>
  </si>
  <si>
    <t>200524</t>
  </si>
  <si>
    <t>0011i000001xmkQ</t>
  </si>
  <si>
    <t>0011i000001xnLy</t>
  </si>
  <si>
    <t>372 Bukit Batok Street 31</t>
  </si>
  <si>
    <t>0011i000001xnSU</t>
  </si>
  <si>
    <t>Blk 744 Bedok Reservoir Road</t>
  </si>
  <si>
    <t>#01-3065</t>
  </si>
  <si>
    <t>470744</t>
  </si>
  <si>
    <t>0011i000001xmis</t>
  </si>
  <si>
    <t>0011i000001xnGj</t>
  </si>
  <si>
    <t>0011i000001xnLL</t>
  </si>
  <si>
    <t>#01-309</t>
  </si>
  <si>
    <t>0011i000001xnBZ</t>
  </si>
  <si>
    <t>0011i000001xnEJ</t>
  </si>
  <si>
    <t>0011i000001xnDW</t>
  </si>
  <si>
    <t>0011i000001xmzf</t>
  </si>
  <si>
    <t>0011i000001xmzg</t>
  </si>
  <si>
    <t>0011i000001xmli</t>
  </si>
  <si>
    <t>0011i000001xmoK</t>
  </si>
  <si>
    <t>0011i000001xn7O</t>
  </si>
  <si>
    <t>Buangkok NEL MRT Station</t>
  </si>
  <si>
    <t>0011i000001xnLI</t>
  </si>
  <si>
    <t>0011i000001xmvV</t>
  </si>
  <si>
    <t>0011i000001xnGC</t>
  </si>
  <si>
    <t>#01-138</t>
  </si>
  <si>
    <t>0011i000001xmm1</t>
  </si>
  <si>
    <t>0011i000001xmoN</t>
  </si>
  <si>
    <t>333 Orchard Road #06-25/26</t>
  </si>
  <si>
    <t>Mandarin Orchard Singapore</t>
  </si>
  <si>
    <t>238867</t>
  </si>
  <si>
    <t>0011i000001xmvw</t>
  </si>
  <si>
    <t>0011i000001xmjb</t>
  </si>
  <si>
    <t>0011i000001xmyM</t>
  </si>
  <si>
    <t>0011i000001xnEp</t>
  </si>
  <si>
    <t>1 Raffles Quay North Tower</t>
  </si>
  <si>
    <t>#09-02 One Raffles Quay</t>
  </si>
  <si>
    <t>0011i000001xmrO</t>
  </si>
  <si>
    <t>1 HarbourFront Place</t>
  </si>
  <si>
    <t>#01-04 HarbourFront Tower One</t>
  </si>
  <si>
    <t>0011i000001xmuD</t>
  </si>
  <si>
    <t>0011i000001xmy3</t>
  </si>
  <si>
    <t>#09-02 North Tower</t>
  </si>
  <si>
    <t>0011i000001xmy6</t>
  </si>
  <si>
    <t>11 Orchard Road B2-01</t>
  </si>
  <si>
    <t>Dhoby Ghaut MRT Station</t>
  </si>
  <si>
    <t>238826</t>
  </si>
  <si>
    <t>0011i000001xn75</t>
  </si>
  <si>
    <t>0011i000001xncO</t>
  </si>
  <si>
    <t>0011i00000vyv47</t>
  </si>
  <si>
    <t>Block 598 Yishun Ring Rd, #B1-09</t>
  </si>
  <si>
    <t>Wisteria Mall</t>
  </si>
  <si>
    <t>768698</t>
  </si>
  <si>
    <t>0011i000001xoNy</t>
  </si>
  <si>
    <t>0011i00000w07Zk</t>
  </si>
  <si>
    <t>0011i000001xnwJ</t>
  </si>
  <si>
    <t>0011i000001xn26</t>
  </si>
  <si>
    <t>0011i000001xmq3</t>
  </si>
  <si>
    <t>0011i00000oVWa9</t>
  </si>
  <si>
    <t>Gutcare Digestive Liver Endoscopy Associates</t>
  </si>
  <si>
    <t>0011i000001xnQm</t>
  </si>
  <si>
    <t>168 Bedok South Ave 3</t>
  </si>
  <si>
    <t>#01-473</t>
  </si>
  <si>
    <t>805480</t>
  </si>
  <si>
    <t>0011i000001xn9y</t>
  </si>
  <si>
    <t>14 Scotts Road</t>
  </si>
  <si>
    <t>#04-08 Far East Plaza</t>
  </si>
  <si>
    <t>200267</t>
  </si>
  <si>
    <t>228213</t>
  </si>
  <si>
    <t>0011i000001xnqI</t>
  </si>
  <si>
    <t>Myat Saydanar Medical Center</t>
  </si>
  <si>
    <t>0011i000001xoIx</t>
  </si>
  <si>
    <t>0011i000001xoHX</t>
  </si>
  <si>
    <t>Sia &amp; Yeo Family Clinic</t>
  </si>
  <si>
    <t>Blk 407 Ang Mo Kio Avenue 10</t>
  </si>
  <si>
    <t>0011i000007FFdm</t>
  </si>
  <si>
    <t>0011i000001xmjX</t>
  </si>
  <si>
    <t>407 AMK Ave 10</t>
  </si>
  <si>
    <t>0011i000001xnKp</t>
  </si>
  <si>
    <t>0011i000001xnU5</t>
  </si>
  <si>
    <t>10 Haig Road</t>
  </si>
  <si>
    <t>#01-367</t>
  </si>
  <si>
    <t>430010</t>
  </si>
  <si>
    <t>0011i000001xogF</t>
  </si>
  <si>
    <t>1 Philip Street</t>
  </si>
  <si>
    <t>#04-02</t>
  </si>
  <si>
    <t>48692</t>
  </si>
  <si>
    <t>0011i00000tW5Ue</t>
  </si>
  <si>
    <t>0011i000007DbXf</t>
  </si>
  <si>
    <t>0011i000001xnqM</t>
  </si>
  <si>
    <t>Drs Singh &amp; Partners</t>
  </si>
  <si>
    <t>0011i000001xnqN</t>
  </si>
  <si>
    <t>Fullerton Health @ Drs Horne Chin &amp; Partners</t>
  </si>
  <si>
    <t>0011i000001xnqO</t>
  </si>
  <si>
    <t>Comfort Clinic &amp; Surgery</t>
  </si>
  <si>
    <t>Blk 214 Serangoon Ave 4</t>
  </si>
  <si>
    <t>200749</t>
  </si>
  <si>
    <t>550214</t>
  </si>
  <si>
    <t>0011i000001xoWZ</t>
  </si>
  <si>
    <t>0011i000001xoWB</t>
  </si>
  <si>
    <t>0011i000001xn5g</t>
  </si>
  <si>
    <t>0011i000001xong</t>
  </si>
  <si>
    <t>0011i000001xnQR</t>
  </si>
  <si>
    <t>202946</t>
  </si>
  <si>
    <t>0011i000001xmlu</t>
  </si>
  <si>
    <t>0011i000001xnOi</t>
  </si>
  <si>
    <t>0011i000001xmpf</t>
  </si>
  <si>
    <t>0011i000001xoiZ</t>
  </si>
  <si>
    <t>0011i000001xoju</t>
  </si>
  <si>
    <t>0011i000001xni0</t>
  </si>
  <si>
    <t>Island Family Clinic (Sengkang)</t>
  </si>
  <si>
    <t>0011i000001xoIl</t>
  </si>
  <si>
    <t>Health Partners Family Clinic</t>
  </si>
  <si>
    <t>1 Bukit Batok Central Link</t>
  </si>
  <si>
    <t>#01-37 West Mall</t>
  </si>
  <si>
    <t>202013</t>
  </si>
  <si>
    <t>658713</t>
  </si>
  <si>
    <t>0011i000001xo5X</t>
  </si>
  <si>
    <t>0011i000001xoQR</t>
  </si>
  <si>
    <t>0011i000001xoIC</t>
  </si>
  <si>
    <t>0011i000001xogn</t>
  </si>
  <si>
    <t>0011i000001xnqT</t>
  </si>
  <si>
    <t>Alliance Clinic &amp; Partners</t>
  </si>
  <si>
    <t>0011i000001xnqU</t>
  </si>
  <si>
    <t>0011i000001xoAb</t>
  </si>
  <si>
    <t>200136</t>
  </si>
  <si>
    <t>0011i000007DboH</t>
  </si>
  <si>
    <t>0011i000001xoXL</t>
  </si>
  <si>
    <t>0011i000001xnqV</t>
  </si>
  <si>
    <t>Simei Medical Centre</t>
  </si>
  <si>
    <t>#01-104</t>
  </si>
  <si>
    <t>Simei Med Ctr</t>
  </si>
  <si>
    <t>0011i000001xo5Z</t>
  </si>
  <si>
    <t>RSIM General &amp; Colorectal Surgery</t>
  </si>
  <si>
    <t>1 Farrer Park Road #13-10</t>
  </si>
  <si>
    <t>0011i000001xnqW</t>
  </si>
  <si>
    <t>The Lady Gynaecologist</t>
  </si>
  <si>
    <t>#15-16 Mount Elizabeth Medical Centre</t>
  </si>
  <si>
    <t>200614</t>
  </si>
  <si>
    <t>0011i000001xo5a</t>
  </si>
  <si>
    <t>820 Thomson Road #02-10</t>
  </si>
  <si>
    <t>Mt Alvernia Medical Ctr Blk B</t>
  </si>
  <si>
    <t>Sim Ear Nose &amp; Throat Surgery</t>
  </si>
  <si>
    <t>0011i000001xnyv</t>
  </si>
  <si>
    <t>11 Outram Road</t>
  </si>
  <si>
    <t>0011i000001xo1F</t>
  </si>
  <si>
    <t>0011i000001xnqY</t>
  </si>
  <si>
    <t>Blk 509 Bishan St 11</t>
  </si>
  <si>
    <t>201060</t>
  </si>
  <si>
    <t>0011i000001xoqi</t>
  </si>
  <si>
    <t>Blk 201D Tampines St 21</t>
  </si>
  <si>
    <t>0011i000001xnd7</t>
  </si>
  <si>
    <t>0011i000001xman</t>
  </si>
  <si>
    <t>0011i000001xn62</t>
  </si>
  <si>
    <t>9 Simon Road</t>
  </si>
  <si>
    <t>202453</t>
  </si>
  <si>
    <t>545895</t>
  </si>
  <si>
    <t>0011i000001xnU7</t>
  </si>
  <si>
    <t>3 Mt Elizabeth #08-07</t>
  </si>
  <si>
    <t>0011i000001xn18</t>
  </si>
  <si>
    <t>#01-*174</t>
  </si>
  <si>
    <t>0011i000001xmcP</t>
  </si>
  <si>
    <t>0011i000001xoAc</t>
  </si>
  <si>
    <t>Harmony Family Clinic</t>
  </si>
  <si>
    <t>0011i000001xnW7</t>
  </si>
  <si>
    <t>Blk 292 Yishun Street 22</t>
  </si>
  <si>
    <t>#01-285</t>
  </si>
  <si>
    <t>760292</t>
  </si>
  <si>
    <t>0011i000001xoZ8</t>
  </si>
  <si>
    <t>0011i000001xnMv</t>
  </si>
  <si>
    <t>0011i000001xnMP</t>
  </si>
  <si>
    <t>0011i000001xmbd</t>
  </si>
  <si>
    <t>0011i000001xmdq</t>
  </si>
  <si>
    <t>0011i000001xmk1</t>
  </si>
  <si>
    <t>0011i000001xmlH</t>
  </si>
  <si>
    <t>0011i000001xmlI</t>
  </si>
  <si>
    <t>0011i000001xmmj</t>
  </si>
  <si>
    <t>0011i000001xmo8</t>
  </si>
  <si>
    <t>0011i000001xmpc</t>
  </si>
  <si>
    <t>0011i000001xmrl</t>
  </si>
  <si>
    <t>0011i000001xn2a</t>
  </si>
  <si>
    <t>0011i000001xn4l</t>
  </si>
  <si>
    <t>0011i000001xnEZ</t>
  </si>
  <si>
    <t>0011i000001xnIA</t>
  </si>
  <si>
    <t>0011i000001xnIC</t>
  </si>
  <si>
    <t>0011i000001xnMS</t>
  </si>
  <si>
    <t>0011i000001xnMW</t>
  </si>
  <si>
    <t>0011i000001xnS6</t>
  </si>
  <si>
    <t>0011i000001xnSM</t>
  </si>
  <si>
    <t>0011i000001xnYL</t>
  </si>
  <si>
    <t>0011i000001xnYc</t>
  </si>
  <si>
    <t>0011i000001xnVK</t>
  </si>
  <si>
    <t>Clinic B</t>
  </si>
  <si>
    <t>0011i000001xmeo</t>
  </si>
  <si>
    <t>0011i000001xmev</t>
  </si>
  <si>
    <t>0011i000001xmj2</t>
  </si>
  <si>
    <t>0011i000001xmjR</t>
  </si>
  <si>
    <t>0011i000001xmmm</t>
  </si>
  <si>
    <t>0011i000001xmov</t>
  </si>
  <si>
    <t>0011i000001xmre</t>
  </si>
  <si>
    <t>0011i000001xmuI</t>
  </si>
  <si>
    <t>0011i000001xmxO</t>
  </si>
  <si>
    <t>0011i000001xn4a</t>
  </si>
  <si>
    <t>0011i000001xnH3</t>
  </si>
  <si>
    <t>0011i000001xnKe</t>
  </si>
  <si>
    <t>0011i000001xnMl</t>
  </si>
  <si>
    <t>0011i000001xnQL</t>
  </si>
  <si>
    <t>0011i000001xnS1</t>
  </si>
  <si>
    <t>0011i000001xnUK</t>
  </si>
  <si>
    <t>0011i000001xnUx</t>
  </si>
  <si>
    <t>0011i000001xnaY</t>
  </si>
  <si>
    <t>0011i000001xnam</t>
  </si>
  <si>
    <t>0011i000001xmes</t>
  </si>
  <si>
    <t>0011i000001xmgQ</t>
  </si>
  <si>
    <t>0011i000001xmok</t>
  </si>
  <si>
    <t>0011i000001xmtH</t>
  </si>
  <si>
    <t>0011i000001xmxp</t>
  </si>
  <si>
    <t>Respiratory &amp; Critical Care Medicine</t>
  </si>
  <si>
    <t>0011i000001xn5c</t>
  </si>
  <si>
    <t>0011i000001xnCZ</t>
  </si>
  <si>
    <t>Block 6 Level 7 Outram Road</t>
  </si>
  <si>
    <t>0011i000001xnFq</t>
  </si>
  <si>
    <t>0011i000001xnO2</t>
  </si>
  <si>
    <t>0011i000001xnPS</t>
  </si>
  <si>
    <t>0011i000001xnPb</t>
  </si>
  <si>
    <t>0011i000001xnPd</t>
  </si>
  <si>
    <t>0011i000001xnSs</t>
  </si>
  <si>
    <t>0011i000001xnUG</t>
  </si>
  <si>
    <t>0011i000001xnXW</t>
  </si>
  <si>
    <t>0011i000001xnZ0</t>
  </si>
  <si>
    <t>0011i000001xmc8</t>
  </si>
  <si>
    <t>0011i000001xmcA</t>
  </si>
  <si>
    <t>0011i000001xmeq</t>
  </si>
  <si>
    <t>0011i000001xmf3</t>
  </si>
  <si>
    <t>0011i000001xmgK</t>
  </si>
  <si>
    <t>0011i000001xmiY</t>
  </si>
  <si>
    <t>0011i000001xmjP</t>
  </si>
  <si>
    <t>0011i000001xmpy</t>
  </si>
  <si>
    <t>0011i000001xmrS</t>
  </si>
  <si>
    <t>0011i000001xmrc</t>
  </si>
  <si>
    <t>0011i000001xmu6</t>
  </si>
  <si>
    <t>0011i000001xmxI</t>
  </si>
  <si>
    <t>0011i000001xmxi</t>
  </si>
  <si>
    <t>0011i000001xmxj</t>
  </si>
  <si>
    <t>0011i000001xmyi</t>
  </si>
  <si>
    <t>0011i000001xmyl</t>
  </si>
  <si>
    <t>0011i000001xn3O</t>
  </si>
  <si>
    <t>0011i000001xn47</t>
  </si>
  <si>
    <t>0011i000001xn4s</t>
  </si>
  <si>
    <t>0011i000001xn7C</t>
  </si>
  <si>
    <t>0011i000001xnMZ</t>
  </si>
  <si>
    <t>Department of Purchasing</t>
  </si>
  <si>
    <t>0011i000001xnN0</t>
  </si>
  <si>
    <t>0011i000001xnSS</t>
  </si>
  <si>
    <t>0011i000001xnXi</t>
  </si>
  <si>
    <t>0011i000001xnYN</t>
  </si>
  <si>
    <t>0011i000001xnZU</t>
  </si>
  <si>
    <t>0011i000001xnb0</t>
  </si>
  <si>
    <t>0011i000001xnbM</t>
  </si>
  <si>
    <t>0011i000001xnBW</t>
  </si>
  <si>
    <t>0011i000001xnA2</t>
  </si>
  <si>
    <t>0011i000001xmhn</t>
  </si>
  <si>
    <t>6A Napier Road #02-12</t>
  </si>
  <si>
    <t>0011i000001xnFt</t>
  </si>
  <si>
    <t>#18-03 Paragon</t>
  </si>
  <si>
    <t>203212</t>
  </si>
  <si>
    <t>0011i000001xoX3</t>
  </si>
  <si>
    <t>0011i000001xnPz</t>
  </si>
  <si>
    <t>201358</t>
  </si>
  <si>
    <t>0011i000001xmvb</t>
  </si>
  <si>
    <t>27 Bencoolen Street</t>
  </si>
  <si>
    <t>#01-27</t>
  </si>
  <si>
    <t>189620</t>
  </si>
  <si>
    <t>200534</t>
  </si>
  <si>
    <t>0011i000001xoo5</t>
  </si>
  <si>
    <t>0011i000007EfU0</t>
  </si>
  <si>
    <t>The ClinicGroup @ marina One</t>
  </si>
  <si>
    <t>5 Starits View</t>
  </si>
  <si>
    <t>018935</t>
  </si>
  <si>
    <t>0011i000001xn70</t>
  </si>
  <si>
    <t>0011i000001xnmw</t>
  </si>
  <si>
    <t>81 Family Clinic</t>
  </si>
  <si>
    <t>Blk 86 Marine Parade Central</t>
  </si>
  <si>
    <t>#01-670</t>
  </si>
  <si>
    <t>201291</t>
  </si>
  <si>
    <t>440086</t>
  </si>
  <si>
    <t>0011i000001xoB3</t>
  </si>
  <si>
    <t>0011i000001xn8V</t>
  </si>
  <si>
    <t>221 Upper Thomson Road</t>
  </si>
  <si>
    <t>200535</t>
  </si>
  <si>
    <t>574353</t>
  </si>
  <si>
    <t>0011i000001xnqe</t>
  </si>
  <si>
    <t>Medica Clinic</t>
  </si>
  <si>
    <t>0011i000001xnza</t>
  </si>
  <si>
    <t>Paediatric &amp; Sports Orthopaedic Surgery</t>
  </si>
  <si>
    <t>0011i000001xnqf</t>
  </si>
  <si>
    <t>Emmanuel Medical Clinic</t>
  </si>
  <si>
    <t>0011i000001xoK2</t>
  </si>
  <si>
    <t>0011i000001xmtQ</t>
  </si>
  <si>
    <t>820 Thomson Road #08-59</t>
  </si>
  <si>
    <t>0011i000001xnkJ</t>
  </si>
  <si>
    <t>0011i000001xoT1</t>
  </si>
  <si>
    <t>0011i000001xoXv</t>
  </si>
  <si>
    <t>S&amp;L Family Clinic</t>
  </si>
  <si>
    <t>0011i000001xoMC</t>
  </si>
  <si>
    <t>0011i000001xoY4</t>
  </si>
  <si>
    <t>0011i000001xnqh</t>
  </si>
  <si>
    <t>The Heart &amp; Lung Specialist Clinic</t>
  </si>
  <si>
    <t>#16-06/07 Mount Elizabeth Medical Centre</t>
  </si>
  <si>
    <t>803098</t>
  </si>
  <si>
    <t>0011i000001xnNN</t>
  </si>
  <si>
    <t>0011i000001xmtY</t>
  </si>
  <si>
    <t>Block 208 Hougang Street 21</t>
  </si>
  <si>
    <t>0011i000001xmsy</t>
  </si>
  <si>
    <t>0011i000001xnAl</t>
  </si>
  <si>
    <t>38 Irrawaddy Road #05-34/35</t>
  </si>
  <si>
    <t>0011i00000uOGno</t>
  </si>
  <si>
    <t>11 Chai Chee Road</t>
  </si>
  <si>
    <t>#01-23</t>
  </si>
  <si>
    <t>460011</t>
  </si>
  <si>
    <t>0011i000001xoeI</t>
  </si>
  <si>
    <t>Smith Pharmacy Pte Ltd</t>
  </si>
  <si>
    <t>400176</t>
  </si>
  <si>
    <t>310183</t>
  </si>
  <si>
    <t>0011i000001xnGo</t>
  </si>
  <si>
    <t>0011i000001xoQE</t>
  </si>
  <si>
    <t>0011i000001xomT</t>
  </si>
  <si>
    <t>KK Sng Colorectal &amp; General Surgery</t>
  </si>
  <si>
    <t>6 Napier Road #06-11</t>
  </si>
  <si>
    <t>0011i000001xnqi</t>
  </si>
  <si>
    <t>Rowell Clinic &amp; Surgery</t>
  </si>
  <si>
    <t>0011i000001xnqj</t>
  </si>
  <si>
    <t>0011i000001xo5g</t>
  </si>
  <si>
    <t>0011i000001xo5h</t>
  </si>
  <si>
    <t>Ear, Nose &amp; Throat Partners Pte Ltd</t>
  </si>
  <si>
    <t>0011i000001xoT0</t>
  </si>
  <si>
    <t>0011i000001xnql</t>
  </si>
  <si>
    <t>Keppel Medical Group</t>
  </si>
  <si>
    <t>0011i000001xoDN</t>
  </si>
  <si>
    <t>Dr Soh Family Clinic</t>
  </si>
  <si>
    <t>0011i000001xoSM</t>
  </si>
  <si>
    <t>Ear Nose &amp; Throat Partners Pte Ltd</t>
  </si>
  <si>
    <t>0011i00000Xf1Gt</t>
  </si>
  <si>
    <t>0011i000001xoIm</t>
  </si>
  <si>
    <t>Lifesprings Family Clinic</t>
  </si>
  <si>
    <t>0011i000001xnqs</t>
  </si>
  <si>
    <t>Joy Clinic &amp; Surgery</t>
  </si>
  <si>
    <t>0011i000001xo0Z</t>
  </si>
  <si>
    <t>0011i00000ugB22</t>
  </si>
  <si>
    <t>0011i000001xoB2</t>
  </si>
  <si>
    <t>0011i000001xnqt</t>
  </si>
  <si>
    <t>Fajar Family Clinic &amp; Surgery</t>
  </si>
  <si>
    <t>445 Fajar Road</t>
  </si>
  <si>
    <t>#01-550 Fajar Shopping Centre</t>
  </si>
  <si>
    <t>0011i000001xnnY</t>
  </si>
  <si>
    <t>0011i000001xnn9</t>
  </si>
  <si>
    <t>Abel Soh Diabetes &amp; Thyroid &amp; Endocrine Clinic</t>
  </si>
  <si>
    <t>0011i000001xoMO</t>
  </si>
  <si>
    <t>Excel Medical Pte Ltd</t>
  </si>
  <si>
    <t>21 Hougang Street 51</t>
  </si>
  <si>
    <t>#01-06 Hougang Green Shopping Mall</t>
  </si>
  <si>
    <t>202242</t>
  </si>
  <si>
    <t>0011i00000oYBJG</t>
  </si>
  <si>
    <t>0011i000001xoNC</t>
  </si>
  <si>
    <t>Department Of Internal Medicine</t>
  </si>
  <si>
    <t>0011i00000jv0Ku</t>
  </si>
  <si>
    <t>0011i000001xnqv</t>
  </si>
  <si>
    <t>Familycare Clinic And Surgery</t>
  </si>
  <si>
    <t>0011i000001xoB6</t>
  </si>
  <si>
    <t>Department of Oncology</t>
  </si>
  <si>
    <t>0011i00000Xf1HQ</t>
  </si>
  <si>
    <t>0011i000001xoot</t>
  </si>
  <si>
    <t>0011i000001xoL1</t>
  </si>
  <si>
    <t>Healthmark Pioneer Mall Clinic</t>
  </si>
  <si>
    <t>Blk 638 Jurong West Street 61</t>
  </si>
  <si>
    <t>#02-08 Pioneer Mall</t>
  </si>
  <si>
    <t>0011i000001xoRn</t>
  </si>
  <si>
    <t>0011i000001xnoc</t>
  </si>
  <si>
    <t>0011i000001xoQ3</t>
  </si>
  <si>
    <t>The Heart Doctors Clinic</t>
  </si>
  <si>
    <t>820 Thomson Road #05-56</t>
  </si>
  <si>
    <t>Mount Alvernia Medical Centre D</t>
  </si>
  <si>
    <t>203393</t>
  </si>
  <si>
    <t>0011i000001xoaL</t>
  </si>
  <si>
    <t>0011i000001xo4B</t>
  </si>
  <si>
    <t>0011i000001xoH5</t>
  </si>
  <si>
    <t>Soon Diabetes Thyroid And Endocrinology</t>
  </si>
  <si>
    <t>#10-08 Novena Medical Centre Square 2</t>
  </si>
  <si>
    <t>203244</t>
  </si>
  <si>
    <t>0011i000001xo20</t>
  </si>
  <si>
    <t>0011i00000w07YN</t>
  </si>
  <si>
    <t>0011i000001xnsn</t>
  </si>
  <si>
    <t>0011i000001xodY</t>
  </si>
  <si>
    <t>0011i000001xmlR</t>
  </si>
  <si>
    <t>0011i000001xnr0</t>
  </si>
  <si>
    <t>Soong Clinic &amp; Surgery</t>
  </si>
  <si>
    <t>162 Mei Ling Street</t>
  </si>
  <si>
    <t>201838</t>
  </si>
  <si>
    <t>0011i00000Q2V8D</t>
  </si>
  <si>
    <t>0011i000001xoko</t>
  </si>
  <si>
    <t>0011i000001xoMm</t>
  </si>
  <si>
    <t>Bernadette Yvonne Soong Clinic For Women Pte Ltd</t>
  </si>
  <si>
    <t>#04-07 Thomson Medical Centre</t>
  </si>
  <si>
    <t>202555</t>
  </si>
  <si>
    <t>307577</t>
  </si>
  <si>
    <t>0011i000001xoNs</t>
  </si>
  <si>
    <t>0011i000001xnKb</t>
  </si>
  <si>
    <t>0011i000001xn3R</t>
  </si>
  <si>
    <t>103 Yishun Ring Road</t>
  </si>
  <si>
    <t>202164</t>
  </si>
  <si>
    <t>760103</t>
  </si>
  <si>
    <t>0011i000001xnyD</t>
  </si>
  <si>
    <t>0011i000001xorr</t>
  </si>
  <si>
    <t>0011i000001xorQ</t>
  </si>
  <si>
    <t>0011i000001xmyX</t>
  </si>
  <si>
    <t>0011i000001xn8b</t>
  </si>
  <si>
    <t>0011i000001xnNZ</t>
  </si>
  <si>
    <t>8 Simei Street 3</t>
  </si>
  <si>
    <t>529895</t>
  </si>
  <si>
    <t>0011i000001xnVn</t>
  </si>
  <si>
    <t>0011i000001xnr5</t>
  </si>
  <si>
    <t>Stanley Ear, Nose, Throat &amp; Sinus Centre</t>
  </si>
  <si>
    <t>#07-15 Gleneagles Medical Centre</t>
  </si>
  <si>
    <t>201545</t>
  </si>
  <si>
    <t>0011i000001xmnL</t>
  </si>
  <si>
    <t>#01-108</t>
  </si>
  <si>
    <t>0011i000001xnDq</t>
  </si>
  <si>
    <t>547 Serangoon Road</t>
  </si>
  <si>
    <t>200546</t>
  </si>
  <si>
    <t>218629</t>
  </si>
  <si>
    <t>0011i000007EVH6</t>
  </si>
  <si>
    <t>0011i000001xn01</t>
  </si>
  <si>
    <t>Blk 311 Hougang Ave 5</t>
  </si>
  <si>
    <t>#01-183</t>
  </si>
  <si>
    <t>530311</t>
  </si>
  <si>
    <t>0011i000001xnAU</t>
  </si>
  <si>
    <t>14 Scotts Road #05-13</t>
  </si>
  <si>
    <t>Far East Plaza</t>
  </si>
  <si>
    <t>0011i000001xnr6</t>
  </si>
  <si>
    <t>The Chest &amp; Internal Medicine Clinic</t>
  </si>
  <si>
    <t>38 Irrawaddy Road #10-25</t>
  </si>
  <si>
    <t>0011i000001xnJ2</t>
  </si>
  <si>
    <t>820 Thomson Road #05-53</t>
  </si>
  <si>
    <t>0011i000001xmn6</t>
  </si>
  <si>
    <t>Block 3 Lorong Lew Lian</t>
  </si>
  <si>
    <t>201413</t>
  </si>
  <si>
    <t>531003</t>
  </si>
  <si>
    <t>0011i000001xndN</t>
  </si>
  <si>
    <t>0011i000001xmp1</t>
  </si>
  <si>
    <t>0011i000001xnBI</t>
  </si>
  <si>
    <t>0011i000001xnFM</t>
  </si>
  <si>
    <t>0011i000001xnTw</t>
  </si>
  <si>
    <t>0011i000001xmjB</t>
  </si>
  <si>
    <t>0011i000001xnCr</t>
  </si>
  <si>
    <t>0011i000001xn9E</t>
  </si>
  <si>
    <t>16 Upper Circular Road</t>
  </si>
  <si>
    <t>#15-01 Amcis House</t>
  </si>
  <si>
    <t>58414</t>
  </si>
  <si>
    <t>0011i000001xmfD</t>
  </si>
  <si>
    <t>Block 139 Tampines Street 11</t>
  </si>
  <si>
    <t>#01-12</t>
  </si>
  <si>
    <t>202112</t>
  </si>
  <si>
    <t>0011i000001xn6z</t>
  </si>
  <si>
    <t>0011i000001xof1</t>
  </si>
  <si>
    <t>0011i000001xnke</t>
  </si>
  <si>
    <t>460 Alexandra Road #02-15</t>
  </si>
  <si>
    <t>0011i000001xnrA</t>
  </si>
  <si>
    <t>0011i000006VWXx</t>
  </si>
  <si>
    <t>0011i000001xoEa</t>
  </si>
  <si>
    <t>0011i000001xnr7</t>
  </si>
  <si>
    <t>0011i000001xnHD</t>
  </si>
  <si>
    <t>0011i000001xnY4</t>
  </si>
  <si>
    <t>202047</t>
  </si>
  <si>
    <t>0011i00000raTiX</t>
  </si>
  <si>
    <t>0011i000001xnlb</t>
  </si>
  <si>
    <t>0011i000001xoGp</t>
  </si>
  <si>
    <t>0011i000001xnW1</t>
  </si>
  <si>
    <t>3 Mt Elizabeth #11-01</t>
  </si>
  <si>
    <t>0011i00000vyumw</t>
  </si>
  <si>
    <t>365 Sembawang Cresent</t>
  </si>
  <si>
    <t>750365</t>
  </si>
  <si>
    <t>0011i000001xnXn</t>
  </si>
  <si>
    <t>0011i000001xmeg</t>
  </si>
  <si>
    <t>0011i000001xn5C</t>
  </si>
  <si>
    <t>0011i000001xoJC</t>
  </si>
  <si>
    <t>Medina Medical Centre</t>
  </si>
  <si>
    <t>0011i000001xoRx</t>
  </si>
  <si>
    <t>0011i000001xolJ</t>
  </si>
  <si>
    <t>0011i000001xnrE</t>
  </si>
  <si>
    <t>S G Clinic Family Practice</t>
  </si>
  <si>
    <t>0011i000001xo5l</t>
  </si>
  <si>
    <t>0011i000001xmtx</t>
  </si>
  <si>
    <t>#12-12S Mount Elizabeth Medical Centre</t>
  </si>
  <si>
    <t>0011i00000X9Nc2</t>
  </si>
  <si>
    <t>0011i000001xolZ</t>
  </si>
  <si>
    <t>Retail Executive</t>
  </si>
  <si>
    <t>0011i000001xorf</t>
  </si>
  <si>
    <t>0011i000001xmsA</t>
  </si>
  <si>
    <t>0011i000001xmhl</t>
  </si>
  <si>
    <t>0011i000001xnCp</t>
  </si>
  <si>
    <t>0011i000001xmfK</t>
  </si>
  <si>
    <t>#10-14 Mount Elizabeth Medical Centre</t>
  </si>
  <si>
    <t>200552</t>
  </si>
  <si>
    <t>0011i000001xnrG</t>
  </si>
  <si>
    <t>Swami Surgery Pte Ltd</t>
  </si>
  <si>
    <t>6 Napier Road #03-03</t>
  </si>
  <si>
    <t>0011i000001xnHt</t>
  </si>
  <si>
    <t>0011i000001xnox</t>
  </si>
  <si>
    <t>0011i000001xn7I</t>
  </si>
  <si>
    <t>#01-204</t>
  </si>
  <si>
    <t>201919</t>
  </si>
  <si>
    <t>0011i000001xmfb</t>
  </si>
  <si>
    <t>181 Kitchener Road</t>
  </si>
  <si>
    <t>#01-36/38 New Park Hotel Shopping Arcade</t>
  </si>
  <si>
    <t>201065</t>
  </si>
  <si>
    <t>208533</t>
  </si>
  <si>
    <t>0011i00000Q8cke</t>
  </si>
  <si>
    <t>Park Royal in Kitchener Road, 181 Kitchener road</t>
  </si>
  <si>
    <t>#01-36/38</t>
  </si>
  <si>
    <t>0011i000001xo9x</t>
  </si>
  <si>
    <t>0011i000001xo5m</t>
  </si>
  <si>
    <t>0011i000002IdAA</t>
  </si>
  <si>
    <t>0011i00000S3HI4</t>
  </si>
  <si>
    <t>0011i000001xoet</t>
  </si>
  <si>
    <t>0011i00000tWNCK</t>
  </si>
  <si>
    <t>The Japanese Association Clinic</t>
  </si>
  <si>
    <t>120 Adam Road</t>
  </si>
  <si>
    <t>289899</t>
  </si>
  <si>
    <t>0011i000001xo9y</t>
  </si>
  <si>
    <t>The Premier Medical Clinic</t>
  </si>
  <si>
    <t>Blk 304 Chua Chu Kang Ave 4</t>
  </si>
  <si>
    <t>#01-651</t>
  </si>
  <si>
    <t>0011i000001xoHP</t>
  </si>
  <si>
    <t>0011i000001xnrH</t>
  </si>
  <si>
    <t>Lai Clinic</t>
  </si>
  <si>
    <t>0011i000001xnrJ</t>
  </si>
  <si>
    <t>Central Medical Clinic</t>
  </si>
  <si>
    <t>200135</t>
  </si>
  <si>
    <t>0011i000001xn2E</t>
  </si>
  <si>
    <t>0011i000001xmmt</t>
  </si>
  <si>
    <t>0011i000001xnD3</t>
  </si>
  <si>
    <t>200557</t>
  </si>
  <si>
    <t>0011i000001xnWD</t>
  </si>
  <si>
    <t>Blk 801 Tampines Ave 4</t>
  </si>
  <si>
    <t>#01-263</t>
  </si>
  <si>
    <t>201097</t>
  </si>
  <si>
    <t>0011i000001xn5t</t>
  </si>
  <si>
    <t>0011i000001xnR7</t>
  </si>
  <si>
    <t>0011i000001xnaI</t>
  </si>
  <si>
    <t>0011i000001xnJB</t>
  </si>
  <si>
    <t>0011i000001xmpz</t>
  </si>
  <si>
    <t>0011i000001xmzi</t>
  </si>
  <si>
    <t>0011i000001xn3B</t>
  </si>
  <si>
    <t>0011i000001xn5y</t>
  </si>
  <si>
    <t>0011i000001xnYu</t>
  </si>
  <si>
    <t>0011i000001xo5k</t>
  </si>
  <si>
    <t>0011i000001xobq</t>
  </si>
  <si>
    <t>400 Orchard Road</t>
  </si>
  <si>
    <t>0011i000001xnwE</t>
  </si>
  <si>
    <t>Gethin-Jones Medical Practice Pte Ltd</t>
  </si>
  <si>
    <t>Blk/House 1 Nanyang Avenue</t>
  </si>
  <si>
    <t>Medical Centre at NTU</t>
  </si>
  <si>
    <t>639798</t>
  </si>
  <si>
    <t>0011i000001xnm7</t>
  </si>
  <si>
    <t>0011i000001xniA</t>
  </si>
  <si>
    <t>0011i00000vHmPw</t>
  </si>
  <si>
    <t>0011i000001xoSn</t>
  </si>
  <si>
    <t>Pasir Ris Clinic &amp; Surgery</t>
  </si>
  <si>
    <t>0011i000001xoGx</t>
  </si>
  <si>
    <t>0011i000001xoaU</t>
  </si>
  <si>
    <t>0011i000001xnrK</t>
  </si>
  <si>
    <t>Ophthalmic Consultants Pte Ltd</t>
  </si>
  <si>
    <t>#07-16/17 Gleneagles Medical Centre</t>
  </si>
  <si>
    <t>201540</t>
  </si>
  <si>
    <t>0011i000001xnrQ</t>
  </si>
  <si>
    <t>Ban Kok Clinic &amp; Surgery</t>
  </si>
  <si>
    <t>0011i00000S3HFF</t>
  </si>
  <si>
    <t>0011i000001xnrR</t>
  </si>
  <si>
    <t>JW Corporation Clinic</t>
  </si>
  <si>
    <t>0011i000001xnrT</t>
  </si>
  <si>
    <t>Woodlands Family Clinic</t>
  </si>
  <si>
    <t>Blk 305 Woodlands Street 31</t>
  </si>
  <si>
    <t>201308</t>
  </si>
  <si>
    <t>0011i000001xoLA</t>
  </si>
  <si>
    <t>0011i000001xnrU</t>
  </si>
  <si>
    <t>Universal Peace Clinic</t>
  </si>
  <si>
    <t>0011i000001xoHR</t>
  </si>
  <si>
    <t>0011i000001xnrY</t>
  </si>
  <si>
    <t>Sincere Medical &amp; Dental Clinic</t>
  </si>
  <si>
    <t>0011i000001xo5o</t>
  </si>
  <si>
    <t>Neurology And Neurophysiology Clinic</t>
  </si>
  <si>
    <t>0011i000001xnrZ</t>
  </si>
  <si>
    <t>Tan-Teoh Clinic &amp; Surgery</t>
  </si>
  <si>
    <t>#01-216</t>
  </si>
  <si>
    <t>200715</t>
  </si>
  <si>
    <t>0011i000001xoKY</t>
  </si>
  <si>
    <t>0011i000001xnrb</t>
  </si>
  <si>
    <t>C K Tan Family Clinic &amp; Surgery</t>
  </si>
  <si>
    <t>0011i000001xnup</t>
  </si>
  <si>
    <t>0011i000001xoF3</t>
  </si>
  <si>
    <t>Alexandra Family Clinic &amp; Surgery</t>
  </si>
  <si>
    <t>0011i000001xo5r</t>
  </si>
  <si>
    <t>0011i00000Xf1IW</t>
  </si>
  <si>
    <t>0011i000001xnrc</t>
  </si>
  <si>
    <t>0011i000001xoFJ</t>
  </si>
  <si>
    <t>0011i000001xnvI</t>
  </si>
  <si>
    <t>0011i000001xodn</t>
  </si>
  <si>
    <t>Department of Orthpaedics</t>
  </si>
  <si>
    <t>0011i000001xobB</t>
  </si>
  <si>
    <t>AMK Family Clinic PTE LTD</t>
  </si>
  <si>
    <t>0011i000001xoCe</t>
  </si>
  <si>
    <t>0011i000001xo6G</t>
  </si>
  <si>
    <t>0011i000001xnrg</t>
  </si>
  <si>
    <t>Chin Leong Clinic</t>
  </si>
  <si>
    <t>0011i000001xoFb</t>
  </si>
  <si>
    <t>West Coast Clinic &amp; Surgery</t>
  </si>
  <si>
    <t>#01-561</t>
  </si>
  <si>
    <t>200667</t>
  </si>
  <si>
    <t>0011i000001xoFj</t>
  </si>
  <si>
    <t>0011i000001xnjg</t>
  </si>
  <si>
    <t>0011i000001xoQH</t>
  </si>
  <si>
    <t>0011i000001xo5u</t>
  </si>
  <si>
    <t>The Vein Clinic &amp; Surgery</t>
  </si>
  <si>
    <t>#11-08 Paragon</t>
  </si>
  <si>
    <t>202271</t>
  </si>
  <si>
    <t>0011i000001xnvn</t>
  </si>
  <si>
    <t>Roger Kidney Clinic</t>
  </si>
  <si>
    <t>0011i000001xoFq</t>
  </si>
  <si>
    <t>0011i000001xoQL</t>
  </si>
  <si>
    <t>0011i000001xo5v</t>
  </si>
  <si>
    <t>0011i000001xnrl</t>
  </si>
  <si>
    <t>Tan Chue Tin Clinic</t>
  </si>
  <si>
    <t>#09-07 Paragon</t>
  </si>
  <si>
    <t>200560</t>
  </si>
  <si>
    <t>0011i000001xony</t>
  </si>
  <si>
    <t>93 Lower Kent Ridge Road</t>
  </si>
  <si>
    <t>0011i00000S3HIs</t>
  </si>
  <si>
    <t>0011i000001xoPl</t>
  </si>
  <si>
    <t>0011i000001xosn</t>
  </si>
  <si>
    <t>0011i000007DNLA</t>
  </si>
  <si>
    <t>0011i00000Xf1Hj</t>
  </si>
  <si>
    <t>0011i000007DbVt</t>
  </si>
  <si>
    <t>0011i000001xobv</t>
  </si>
  <si>
    <t>0011i000002IdAC</t>
  </si>
  <si>
    <t>0011i000001xnrn</t>
  </si>
  <si>
    <t>EJ Family Clinic</t>
  </si>
  <si>
    <t>0011i000001xo5w</t>
  </si>
  <si>
    <t>0011i000001xnwr</t>
  </si>
  <si>
    <t>0011i000001xnro</t>
  </si>
  <si>
    <t>Tan &amp; Koh Clinic &amp; Surgery</t>
  </si>
  <si>
    <t>Blk 374 Bukit Batok Ave 5 Street 31</t>
  </si>
  <si>
    <t>#01-206</t>
  </si>
  <si>
    <t>803310</t>
  </si>
  <si>
    <t>650374</t>
  </si>
  <si>
    <t>0011i000001xnrp</t>
  </si>
  <si>
    <t>Tampines Medilife Clinic</t>
  </si>
  <si>
    <t>0011i000001xoTQ</t>
  </si>
  <si>
    <t>0011i000001xnha</t>
  </si>
  <si>
    <t>0011i000001xoLw</t>
  </si>
  <si>
    <t>E C Tan Urology</t>
  </si>
  <si>
    <t>0011i000001xo4M</t>
  </si>
  <si>
    <t>E J Family Clinic</t>
  </si>
  <si>
    <t>0011i000001xoG8</t>
  </si>
  <si>
    <t>Melvin Tan Cardiology Practice</t>
  </si>
  <si>
    <t>38 Irrawaddy Road #06-40</t>
  </si>
  <si>
    <t>Novena Specialist Medical Cemtre</t>
  </si>
  <si>
    <t>0011i000001xo5y</t>
  </si>
  <si>
    <t>Kevin Tan Clinic For Diabetes, Thyroid And Hormone</t>
  </si>
  <si>
    <t>202853</t>
  </si>
  <si>
    <t>0011i000001xoFH</t>
  </si>
  <si>
    <t>0011i000007F2o0</t>
  </si>
  <si>
    <t>0011i000001xoll</t>
  </si>
  <si>
    <t>Drs Bains &amp; Partners</t>
  </si>
  <si>
    <t>0011i00000wTpT5</t>
  </si>
  <si>
    <t>Shenton Medical Group - UE Biz Hub East</t>
  </si>
  <si>
    <t>2 Changi Business Park Avenue 1</t>
  </si>
  <si>
    <t>#01-03 UE Biz Hub East</t>
  </si>
  <si>
    <t>486025</t>
  </si>
  <si>
    <t>0011i000001xnrt</t>
  </si>
  <si>
    <t>Tan &amp; Yik Clinic &amp; Surgery</t>
  </si>
  <si>
    <t>Blk 116 Bishan Street 12</t>
  </si>
  <si>
    <t>200842</t>
  </si>
  <si>
    <t>570116</t>
  </si>
  <si>
    <t>0011i000001xnru</t>
  </si>
  <si>
    <t>0011i000001xnrv</t>
  </si>
  <si>
    <t>0011i000001xnrw</t>
  </si>
  <si>
    <t>Meridian Polyclinic &amp; Surgery</t>
  </si>
  <si>
    <t>Blk 136 Bedok North Ave 3</t>
  </si>
  <si>
    <t>201051</t>
  </si>
  <si>
    <t>460136</t>
  </si>
  <si>
    <t>0011i000001xns0</t>
  </si>
  <si>
    <t>Life Clinic</t>
  </si>
  <si>
    <t>0011i000001xo61</t>
  </si>
  <si>
    <t>0011i000001xoem</t>
  </si>
  <si>
    <t>0011i000001xoJA</t>
  </si>
  <si>
    <t>Neighbourhood Medical Clinic Pte Ltd</t>
  </si>
  <si>
    <t>0011i000001xnqr</t>
  </si>
  <si>
    <t>0011i000001xnpQ</t>
  </si>
  <si>
    <t>0011i00000Xf1HB</t>
  </si>
  <si>
    <t>0011i000001xns2</t>
  </si>
  <si>
    <t>0011i000001xns3</t>
  </si>
  <si>
    <t>0011i000001xo2I</t>
  </si>
  <si>
    <t>0011i000001xo63</t>
  </si>
  <si>
    <t>0011i000001xoB4</t>
  </si>
  <si>
    <t>0011i000001xns4</t>
  </si>
  <si>
    <t>0011i000007E9xH</t>
  </si>
  <si>
    <t>0011i000001xnhC</t>
  </si>
  <si>
    <t>Shenton Clinic</t>
  </si>
  <si>
    <t>0011i000001xns6</t>
  </si>
  <si>
    <t>Pacific Medicare Family Clinic Pte Ltd</t>
  </si>
  <si>
    <t>0011i000001xofB</t>
  </si>
  <si>
    <t>0011i000001xns9</t>
  </si>
  <si>
    <t>Temasek Medical Clinic</t>
  </si>
  <si>
    <t>Blk 212 Toa Payoh Lorong 8</t>
  </si>
  <si>
    <t>201244</t>
  </si>
  <si>
    <t>310212</t>
  </si>
  <si>
    <t>0011i000001xoIA</t>
  </si>
  <si>
    <t>H H Tan Urology Centre</t>
  </si>
  <si>
    <t>Mt Alvernia Medical Ctr Blk A</t>
  </si>
  <si>
    <t>820 Thomson Road #02-25</t>
  </si>
  <si>
    <t>571623</t>
  </si>
  <si>
    <t>0011i000001xob9</t>
  </si>
  <si>
    <t>0011i000002IdAW</t>
  </si>
  <si>
    <t>0011i000001xoo2</t>
  </si>
  <si>
    <t>Faith Clinic (Toa Payoh)</t>
  </si>
  <si>
    <t>0011i000001xogV</t>
  </si>
  <si>
    <t>0011i00000uRlp4</t>
  </si>
  <si>
    <t>0011i000001xnsA</t>
  </si>
  <si>
    <t>0011i00000ugBG0</t>
  </si>
  <si>
    <t>0011i00000uPPjS</t>
  </si>
  <si>
    <t>0011i000001xoLL</t>
  </si>
  <si>
    <t>0011i000001xoMq</t>
  </si>
  <si>
    <t>0011i000001xo0z</t>
  </si>
  <si>
    <t>0011i000001xnsC</t>
  </si>
  <si>
    <t>Choice Clinic &amp; Surgery</t>
  </si>
  <si>
    <t>#02-21 Vista Point</t>
  </si>
  <si>
    <t>804540</t>
  </si>
  <si>
    <t>0011i000001xo9R</t>
  </si>
  <si>
    <t>Loyang Point Medical Clinic &amp; Surgery</t>
  </si>
  <si>
    <t>0011i000001xnsD</t>
  </si>
  <si>
    <t>0011i000001xo64</t>
  </si>
  <si>
    <t>0011i000001xnmb</t>
  </si>
  <si>
    <t>0011i000001xntJ</t>
  </si>
  <si>
    <t>Northeast Clinic</t>
  </si>
  <si>
    <t>0011i000001xnsG</t>
  </si>
  <si>
    <t>Yishun Central Clinic</t>
  </si>
  <si>
    <t>935 Yishun Central 1</t>
  </si>
  <si>
    <t>760935</t>
  </si>
  <si>
    <t>0011i000001xobk</t>
  </si>
  <si>
    <t>0011i000001xnsH</t>
  </si>
  <si>
    <t>The Diabetes &amp; Endocrine Clinic</t>
  </si>
  <si>
    <t>#15-18 Mount Elizabeth Medical Centre</t>
  </si>
  <si>
    <t>0011i000001xoon</t>
  </si>
  <si>
    <t>0011i000001xo6A</t>
  </si>
  <si>
    <t>0011i000002Id9x</t>
  </si>
  <si>
    <t>0011i000001xnsK</t>
  </si>
  <si>
    <t>Family Clinic</t>
  </si>
  <si>
    <t>#01-73</t>
  </si>
  <si>
    <t>0011i000001xoRL</t>
  </si>
  <si>
    <t>Junction 8 Family Clinic</t>
  </si>
  <si>
    <t>0011i000001xnsL</t>
  </si>
  <si>
    <t>0011i000001xo9S</t>
  </si>
  <si>
    <t>60B Orchard Road</t>
  </si>
  <si>
    <t>#01-19 The Atrium @ Orchard Tower 2</t>
  </si>
  <si>
    <t>238891</t>
  </si>
  <si>
    <t>0011i000001xnsO</t>
  </si>
  <si>
    <t>Cardiothoracic Surgical Ctr Spore</t>
  </si>
  <si>
    <t>0011i000001xnsP</t>
  </si>
  <si>
    <t>0011i000001xoFF</t>
  </si>
  <si>
    <t>0011i000001xnsS</t>
  </si>
  <si>
    <t>Dr Tan Kok Kong's Clinic for Women</t>
  </si>
  <si>
    <t>0011i000001xo0B</t>
  </si>
  <si>
    <t>The Revival Medical Pte Ltd</t>
  </si>
  <si>
    <t>#08-14 Novena Medical Centre</t>
  </si>
  <si>
    <t>203110</t>
  </si>
  <si>
    <t>0011i000001xnsY</t>
  </si>
  <si>
    <t>Blk 449 Clementi Avenue 3</t>
  </si>
  <si>
    <t>0011i000001xoDt</t>
  </si>
  <si>
    <t>Orchard Heart Specialist</t>
  </si>
  <si>
    <t>0011i000001xoOE</t>
  </si>
  <si>
    <t>The Family Practice</t>
  </si>
  <si>
    <t>148 Potong Pasir Ave 1</t>
  </si>
  <si>
    <t>0011i000001xnsZ</t>
  </si>
  <si>
    <t>K C Tan's Clinic</t>
  </si>
  <si>
    <t>0011i000001xnsc</t>
  </si>
  <si>
    <t>Goodhealth Medical Centre</t>
  </si>
  <si>
    <t>Block 644 Hougang Avenue 8</t>
  </si>
  <si>
    <t>#01-275</t>
  </si>
  <si>
    <t>200881</t>
  </si>
  <si>
    <t>0011i000001xnsd</t>
  </si>
  <si>
    <t>J.T. Medical Centre</t>
  </si>
  <si>
    <t>201270</t>
  </si>
  <si>
    <t>0011i000001xokq</t>
  </si>
  <si>
    <t>0011i000001xoG3</t>
  </si>
  <si>
    <t>0011i000001xo6C</t>
  </si>
  <si>
    <t>0011i000001xo9W</t>
  </si>
  <si>
    <t>Ee Clinic</t>
  </si>
  <si>
    <t>0011i00000Jdz3I</t>
  </si>
  <si>
    <t>0011i000007EYyX</t>
  </si>
  <si>
    <t>0011i000001xnsf</t>
  </si>
  <si>
    <t>MY Orthopaedic Clinic</t>
  </si>
  <si>
    <t>#06-14 Gleneagles Medical Centre</t>
  </si>
  <si>
    <t>804029</t>
  </si>
  <si>
    <t>0011i000001xnsg</t>
  </si>
  <si>
    <t>0011i000001xofX</t>
  </si>
  <si>
    <t>TTSH Health Enrichment Centre</t>
  </si>
  <si>
    <t>0011i000001xoZu</t>
  </si>
  <si>
    <t>E J Tan Clinic &amp; Surgery</t>
  </si>
  <si>
    <t>Blk 104 Jurong East t 13</t>
  </si>
  <si>
    <t>0011i000001xoHH</t>
  </si>
  <si>
    <t>0011i000001xoFk</t>
  </si>
  <si>
    <t>0011i00000vHmlm</t>
  </si>
  <si>
    <t>0011i000001xoM7</t>
  </si>
  <si>
    <t>0011i000001xohz</t>
  </si>
  <si>
    <t>0011i000001xnsz</t>
  </si>
  <si>
    <t>Ang Mo Kio Medical Centre</t>
  </si>
  <si>
    <t>0011i000001xnsk</t>
  </si>
  <si>
    <t>19 Tanglin Road #05-04</t>
  </si>
  <si>
    <t>0011i000001xog7</t>
  </si>
  <si>
    <t>M Lam Clinic</t>
  </si>
  <si>
    <t>739 Geylang Road</t>
  </si>
  <si>
    <t>389649</t>
  </si>
  <si>
    <t>0011i000001xnkR</t>
  </si>
  <si>
    <t>0011i000001xoNd</t>
  </si>
  <si>
    <t>Tan Peng Kok Urology</t>
  </si>
  <si>
    <t>Mt Alvernia Med Ctr, Blk B</t>
  </si>
  <si>
    <t>820 Thomson Rd #01-11/12</t>
  </si>
  <si>
    <t>0011i000001xnsr</t>
  </si>
  <si>
    <t>0011i000001xnjK</t>
  </si>
  <si>
    <t>0011i000001xo8O</t>
  </si>
  <si>
    <t>350 Orchard #08-00</t>
  </si>
  <si>
    <t>0011i000001xnst</t>
  </si>
  <si>
    <t>0011i000001xo4Y</t>
  </si>
  <si>
    <t>0011i000001xoBx</t>
  </si>
  <si>
    <t>PJ Clinic</t>
  </si>
  <si>
    <t>0011i000001xos7</t>
  </si>
  <si>
    <t>0011i000001xoEn</t>
  </si>
  <si>
    <t>0011i000001xnsX</t>
  </si>
  <si>
    <t>Victoria Medical</t>
  </si>
  <si>
    <t>Blk 888 Woodlands Dr #02-739</t>
  </si>
  <si>
    <t>888 Plaza</t>
  </si>
  <si>
    <t>0011i000001xoIb</t>
  </si>
  <si>
    <t>Healthlink Family Clinic &amp; Surgery</t>
  </si>
  <si>
    <t>0011i000001xog6</t>
  </si>
  <si>
    <t>Healthway AMK Clinic</t>
  </si>
  <si>
    <t>0011i000001xo6I</t>
  </si>
  <si>
    <t>Department of Vascular Surgery</t>
  </si>
  <si>
    <t>0011i000001xnjS</t>
  </si>
  <si>
    <t>0011i000001xnp0</t>
  </si>
  <si>
    <t>Mutual Healthcare Medical Clinic</t>
  </si>
  <si>
    <t>0011i000001xnsE</t>
  </si>
  <si>
    <t>0011i000001xngJ</t>
  </si>
  <si>
    <t>0011i00000vwapg</t>
  </si>
  <si>
    <t>0011i000001xnt1</t>
  </si>
  <si>
    <t>0011i000001xoad</t>
  </si>
  <si>
    <t>0011i000001xoBz</t>
  </si>
  <si>
    <t>Department opf A&amp;E</t>
  </si>
  <si>
    <t>0011i000001xoO1</t>
  </si>
  <si>
    <t>0011i000001xoC1</t>
  </si>
  <si>
    <t>CCK-24Hr Family Clinic</t>
  </si>
  <si>
    <t>304 Choa Chu Kang Ave 4</t>
  </si>
  <si>
    <t>0011i000001xolP</t>
  </si>
  <si>
    <t>Procurement Executive</t>
  </si>
  <si>
    <t>National Healthcare Group</t>
  </si>
  <si>
    <t>11 Lorong 3 Toa Payoh #03-22/23/24</t>
  </si>
  <si>
    <t>Block B Jackson Square</t>
  </si>
  <si>
    <t>3195769</t>
  </si>
  <si>
    <t>0011i000001xnjc</t>
  </si>
  <si>
    <t>Hand, Wrist &amp; Upper Limb Surgery</t>
  </si>
  <si>
    <t>#10-11/12 Mount Elizabeth Medical Centre</t>
  </si>
  <si>
    <t>202903</t>
  </si>
  <si>
    <t>0011i000001xnt7</t>
  </si>
  <si>
    <t>0011i000001xnt8</t>
  </si>
  <si>
    <t>Tan Clinic &amp; Dental Surgery</t>
  </si>
  <si>
    <t>200565</t>
  </si>
  <si>
    <t>0011i000001xo6M</t>
  </si>
  <si>
    <t>0011i000001xnt6</t>
  </si>
  <si>
    <t>Changi Clinic</t>
  </si>
  <si>
    <t>0011i000007DkQq</t>
  </si>
  <si>
    <t>0011i000001xntB</t>
  </si>
  <si>
    <t>Mutual Healthcare Pte Ltd</t>
  </si>
  <si>
    <t>0011i000001xoV3</t>
  </si>
  <si>
    <t>0011i000001xoEt</t>
  </si>
  <si>
    <t>Shenton Family Medical Clinic (AMK)</t>
  </si>
  <si>
    <t>0011i000001xotu</t>
  </si>
  <si>
    <t>0011i00000uRlqW</t>
  </si>
  <si>
    <t>0011i00000Xf1IX</t>
  </si>
  <si>
    <t>0011i000001xnuJ</t>
  </si>
  <si>
    <t>0011i000001xng8</t>
  </si>
  <si>
    <t>0011i000001xntD</t>
  </si>
  <si>
    <t>East Coast Medical Centre</t>
  </si>
  <si>
    <t>0011i000001xntE</t>
  </si>
  <si>
    <t>0011i000001xntF</t>
  </si>
  <si>
    <t>Block 201E Tampines Street 23</t>
  </si>
  <si>
    <t>201416</t>
  </si>
  <si>
    <t>0011i000001xo6N</t>
  </si>
  <si>
    <t>0011i000001xoMB</t>
  </si>
  <si>
    <t>Blk 401 Hougang Ave 10</t>
  </si>
  <si>
    <t>#01-1170</t>
  </si>
  <si>
    <t>201949</t>
  </si>
  <si>
    <t>540401</t>
  </si>
  <si>
    <t>0011i000001xoFS</t>
  </si>
  <si>
    <t>0011i000001xntG</t>
  </si>
  <si>
    <t>Arthur Tan Heart Clinic</t>
  </si>
  <si>
    <t>#04-07 Gleneagles Medical Centre</t>
  </si>
  <si>
    <t>201403</t>
  </si>
  <si>
    <t>0011i000001xoi6</t>
  </si>
  <si>
    <t>Physician Practice Family Medical Centre</t>
  </si>
  <si>
    <t>0011i000001xoq2</t>
  </si>
  <si>
    <t>#01-236</t>
  </si>
  <si>
    <t>0011i000001xntH</t>
  </si>
  <si>
    <t>Thong Teck Clinic</t>
  </si>
  <si>
    <t>72 Smith Street</t>
  </si>
  <si>
    <t>200621</t>
  </si>
  <si>
    <t>58969</t>
  </si>
  <si>
    <t>0011i000001xnt3</t>
  </si>
  <si>
    <t>0011i000001xo8Q</t>
  </si>
  <si>
    <t>0011i000001xoRh</t>
  </si>
  <si>
    <t>Robert Tan Surgery</t>
  </si>
  <si>
    <t>0011i000001xoIJ</t>
  </si>
  <si>
    <t>Novena Psychiatric Clinic</t>
  </si>
  <si>
    <t>0011i000001xoN1</t>
  </si>
  <si>
    <t>0011i000001xntK</t>
  </si>
  <si>
    <t>0011i000001xopM</t>
  </si>
  <si>
    <t>0011i00000ugB2b</t>
  </si>
  <si>
    <t>0011i000001xntL</t>
  </si>
  <si>
    <t>Pandan Clinic Pte Ltd</t>
  </si>
  <si>
    <t>Blk 415 Pandan Gardens Road</t>
  </si>
  <si>
    <t>0011i00000X9NcC</t>
  </si>
  <si>
    <t>0011i00000Xf1H2</t>
  </si>
  <si>
    <t>0011i000001xnhm</t>
  </si>
  <si>
    <t>0011i000001xoEs</t>
  </si>
  <si>
    <t>Beo Crescent Family Clinic &amp; Surgery</t>
  </si>
  <si>
    <t>0011i000001xoGZ</t>
  </si>
  <si>
    <t>102 Towner Road #01-268</t>
  </si>
  <si>
    <t>Towner Ville</t>
  </si>
  <si>
    <t>0011i000001xoDG</t>
  </si>
  <si>
    <t>0011i000001xodE</t>
  </si>
  <si>
    <t>Mei Ling Clinic</t>
  </si>
  <si>
    <t>0011i000001xntP</t>
  </si>
  <si>
    <t>Joy Clinic for Women</t>
  </si>
  <si>
    <t>#08-03/04 Gleneagles Medical Centre</t>
  </si>
  <si>
    <t>200997</t>
  </si>
  <si>
    <t>0011i000001xoRc</t>
  </si>
  <si>
    <t>0011i000001xoQe</t>
  </si>
  <si>
    <t>0011i000001xo6h</t>
  </si>
  <si>
    <t>0011i000005Iqws</t>
  </si>
  <si>
    <t>0011i000001xoB7</t>
  </si>
  <si>
    <t>0011i000001xoIU</t>
  </si>
  <si>
    <t>0011i000001xntw</t>
  </si>
  <si>
    <t>0011i000001xoOx</t>
  </si>
  <si>
    <t>0011i000001xntQ</t>
  </si>
  <si>
    <t>Blk 451 Ang Mo Kio Ave 10</t>
  </si>
  <si>
    <t>202286</t>
  </si>
  <si>
    <t>0011i000007FFcU</t>
  </si>
  <si>
    <t>0011i000001xoaO</t>
  </si>
  <si>
    <t>0011i000001xoa9</t>
  </si>
  <si>
    <t>0011i000001xntR</t>
  </si>
  <si>
    <t>Diabetes &amp; Endocrine Consultants Pte Ltd</t>
  </si>
  <si>
    <t>0011i000001xo6R</t>
  </si>
  <si>
    <t>0011i000001xoMs</t>
  </si>
  <si>
    <t>0011i000001xnfT</t>
  </si>
  <si>
    <t>0011i000001xoJg</t>
  </si>
  <si>
    <t>Raffles Women's Centre</t>
  </si>
  <si>
    <t>585 North Bridge Road Level 7</t>
  </si>
  <si>
    <t>0011i000001xoVd</t>
  </si>
  <si>
    <t>Blk 212 Bedok North St 11</t>
  </si>
  <si>
    <t>0011i000001xntW</t>
  </si>
  <si>
    <t>Y Y Tan's Clinic For Woman Pte Ltd</t>
  </si>
  <si>
    <t>#01-158</t>
  </si>
  <si>
    <t>201901</t>
  </si>
  <si>
    <t>0011i000001xoq8</t>
  </si>
  <si>
    <t>Healthway Medical Clinic (S'pore Family Cl &amp; Surg)</t>
  </si>
  <si>
    <t>0011i000001xo6S</t>
  </si>
  <si>
    <t>Respiratory &amp; Medical Specialists Pte Ltd</t>
  </si>
  <si>
    <t>0011i000001xoDb</t>
  </si>
  <si>
    <t>0011i000001xocX</t>
  </si>
  <si>
    <t>0011i000001xntY</t>
  </si>
  <si>
    <t>Tan Medical Clinic Pte Ltd</t>
  </si>
  <si>
    <t>Blk 339 Ang Mo Kio Ave 1</t>
  </si>
  <si>
    <t>#01-1583</t>
  </si>
  <si>
    <t>200580</t>
  </si>
  <si>
    <t>560339</t>
  </si>
  <si>
    <t>0011i000001xooT</t>
  </si>
  <si>
    <t>Blk 443 Clementi Ave 3</t>
  </si>
  <si>
    <t>0011i000001xnta</t>
  </si>
  <si>
    <t>0011i000001xnhF</t>
  </si>
  <si>
    <t>0011i000001xnk7</t>
  </si>
  <si>
    <t>0011i000001xmjE</t>
  </si>
  <si>
    <t>0011i000001xnWC</t>
  </si>
  <si>
    <t>0011i000001xmbE</t>
  </si>
  <si>
    <t>0011i000001xnX5</t>
  </si>
  <si>
    <t>0011i000001xn8j</t>
  </si>
  <si>
    <t>201237</t>
  </si>
  <si>
    <t>0011i000001xmlO</t>
  </si>
  <si>
    <t>Blk 725 Clementi West Street 2</t>
  </si>
  <si>
    <t>#01-194</t>
  </si>
  <si>
    <t>200566</t>
  </si>
  <si>
    <t>120725</t>
  </si>
  <si>
    <t>0011i000001xoff</t>
  </si>
  <si>
    <t>0011i000001xngi</t>
  </si>
  <si>
    <t>0011i000001xoCh</t>
  </si>
  <si>
    <t>118 Rivervale Drive #02-17</t>
  </si>
  <si>
    <t>0011i000001xo6V</t>
  </si>
  <si>
    <t>K K Tang Adult and Paediatric Neuro</t>
  </si>
  <si>
    <t>0011i000001xoOj</t>
  </si>
  <si>
    <t>0011i000001xoFN</t>
  </si>
  <si>
    <t>0011i00000Xf1Gc</t>
  </si>
  <si>
    <t>0011i000001xoVF</t>
  </si>
  <si>
    <t>0011i00000S3HGr</t>
  </si>
  <si>
    <t>0011i000001xoCi</t>
  </si>
  <si>
    <t>Tang Medical &amp; Surgery</t>
  </si>
  <si>
    <t>8 Jalan Batu</t>
  </si>
  <si>
    <t>0011i000001xnPx</t>
  </si>
  <si>
    <t>84 Jalan Jurong Kechil</t>
  </si>
  <si>
    <t>598593</t>
  </si>
  <si>
    <t>0011i000001xmd0</t>
  </si>
  <si>
    <t>200570</t>
  </si>
  <si>
    <t>0011i000001xnD8</t>
  </si>
  <si>
    <t>0011i000001xmfc</t>
  </si>
  <si>
    <t>Block 39 Tanglin Halt Road</t>
  </si>
  <si>
    <t>#01-1190</t>
  </si>
  <si>
    <t>200788</t>
  </si>
  <si>
    <t>143039</t>
  </si>
  <si>
    <t>0011i000001xnW6</t>
  </si>
  <si>
    <t>#06-16/17 Tanglin Shopping Centre</t>
  </si>
  <si>
    <t>200573</t>
  </si>
  <si>
    <t>0011i000001xmdU</t>
  </si>
  <si>
    <t>#14-01 Mount Elizabeth Medical Centre</t>
  </si>
  <si>
    <t>201210</t>
  </si>
  <si>
    <t>0011i000001xmdT</t>
  </si>
  <si>
    <t>629 Ang Mo Kio Ave 4</t>
  </si>
  <si>
    <t>#01-986</t>
  </si>
  <si>
    <t>200581</t>
  </si>
  <si>
    <t>0011i000001xnEv</t>
  </si>
  <si>
    <t>0011i000001xmxy</t>
  </si>
  <si>
    <t>0011i000001xnR4</t>
  </si>
  <si>
    <t>0011i000001xmfN</t>
  </si>
  <si>
    <t>0011i000001xn2h</t>
  </si>
  <si>
    <t>101 Towner Road</t>
  </si>
  <si>
    <t>0011i000001xmcu</t>
  </si>
  <si>
    <t>0011i000001xmdM</t>
  </si>
  <si>
    <t>0011i000001xmgk</t>
  </si>
  <si>
    <t>0011i000001xmnu</t>
  </si>
  <si>
    <t>Rheumatology,Allergy &amp; Immunology</t>
  </si>
  <si>
    <t>0011i000001xmo0</t>
  </si>
  <si>
    <t>0011i000001xmoy</t>
  </si>
  <si>
    <t>0011i000001xmqr</t>
  </si>
  <si>
    <t>Department of Rehab</t>
  </si>
  <si>
    <t>0011i000001xmtg</t>
  </si>
  <si>
    <t>0011i000001xn40</t>
  </si>
  <si>
    <t>0011i000001xnIi</t>
  </si>
  <si>
    <t>Depatment of General Medicine</t>
  </si>
  <si>
    <t>0011i000001xnNc</t>
  </si>
  <si>
    <t>0011i000001xnUe</t>
  </si>
  <si>
    <t>0011i000001xnY9</t>
  </si>
  <si>
    <t>10 Jalan Tan Tock Seng</t>
  </si>
  <si>
    <t>Hospice Care Association</t>
  </si>
  <si>
    <t>0011i000001xnYB</t>
  </si>
  <si>
    <t>0011i000001xnYM</t>
  </si>
  <si>
    <t>0011i000001xnZN</t>
  </si>
  <si>
    <t>0011i000001xnb3</t>
  </si>
  <si>
    <t>0011i000001xnbU</t>
  </si>
  <si>
    <t>0011i000001xmgx</t>
  </si>
  <si>
    <t>Purcahsing Department</t>
  </si>
  <si>
    <t>0011i000001xmk4</t>
  </si>
  <si>
    <t>0011i000001xn3Q</t>
  </si>
  <si>
    <t>0011i000001xn3t</t>
  </si>
  <si>
    <t>0011i000001xn4h</t>
  </si>
  <si>
    <t>0011i000001xnFm</t>
  </si>
  <si>
    <t>0011i000001xnXS</t>
  </si>
  <si>
    <t>0011i000001xnaU</t>
  </si>
  <si>
    <t>0011i000001xnb2</t>
  </si>
  <si>
    <t>0011i000001xmj9</t>
  </si>
  <si>
    <t>0011i000001xmoc</t>
  </si>
  <si>
    <t>0011i000001xmrx</t>
  </si>
  <si>
    <t>0011i000001xmsX</t>
  </si>
  <si>
    <t>0011i000001xmsm</t>
  </si>
  <si>
    <t>0011i000001xnFH</t>
  </si>
  <si>
    <t>0011i000001xnIv</t>
  </si>
  <si>
    <t>0011i000001xnJu</t>
  </si>
  <si>
    <t>0011i000001xnM3</t>
  </si>
  <si>
    <t>0011i000001xnQZ</t>
  </si>
  <si>
    <t>0011i000001xnSm</t>
  </si>
  <si>
    <t>0011i000001xnXg</t>
  </si>
  <si>
    <t>0011i000001xnXt</t>
  </si>
  <si>
    <t>0011i000001xnaV</t>
  </si>
  <si>
    <t>0011i000001xmbQ</t>
  </si>
  <si>
    <t>0011i000001xmdh</t>
  </si>
  <si>
    <t>0011i000001xmhH</t>
  </si>
  <si>
    <t>0011i000001xmje</t>
  </si>
  <si>
    <t>0011i000001xmkM</t>
  </si>
  <si>
    <t>0011i000001xmop</t>
  </si>
  <si>
    <t>0011i000001xmpg</t>
  </si>
  <si>
    <t>0011i000001xmrE</t>
  </si>
  <si>
    <t>0011i000001xmrz</t>
  </si>
  <si>
    <t>Departmnet of ENT</t>
  </si>
  <si>
    <t>0011i000001xmzD</t>
  </si>
  <si>
    <t>0011i000001xn0d</t>
  </si>
  <si>
    <t>0011i000001xn3s</t>
  </si>
  <si>
    <t>0011i000001xn4K</t>
  </si>
  <si>
    <t>0011i000001xn4r</t>
  </si>
  <si>
    <t>0011i000001xnI2</t>
  </si>
  <si>
    <t>0011i000001xnMY</t>
  </si>
  <si>
    <t>0011i000001xnMz</t>
  </si>
  <si>
    <t>0011i000001xnVL</t>
  </si>
  <si>
    <t>308067</t>
  </si>
  <si>
    <t>0011i000001xnXb</t>
  </si>
  <si>
    <t>0011i000001xn11</t>
  </si>
  <si>
    <t>0011i000001xntd</t>
  </si>
  <si>
    <t>0011i000001xohV</t>
  </si>
  <si>
    <t>0011i000001xnte</t>
  </si>
  <si>
    <t>Tay Clinic</t>
  </si>
  <si>
    <t>494 Geylang Road</t>
  </si>
  <si>
    <t>805429</t>
  </si>
  <si>
    <t>389452</t>
  </si>
  <si>
    <t>0011i000001xo6W</t>
  </si>
  <si>
    <t>0011i000001xnqR</t>
  </si>
  <si>
    <t>Blk 117 Bedok Reservoir Road</t>
  </si>
  <si>
    <t>#01-62</t>
  </si>
  <si>
    <t>470117</t>
  </si>
  <si>
    <t>0011i000001xntg</t>
  </si>
  <si>
    <t>Tanglin Clinic</t>
  </si>
  <si>
    <t>0011i000001xnxH</t>
  </si>
  <si>
    <t>0011i000001xo6Y</t>
  </si>
  <si>
    <t>0011i000001xnld</t>
  </si>
  <si>
    <t>0011i000001xohi</t>
  </si>
  <si>
    <t>0011i000001xntj</t>
  </si>
  <si>
    <t>The Medical Clinic</t>
  </si>
  <si>
    <t>63 Chulia Street</t>
  </si>
  <si>
    <t>#01-02 OCBC Centre East</t>
  </si>
  <si>
    <t>200935</t>
  </si>
  <si>
    <t>49514</t>
  </si>
  <si>
    <t>0011i000001xntk</t>
  </si>
  <si>
    <t>K P Tay Urology</t>
  </si>
  <si>
    <t>#09-12 Gleneagles Medical Centre</t>
  </si>
  <si>
    <t>201849</t>
  </si>
  <si>
    <t>0011i00000Xf1IY</t>
  </si>
  <si>
    <t>OncoCare Cancer CentrE</t>
  </si>
  <si>
    <t>0011i000001xoLi</t>
  </si>
  <si>
    <t>49513</t>
  </si>
  <si>
    <t>0011i000001xntl</t>
  </si>
  <si>
    <t>Tay Medical Centre</t>
  </si>
  <si>
    <t>Blk 6 Holland Close</t>
  </si>
  <si>
    <t>200589</t>
  </si>
  <si>
    <t>271006</t>
  </si>
  <si>
    <t>0011i000001xntn</t>
  </si>
  <si>
    <t>K.L. Tay Clinic &amp; Surgery</t>
  </si>
  <si>
    <t>#01-822</t>
  </si>
  <si>
    <t>200588</t>
  </si>
  <si>
    <t>0011i000001xoCk</t>
  </si>
  <si>
    <t>0011i000001xntq</t>
  </si>
  <si>
    <t>Psychiatric Care Clinic</t>
  </si>
  <si>
    <t>38 Irrawaddy Road #05-48</t>
  </si>
  <si>
    <t>Mount Elizabeth Novena Spec Ctr</t>
  </si>
  <si>
    <t>0011i000001xoCo</t>
  </si>
  <si>
    <t>0011i00000Xf1IO</t>
  </si>
  <si>
    <t>6 Napier Road, #02-17/18/19</t>
  </si>
  <si>
    <t>0011i000001xofG</t>
  </si>
  <si>
    <t>0011i000001xoiX</t>
  </si>
  <si>
    <t>0011i000001xoAC</t>
  </si>
  <si>
    <t>0011i000001xntr</t>
  </si>
  <si>
    <t>Family Medical Clinic Pte Ltd</t>
  </si>
  <si>
    <t>Blk 280 Bukit Batok East Ave 3</t>
  </si>
  <si>
    <t>#01-317</t>
  </si>
  <si>
    <t>201054</t>
  </si>
  <si>
    <t>650280</t>
  </si>
  <si>
    <t>0011i000001xnts</t>
  </si>
  <si>
    <t>S.K. Tay Clinic &amp; Surgery</t>
  </si>
  <si>
    <t>Blk 827 Tampines Street 81</t>
  </si>
  <si>
    <t>#01-140</t>
  </si>
  <si>
    <t>200807</t>
  </si>
  <si>
    <t>520827</t>
  </si>
  <si>
    <t>0011i000001xntt</t>
  </si>
  <si>
    <t>Apex Medical Centre Pte Ltd</t>
  </si>
  <si>
    <t>0011i000001xoJY</t>
  </si>
  <si>
    <t>Dept of Internal Medicine</t>
  </si>
  <si>
    <t>0011i000001xoIO</t>
  </si>
  <si>
    <t>0011i000001xnvQ</t>
  </si>
  <si>
    <t>Halley Medical Clinic</t>
  </si>
  <si>
    <t>0011i000001xntu</t>
  </si>
  <si>
    <t>0011i000001xo7x</t>
  </si>
  <si>
    <t>Livingstone Endocrine, Diabetes &amp; Thyroid Clinic</t>
  </si>
  <si>
    <t>0011i000001xoLo</t>
  </si>
  <si>
    <t>0011i000001xoAE</t>
  </si>
  <si>
    <t>0011i000001xoGU</t>
  </si>
  <si>
    <t>0011i000001xos9</t>
  </si>
  <si>
    <t>0011i000001xmfV</t>
  </si>
  <si>
    <t>0011i000001xmmW</t>
  </si>
  <si>
    <t>0011i000001xnXy</t>
  </si>
  <si>
    <t>0011i000001xnP7</t>
  </si>
  <si>
    <t>0011i000001xmyA</t>
  </si>
  <si>
    <t>#08-02 Gleneagles Medical Centre</t>
  </si>
  <si>
    <t>202496</t>
  </si>
  <si>
    <t>0011i000001xmqX</t>
  </si>
  <si>
    <t>0011i000001xmfT</t>
  </si>
  <si>
    <t>#13-12 Mount Elizabeth Medical Centre</t>
  </si>
  <si>
    <t>201584</t>
  </si>
  <si>
    <t>0011i000001xmxC</t>
  </si>
  <si>
    <t>0011i000001xnL5</t>
  </si>
  <si>
    <t>0011i000001xoAF</t>
  </si>
  <si>
    <t>0011i000001xoqy</t>
  </si>
  <si>
    <t>0011i000001xntz</t>
  </si>
  <si>
    <t>Teh Lip Bin Gastroenterology &amp; Medical Clinic</t>
  </si>
  <si>
    <t>#04-04 Gleneagles Medical Centre</t>
  </si>
  <si>
    <t>201231</t>
  </si>
  <si>
    <t>0011i000001xooA</t>
  </si>
  <si>
    <t>0011i000001xnu0</t>
  </si>
  <si>
    <t>Orthopeadic Practice Pte Ltd</t>
  </si>
  <si>
    <t>0011i000001xmqb</t>
  </si>
  <si>
    <t>Blk 64 Circuit Road</t>
  </si>
  <si>
    <t>370064</t>
  </si>
  <si>
    <t>0011i000001xmoM</t>
  </si>
  <si>
    <t>0011i000001xoli</t>
  </si>
  <si>
    <t>0011i000001xmaj</t>
  </si>
  <si>
    <t>#02-06</t>
  </si>
  <si>
    <t>0011i000001xnUF</t>
  </si>
  <si>
    <t>0011i000001xnN6</t>
  </si>
  <si>
    <t>0011i000001xn1c</t>
  </si>
  <si>
    <t>#13-01 Royal Brothers Building</t>
  </si>
  <si>
    <t>0011i000001xn0s</t>
  </si>
  <si>
    <t>0011i000001xnXk</t>
  </si>
  <si>
    <t>Blk 883 Woodalnds Street 82</t>
  </si>
  <si>
    <t>0011i000001xnZV</t>
  </si>
  <si>
    <t>405 Sembawang Drive</t>
  </si>
  <si>
    <t>#01-824</t>
  </si>
  <si>
    <t>0011i000001xnDM</t>
  </si>
  <si>
    <t>0011i000001xnWY</t>
  </si>
  <si>
    <t>Blk 86 Bedok North Street 4</t>
  </si>
  <si>
    <t>#01-177</t>
  </si>
  <si>
    <t>201288</t>
  </si>
  <si>
    <t>460086</t>
  </si>
  <si>
    <t>0011i000001xnlh</t>
  </si>
  <si>
    <t>0011i000001xnnQ</t>
  </si>
  <si>
    <t>0011i000001xmal</t>
  </si>
  <si>
    <t>171 Stirling Road</t>
  </si>
  <si>
    <t>#01-1101</t>
  </si>
  <si>
    <t>200598</t>
  </si>
  <si>
    <t>140171</t>
  </si>
  <si>
    <t>0011i000001xoAL</t>
  </si>
  <si>
    <t>0011i000001xnu2</t>
  </si>
  <si>
    <t>Camry Medical Centre</t>
  </si>
  <si>
    <t>0011i000001xoMA</t>
  </si>
  <si>
    <t>0011i000001xoWn</t>
  </si>
  <si>
    <t>Haemotology &amp; Cancer Centre</t>
  </si>
  <si>
    <t>#04-37 Gleneagles Hospital Annexe Block</t>
  </si>
  <si>
    <t>201921</t>
  </si>
  <si>
    <t>0011i000001xoao</t>
  </si>
  <si>
    <t>0011i000007DbUM</t>
  </si>
  <si>
    <t>0011i000007CD7E</t>
  </si>
  <si>
    <t>0011i000001xoMc</t>
  </si>
  <si>
    <t>Fraser Medical Centre</t>
  </si>
  <si>
    <t>202351</t>
  </si>
  <si>
    <t>0011i00000Xf1Hr</t>
  </si>
  <si>
    <t>0011i000001xnu7</t>
  </si>
  <si>
    <t>200649</t>
  </si>
  <si>
    <t>0011i000001xoba</t>
  </si>
  <si>
    <t>Blk 445 Fajar Road</t>
  </si>
  <si>
    <t>#02-534 Fajar Shopping Centre</t>
  </si>
  <si>
    <t>0011i000001xnu8</t>
  </si>
  <si>
    <t>#11-04/05 Paragon</t>
  </si>
  <si>
    <t>202384</t>
  </si>
  <si>
    <t>0011i000001xogW</t>
  </si>
  <si>
    <t>St Andrew's Community Hospital</t>
  </si>
  <si>
    <t>0011i000001xokU</t>
  </si>
  <si>
    <t>0011i00000S3HGh</t>
  </si>
  <si>
    <t>0011i000001xnu9</t>
  </si>
  <si>
    <t>0011i000001xoXN</t>
  </si>
  <si>
    <t>Frontier People's Clinic</t>
  </si>
  <si>
    <t>0011i000001xnuA</t>
  </si>
  <si>
    <t>0011i000001xoLY</t>
  </si>
  <si>
    <t>Department of Geriatric Psychiatry</t>
  </si>
  <si>
    <t>0011i000001xo6g</t>
  </si>
  <si>
    <t>0011i000001xnuB</t>
  </si>
  <si>
    <t>S P Teo Clinic for Women</t>
  </si>
  <si>
    <t>#02-20 Balestier Plaza</t>
  </si>
  <si>
    <t>0011i000001xoiB</t>
  </si>
  <si>
    <t>0011i000001xoKW</t>
  </si>
  <si>
    <t>0011i000001xo60</t>
  </si>
  <si>
    <t>Providence Clinic &amp; Surgery</t>
  </si>
  <si>
    <t>0011i00000FEopY</t>
  </si>
  <si>
    <t>Providence Clinic @ Balestier</t>
  </si>
  <si>
    <t>0011i000001xoAR</t>
  </si>
  <si>
    <t>Deartment of Medicine</t>
  </si>
  <si>
    <t>0011i000001xogA</t>
  </si>
  <si>
    <t>Jurong Point #06-10</t>
  </si>
  <si>
    <t>0011i00000Xf1Hf</t>
  </si>
  <si>
    <t>0011i000001xof0</t>
  </si>
  <si>
    <t>0011i000002IdAH</t>
  </si>
  <si>
    <t>0011i00000pa6PI</t>
  </si>
  <si>
    <t>0011i000001xnDg</t>
  </si>
  <si>
    <t>200601</t>
  </si>
  <si>
    <t>0011i000001xoYS</t>
  </si>
  <si>
    <t>0011i000001xnuF</t>
  </si>
  <si>
    <t>Teoh Clinic Family Practice</t>
  </si>
  <si>
    <t>Blk 47 Toa Payoh Lorong 6</t>
  </si>
  <si>
    <t>#01-142</t>
  </si>
  <si>
    <t>201501</t>
  </si>
  <si>
    <t>310047</t>
  </si>
  <si>
    <t>0011i000001xnuK</t>
  </si>
  <si>
    <t>Singapore Sports Council</t>
  </si>
  <si>
    <t>15 Stadium Road</t>
  </si>
  <si>
    <t>Sports Medicine &amp; Research Ctr</t>
  </si>
  <si>
    <t>397718</t>
  </si>
  <si>
    <t>0011i000001xnuL</t>
  </si>
  <si>
    <t>G P Medical Centre &amp; Surgery</t>
  </si>
  <si>
    <t>0011i000001xoQ6</t>
  </si>
  <si>
    <t>0011i000001xopO</t>
  </si>
  <si>
    <t>0011i000001xoEP</t>
  </si>
  <si>
    <t>Health Screening Centre</t>
  </si>
  <si>
    <t>0011i000001xop7</t>
  </si>
  <si>
    <t>EC Family Clinic Pte Ltd</t>
  </si>
  <si>
    <t>0011i000001xoDo</t>
  </si>
  <si>
    <t>0011i000001xnuO</t>
  </si>
  <si>
    <t>Teoh Colon,Rectum &amp; General Surgery</t>
  </si>
  <si>
    <t>#05-04 Mount Elizabeth Medical Centre</t>
  </si>
  <si>
    <t>201967</t>
  </si>
  <si>
    <t>0011i000001xmoS</t>
  </si>
  <si>
    <t>0011i000001xoAI</t>
  </si>
  <si>
    <t>0011i000001xooW</t>
  </si>
  <si>
    <t>0011i000001xo6k</t>
  </si>
  <si>
    <t>0011i000001xoaM</t>
  </si>
  <si>
    <t>Koo, Tey &amp; Associates</t>
  </si>
  <si>
    <t>0011i000001xob0</t>
  </si>
  <si>
    <t>0011i000007DsJz</t>
  </si>
  <si>
    <t>0011i000001xmmz</t>
  </si>
  <si>
    <t>0011i000001xnuP</t>
  </si>
  <si>
    <t>Everwell Clinic &amp; Surgery</t>
  </si>
  <si>
    <t>0011i000001xoWp</t>
  </si>
  <si>
    <t>O &amp; G Centre</t>
  </si>
  <si>
    <t>0011i000001xo6l</t>
  </si>
  <si>
    <t>0011i000001xoYr</t>
  </si>
  <si>
    <t>0011i000001xnuT</t>
  </si>
  <si>
    <t>MK Tham Medical &amp; Respiratory Clinic</t>
  </si>
  <si>
    <t>#13-18 Mount Elizabeth Medical Centre</t>
  </si>
  <si>
    <t>0011i000001xnuU</t>
  </si>
  <si>
    <t>N B Tham Clinic</t>
  </si>
  <si>
    <t>8 Whampoa Drive</t>
  </si>
  <si>
    <t>(off Balestier Road)</t>
  </si>
  <si>
    <t>200610</t>
  </si>
  <si>
    <t>327718</t>
  </si>
  <si>
    <t>0011i000001xnuV</t>
  </si>
  <si>
    <t>Tham Dispensary</t>
  </si>
  <si>
    <t>580 Geylang Road</t>
  </si>
  <si>
    <t>200611</t>
  </si>
  <si>
    <t>389472</t>
  </si>
  <si>
    <t>0011i000001xoOr</t>
  </si>
  <si>
    <t>0011i00000jv276</t>
  </si>
  <si>
    <t>0011i000001xmfY</t>
  </si>
  <si>
    <t>0011i00000pb5Sx</t>
  </si>
  <si>
    <t>0011i00000vHmOy</t>
  </si>
  <si>
    <t>0011i000001xmye</t>
  </si>
  <si>
    <t>0011i000001xmw8</t>
  </si>
  <si>
    <t>0011i000001xmk9</t>
  </si>
  <si>
    <t>283 Bishan Street 22</t>
  </si>
  <si>
    <t>#01-181</t>
  </si>
  <si>
    <t>0011i000001xmgy</t>
  </si>
  <si>
    <t>0011i000001xmp7</t>
  </si>
  <si>
    <t>0011i000001xnJU</t>
  </si>
  <si>
    <t>202557</t>
  </si>
  <si>
    <t>0011i00000Xf148</t>
  </si>
  <si>
    <t>290 Orchard Road #17-05/06</t>
  </si>
  <si>
    <t>Paragon Medical</t>
  </si>
  <si>
    <t>0011i000001xnAb</t>
  </si>
  <si>
    <t>#17-13/14 Mt Elizabeth Medical Centre</t>
  </si>
  <si>
    <t>200963</t>
  </si>
  <si>
    <t>#07-17, Farrer Park Medical Center</t>
  </si>
  <si>
    <t>617562</t>
  </si>
  <si>
    <t>0011i000001xmsg</t>
  </si>
  <si>
    <t>0011i000001xmkN</t>
  </si>
  <si>
    <t>0011i000001xnAp</t>
  </si>
  <si>
    <t>0011i000001xmzX</t>
  </si>
  <si>
    <t>0011i000001xmz3</t>
  </si>
  <si>
    <t>0011i000001xn1G</t>
  </si>
  <si>
    <t>138 Market Street #02-01A</t>
  </si>
  <si>
    <t>48946</t>
  </si>
  <si>
    <t>0011i000005xAbY</t>
  </si>
  <si>
    <t>1 Fusionopolis Place</t>
  </si>
  <si>
    <t>#01-05 Fusionopolis One</t>
  </si>
  <si>
    <t>0011i000001xmlb</t>
  </si>
  <si>
    <t>Gallaxis</t>
  </si>
  <si>
    <t>138632</t>
  </si>
  <si>
    <t>0011i000001xnAx</t>
  </si>
  <si>
    <t>#05-05 (Lobby C)</t>
  </si>
  <si>
    <t>0011i000001xn7P</t>
  </si>
  <si>
    <t>0011i000001xncZ</t>
  </si>
  <si>
    <t>18 Tai Seng Street #01-07/08</t>
  </si>
  <si>
    <t>Mapletree 18</t>
  </si>
  <si>
    <t>539775</t>
  </si>
  <si>
    <t>0011i000001xnWA</t>
  </si>
  <si>
    <t>38 Irrawaddy Road #10-48</t>
  </si>
  <si>
    <t>0011i000001xnAs</t>
  </si>
  <si>
    <t>0011i000001xnDO</t>
  </si>
  <si>
    <t>0011i000001xmwP</t>
  </si>
  <si>
    <t>Blk 429 Jurong West Ave 1</t>
  </si>
  <si>
    <t>#01-318</t>
  </si>
  <si>
    <t>640429</t>
  </si>
  <si>
    <t>0011i000001xmgG</t>
  </si>
  <si>
    <t>Blk 109 Clementi Street 11</t>
  </si>
  <si>
    <t>#01-25 Sunset Way</t>
  </si>
  <si>
    <t>202430</t>
  </si>
  <si>
    <t>0011i000001xmjK</t>
  </si>
  <si>
    <t>0011i000001xmm9</t>
  </si>
  <si>
    <t>0011i000001xn8n</t>
  </si>
  <si>
    <t>0011i000001xn9F</t>
  </si>
  <si>
    <t>3 Mt Elizabeth #15-04</t>
  </si>
  <si>
    <t>0011i000001xnIY</t>
  </si>
  <si>
    <t>200474</t>
  </si>
  <si>
    <t>0011i000001xnFL</t>
  </si>
  <si>
    <t>0011i000001xmlv</t>
  </si>
  <si>
    <t>0011i000001xn8X</t>
  </si>
  <si>
    <t>322010</t>
  </si>
  <si>
    <t>0011i000001xnAz</t>
  </si>
  <si>
    <t>0011i000001xnQl</t>
  </si>
  <si>
    <t>215D Upper Thomson Road</t>
  </si>
  <si>
    <t>201090</t>
  </si>
  <si>
    <t>574349</t>
  </si>
  <si>
    <t>0011i000001xnAe</t>
  </si>
  <si>
    <t>0011i000001xmpn</t>
  </si>
  <si>
    <t>0011i000001xnHF</t>
  </si>
  <si>
    <t>0011i000001xmbo</t>
  </si>
  <si>
    <t>0011i000001xnBk</t>
  </si>
  <si>
    <t>0011i00000oXvbW</t>
  </si>
  <si>
    <t>0011i000001xnbG</t>
  </si>
  <si>
    <t>0011i000001xnbu</t>
  </si>
  <si>
    <t>6A Napier Road #02-31/48</t>
  </si>
  <si>
    <t>0011i00000NqfZX</t>
  </si>
  <si>
    <t>0011i000001xn8O</t>
  </si>
  <si>
    <t>0011i000001xmru</t>
  </si>
  <si>
    <t>533 Choa Chu Kang Street 51</t>
  </si>
  <si>
    <t>0011i000001xmdm</t>
  </si>
  <si>
    <t>0011i000001xnAV</t>
  </si>
  <si>
    <t>3 mt Elizabeth #08-01</t>
  </si>
  <si>
    <t>0011i000001xnCJ</t>
  </si>
  <si>
    <t>3 Mt Elizabeth #08-06</t>
  </si>
  <si>
    <t>0011i000001xn9A</t>
  </si>
  <si>
    <t>0011i000001xnbY</t>
  </si>
  <si>
    <t>0011i000001xoO9</t>
  </si>
  <si>
    <t>0011i000001xnOS</t>
  </si>
  <si>
    <t>0011i000001xmvl</t>
  </si>
  <si>
    <t>0011i000001xmwO</t>
  </si>
  <si>
    <t>0011i000001xml0</t>
  </si>
  <si>
    <t>0011i000001xnCy</t>
  </si>
  <si>
    <t>0011i000001xn9s</t>
  </si>
  <si>
    <t>270 Sims Avenue</t>
  </si>
  <si>
    <t>387514</t>
  </si>
  <si>
    <t>0011i000001xnCV</t>
  </si>
  <si>
    <t>260 Sims Avenue</t>
  </si>
  <si>
    <t>0011i000001xnCX</t>
  </si>
  <si>
    <t>0011i000001xnEt</t>
  </si>
  <si>
    <t>16 Raffles Quay #B1-15</t>
  </si>
  <si>
    <t>Hong Leong Building</t>
  </si>
  <si>
    <t>202500</t>
  </si>
  <si>
    <t>0011i000001xmk2</t>
  </si>
  <si>
    <t>0011i000001xmjc</t>
  </si>
  <si>
    <t>0011i000001xnEA</t>
  </si>
  <si>
    <t>0011i000001xmh2</t>
  </si>
  <si>
    <t>0011i000001xmmq</t>
  </si>
  <si>
    <t>#01-235</t>
  </si>
  <si>
    <t>200384</t>
  </si>
  <si>
    <t>150116</t>
  </si>
  <si>
    <t>0011i000001xmrK</t>
  </si>
  <si>
    <t>0011i000001xnVZ</t>
  </si>
  <si>
    <t>0011i000001xmgS</t>
  </si>
  <si>
    <t>Blk 303 Anchorvale Link</t>
  </si>
  <si>
    <t>806041</t>
  </si>
  <si>
    <t>540303</t>
  </si>
  <si>
    <t>0011i000001xnBF</t>
  </si>
  <si>
    <t>0011i000001xnbF</t>
  </si>
  <si>
    <t>#12-15 Mount Elizabeth Medical Centre</t>
  </si>
  <si>
    <t>202885</t>
  </si>
  <si>
    <t>0011i000001xnCh</t>
  </si>
  <si>
    <t>0011i000001xn12</t>
  </si>
  <si>
    <t>5 Lower Kent Ridge</t>
  </si>
  <si>
    <t>0011i000001xnPJ</t>
  </si>
  <si>
    <t>0011i000001xn7D</t>
  </si>
  <si>
    <t>304 Choa Chu Kang Avenue 4</t>
  </si>
  <si>
    <t>0011i000001xnIS</t>
  </si>
  <si>
    <t>304 Orchard Road #05-39</t>
  </si>
  <si>
    <t>202205</t>
  </si>
  <si>
    <t>0011i000001xnQG</t>
  </si>
  <si>
    <t>0011i000001xncS</t>
  </si>
  <si>
    <t>0011i000001xnZK</t>
  </si>
  <si>
    <t>726 Ang Mo Kio Ave 6</t>
  </si>
  <si>
    <t>#01-4160</t>
  </si>
  <si>
    <t>201075</t>
  </si>
  <si>
    <t>560726</t>
  </si>
  <si>
    <t>0011i000001xnBC</t>
  </si>
  <si>
    <t>10 Sinaran Drive #10-03</t>
  </si>
  <si>
    <t>0011i000001xmvn</t>
  </si>
  <si>
    <t>0011i000001xnGt</t>
  </si>
  <si>
    <t>#08-01 Mount Elizabeth Medical Centre</t>
  </si>
  <si>
    <t>0011i000001xmv1</t>
  </si>
  <si>
    <t>0011i000001xn7v</t>
  </si>
  <si>
    <t>0011i000001xnbQ</t>
  </si>
  <si>
    <t>0011i000001xmeY</t>
  </si>
  <si>
    <t>0011i000001xnQP</t>
  </si>
  <si>
    <t>0011i000001xmoI</t>
  </si>
  <si>
    <t>0011i000001xo2H</t>
  </si>
  <si>
    <t>Hope Gastroenterology and Liver Clinic</t>
  </si>
  <si>
    <t>0011i000001xoaH</t>
  </si>
  <si>
    <t>0011i000001xnub</t>
  </si>
  <si>
    <t>My Doctor's Place Pte Ltd</t>
  </si>
  <si>
    <t>Block 218 Bedok North Street 1</t>
  </si>
  <si>
    <t>202519</t>
  </si>
  <si>
    <t>0011i000001xnud</t>
  </si>
  <si>
    <t>0011i000001xo6n</t>
  </si>
  <si>
    <t>0011i000001xn59</t>
  </si>
  <si>
    <t>0011i000007FFhP</t>
  </si>
  <si>
    <t>Healthmed Family Clinic Bukit Panjang</t>
  </si>
  <si>
    <t>0011i000001xnuf</t>
  </si>
  <si>
    <t>0011i000001xnZi</t>
  </si>
  <si>
    <t>0011i000001xmjJ</t>
  </si>
  <si>
    <t>0011i00000S3HIi</t>
  </si>
  <si>
    <t>0011i000001xo8S</t>
  </si>
  <si>
    <t>3 Mt Elizabeth #15-03</t>
  </si>
  <si>
    <t>0011i000001xoIZ</t>
  </si>
  <si>
    <t>0011i000001xoCu</t>
  </si>
  <si>
    <t>0011i000002IdA9</t>
  </si>
  <si>
    <t>0011i00000C7VxT</t>
  </si>
  <si>
    <t>0011i00000Q8clD</t>
  </si>
  <si>
    <t>T&amp;T Medical Group Pte Ltd</t>
  </si>
  <si>
    <t>0011i000001xnuj</t>
  </si>
  <si>
    <t>T &amp; T Family Health Clinic &amp; Surgery</t>
  </si>
  <si>
    <t>0011i000007EVHL</t>
  </si>
  <si>
    <t>Prime Heart Centre</t>
  </si>
  <si>
    <t>0011i00000Xf1Ii</t>
  </si>
  <si>
    <t>Icon Haematology Centre</t>
  </si>
  <si>
    <t>3 Mount Elizabeth, #17-03/04</t>
  </si>
  <si>
    <t>0011i000001xoCv</t>
  </si>
  <si>
    <t>0011i000001xobj</t>
  </si>
  <si>
    <t>Blk 153 Bukit Batok Street 11</t>
  </si>
  <si>
    <t>0011i000001xnj3</t>
  </si>
  <si>
    <t>0011i000001xmdG</t>
  </si>
  <si>
    <t>298 Tiong Bahru Road</t>
  </si>
  <si>
    <t>#01-03/04 Central Plaza</t>
  </si>
  <si>
    <t>201913</t>
  </si>
  <si>
    <t>168730</t>
  </si>
  <si>
    <t>0011i000001xnul</t>
  </si>
  <si>
    <t>Tanglin Halt Clinic</t>
  </si>
  <si>
    <t>0011i000001xoDu</t>
  </si>
  <si>
    <t>0011i000001xo6q</t>
  </si>
  <si>
    <t>0011i000001xnNh</t>
  </si>
  <si>
    <t>Blk 48 Sims Place</t>
  </si>
  <si>
    <t>200381</t>
  </si>
  <si>
    <t>380048</t>
  </si>
  <si>
    <t>0011i000001xndI</t>
  </si>
  <si>
    <t>48 Sims Place</t>
  </si>
  <si>
    <t>0011i000001xnFT</t>
  </si>
  <si>
    <t>0011i000001xmg6</t>
  </si>
  <si>
    <t>0011i000001xmwT</t>
  </si>
  <si>
    <t>0011i000001xnOw</t>
  </si>
  <si>
    <t>0011i000001xoQ1</t>
  </si>
  <si>
    <t>0011i000001xnbv</t>
  </si>
  <si>
    <t>0011i000001xn0B</t>
  </si>
  <si>
    <t>0011i000001xnGV</t>
  </si>
  <si>
    <t>0011i000001xnZ1</t>
  </si>
  <si>
    <t>0011i000001xn0C</t>
  </si>
  <si>
    <t>0011i000001xnIw</t>
  </si>
  <si>
    <t>0011i000001xn0D</t>
  </si>
  <si>
    <t>0011i000001xnAN</t>
  </si>
  <si>
    <t>0011i000001xnGW</t>
  </si>
  <si>
    <t>0011i000001xnuo</t>
  </si>
  <si>
    <t>Charles Toh Clinic</t>
  </si>
  <si>
    <t>#06-01/02 Mount Elizabeth Medical Centre</t>
  </si>
  <si>
    <t>200631</t>
  </si>
  <si>
    <t>0011i000001xo6r</t>
  </si>
  <si>
    <t>0011i00000Xf1GT</t>
  </si>
  <si>
    <t>0011i000001xoCz</t>
  </si>
  <si>
    <t>0011i000001xnuq</t>
  </si>
  <si>
    <t>Fu-Xing Clinic</t>
  </si>
  <si>
    <t>0011i000001xoD3</t>
  </si>
  <si>
    <t>0011i000001xoZN</t>
  </si>
  <si>
    <t>290 Orchard Road #08-02</t>
  </si>
  <si>
    <t>0011i000001xnut</t>
  </si>
  <si>
    <t>Oxford Clinic &amp; Surgery</t>
  </si>
  <si>
    <t>0011i000001xoPQ</t>
  </si>
  <si>
    <t>0011i000001xol5</t>
  </si>
  <si>
    <t>0011i000001xoRN</t>
  </si>
  <si>
    <t>0011i000001xoD4</t>
  </si>
  <si>
    <t>Shalom Clinic &amp; Surgery</t>
  </si>
  <si>
    <t>Block 123 Bukit Merah Lane 1</t>
  </si>
  <si>
    <t>#01-104 Alexandra Village</t>
  </si>
  <si>
    <t>201003</t>
  </si>
  <si>
    <t>150123</t>
  </si>
  <si>
    <t>0011i000001xo5H</t>
  </si>
  <si>
    <t>0011i00000Jdz5E</t>
  </si>
  <si>
    <t>0011i000001xoD6</t>
  </si>
  <si>
    <t>Healthway Medical Group Pte Ltd (Woodlands)</t>
  </si>
  <si>
    <t>0011i000001xoaS</t>
  </si>
  <si>
    <t>TJ Medical Clinic &amp; Surgery</t>
  </si>
  <si>
    <t>0011i000001xnRk</t>
  </si>
  <si>
    <t>18 Toh Yi Drive</t>
  </si>
  <si>
    <t>590018</t>
  </si>
  <si>
    <t>0011i000001xotg</t>
  </si>
  <si>
    <t>0011i000001xnuw</t>
  </si>
  <si>
    <t>Clifford Family Clinic</t>
  </si>
  <si>
    <t>531 Ang Mo Kio Ave 10</t>
  </si>
  <si>
    <t>201782</t>
  </si>
  <si>
    <t>560531</t>
  </si>
  <si>
    <t>0011i000001xnux</t>
  </si>
  <si>
    <t>0011i000001xoGu</t>
  </si>
  <si>
    <t>0011i000001xoD8</t>
  </si>
  <si>
    <t>Department of Geriatrics</t>
  </si>
  <si>
    <t>0011i000001xnv3</t>
  </si>
  <si>
    <t>Marsiling Clinic &amp; Surgery</t>
  </si>
  <si>
    <t>0011i000001xoN4</t>
  </si>
  <si>
    <t>0011i000001xo6v</t>
  </si>
  <si>
    <t>0011i000001xn10</t>
  </si>
  <si>
    <t>0011i000001xnQX</t>
  </si>
  <si>
    <t>Blk 351 Jurong East Street 31</t>
  </si>
  <si>
    <t>200947</t>
  </si>
  <si>
    <t>600351</t>
  </si>
  <si>
    <t>0011i000001xn13</t>
  </si>
  <si>
    <t>7 Wallich Street #B1-015</t>
  </si>
  <si>
    <t>Tanjong Pagar Centre</t>
  </si>
  <si>
    <t>78884</t>
  </si>
  <si>
    <t>0011i000001xmao</t>
  </si>
  <si>
    <t>0011i000001xoYh</t>
  </si>
  <si>
    <t>0011i000001xn1b</t>
  </si>
  <si>
    <t>0011i000001xn7M</t>
  </si>
  <si>
    <t>Blk 151 Simei Street 1</t>
  </si>
  <si>
    <t>#10-33</t>
  </si>
  <si>
    <t>520151</t>
  </si>
  <si>
    <t>0011i000001xn5p</t>
  </si>
  <si>
    <t>151 Simei Street 1</t>
  </si>
  <si>
    <t>0011i000001xnLY</t>
  </si>
  <si>
    <t>0011i000001xmbA</t>
  </si>
  <si>
    <t>130 Jurong East Street 13</t>
  </si>
  <si>
    <t>#02-205</t>
  </si>
  <si>
    <t>0011i000001xnLC</t>
  </si>
  <si>
    <t>0011i000001xmiS</t>
  </si>
  <si>
    <t>0011i000001xmko</t>
  </si>
  <si>
    <t>0011i000001xnJL</t>
  </si>
  <si>
    <t>6 Shenton Way OUE</t>
  </si>
  <si>
    <t>#21-10 Downtown 2</t>
  </si>
  <si>
    <t>0011i000001xn0u</t>
  </si>
  <si>
    <t>0011i000001xnJh</t>
  </si>
  <si>
    <t>0011i000001xmmQ</t>
  </si>
  <si>
    <t>0011i000001xnVq</t>
  </si>
  <si>
    <t>0011i000001xoJF</t>
  </si>
  <si>
    <t>Maurine Tsakok Clinic</t>
  </si>
  <si>
    <t>0011i000001xo6w</t>
  </si>
  <si>
    <t>The Colorectal Clinic Associates</t>
  </si>
  <si>
    <t>0011i00000pbW4Z</t>
  </si>
  <si>
    <t>0011i000001xojt</t>
  </si>
  <si>
    <t>0011i000001xnpx</t>
  </si>
  <si>
    <t>Arthur Tseng Women's Health Sevices</t>
  </si>
  <si>
    <t>6 Napier Road #05-15</t>
  </si>
  <si>
    <t>0011i000001xnDp</t>
  </si>
  <si>
    <t>#03-00 Thomson Medical Centre</t>
  </si>
  <si>
    <t>201569</t>
  </si>
  <si>
    <t>0011i000001xo6x</t>
  </si>
  <si>
    <t>0011i000001xnmX</t>
  </si>
  <si>
    <t>Unity Clinic</t>
  </si>
  <si>
    <t>0011i000001xnHH</t>
  </si>
  <si>
    <t>38 Irrawaddy Road #04-27/28</t>
  </si>
  <si>
    <t>0011i000001xnHV</t>
  </si>
  <si>
    <t>0011i000001xmp0</t>
  </si>
  <si>
    <t>0011i00000Xf14B</t>
  </si>
  <si>
    <t>8 Sinaran Drive, Suite 04-03</t>
  </si>
  <si>
    <t>0011i000001xoj2</t>
  </si>
  <si>
    <t>0011i000001xo8T</t>
  </si>
  <si>
    <t>K.H. Tung Urology Pte Ltd</t>
  </si>
  <si>
    <t>#09-08 Gleneagles Medical Centre</t>
  </si>
  <si>
    <t>201914</t>
  </si>
  <si>
    <t>0011i000001xo2T</t>
  </si>
  <si>
    <t>0011i000001xo70</t>
  </si>
  <si>
    <t>Dept olf General Surgery</t>
  </si>
  <si>
    <t>0011i000001xnEq</t>
  </si>
  <si>
    <t>0011i000001xn5L</t>
  </si>
  <si>
    <t>391 Orchard Road #08-07</t>
  </si>
  <si>
    <t>0011i000001xmel</t>
  </si>
  <si>
    <t>305 Ubi Ave 1</t>
  </si>
  <si>
    <t>400305</t>
  </si>
  <si>
    <t>0011i000001xnES</t>
  </si>
  <si>
    <t>Blk 305 Ubi Avenue 1</t>
  </si>
  <si>
    <t>#01-165</t>
  </si>
  <si>
    <t>0011i000001xnPO</t>
  </si>
  <si>
    <t>Blk 305 Ubi Ave 1</t>
  </si>
  <si>
    <t>0011i000001xoAe</t>
  </si>
  <si>
    <t>0011i000001xns5</t>
  </si>
  <si>
    <t>Adam Road Medical Centre</t>
  </si>
  <si>
    <t>559 Bukit Timah Road #01-02</t>
  </si>
  <si>
    <t>King's Arcade</t>
  </si>
  <si>
    <t>269695</t>
  </si>
  <si>
    <t>0011i000001xnvB</t>
  </si>
  <si>
    <t>0011i000001xnzN</t>
  </si>
  <si>
    <t>0011i00000tWN9p</t>
  </si>
  <si>
    <t>178 Toa Payoh Central</t>
  </si>
  <si>
    <t>#01-218</t>
  </si>
  <si>
    <t>310178</t>
  </si>
  <si>
    <t>0011i000001xnTy</t>
  </si>
  <si>
    <t>Blk 722 Clementi West Street 2</t>
  </si>
  <si>
    <t>#01-168</t>
  </si>
  <si>
    <t>200644</t>
  </si>
  <si>
    <t>120722</t>
  </si>
  <si>
    <t>0011i000001xnLT</t>
  </si>
  <si>
    <t>0011i000001xnc9</t>
  </si>
  <si>
    <t>0011i000001xnce</t>
  </si>
  <si>
    <t>0011i000001xnYf</t>
  </si>
  <si>
    <t>Blk 627 Yishun Street 61</t>
  </si>
  <si>
    <t>202118</t>
  </si>
  <si>
    <t>760627</t>
  </si>
  <si>
    <t>0011i000001xmoO</t>
  </si>
  <si>
    <t>0011i000001xnWI</t>
  </si>
  <si>
    <t>0011i000001xnFp</t>
  </si>
  <si>
    <t>Blk 601 Choa Chu Kang Street 62</t>
  </si>
  <si>
    <t>#01-09</t>
  </si>
  <si>
    <t>202844</t>
  </si>
  <si>
    <t>680601</t>
  </si>
  <si>
    <t>0011i000001xnOv</t>
  </si>
  <si>
    <t>0011i000001xnTX</t>
  </si>
  <si>
    <t>Unity Pharmacy - AMK Hub</t>
  </si>
  <si>
    <t>53 Ang Mo Kio Ave 3</t>
  </si>
  <si>
    <t>569933</t>
  </si>
  <si>
    <t>0011i000001xmjt</t>
  </si>
  <si>
    <t>Unity Pharmacy - Bedok North</t>
  </si>
  <si>
    <t>#02-147</t>
  </si>
  <si>
    <t>0011i000001xn3N</t>
  </si>
  <si>
    <t>0011i000001xmju</t>
  </si>
  <si>
    <t>0011i000001xmnc</t>
  </si>
  <si>
    <t>Unity Pharmacy - Marina Parade</t>
  </si>
  <si>
    <t>0011i000001xmkg</t>
  </si>
  <si>
    <t>0011i000001xmxo</t>
  </si>
  <si>
    <t>0011i000001xmnd</t>
  </si>
  <si>
    <t>0011i000001xmne</t>
  </si>
  <si>
    <t>0011i000001xnSg</t>
  </si>
  <si>
    <t>0011i000001xnHb</t>
  </si>
  <si>
    <t>0011i000001xmdZ</t>
  </si>
  <si>
    <t>Unity Pharmacy - Yew Tee</t>
  </si>
  <si>
    <t>#B1-08/09 Yew Tee Point</t>
  </si>
  <si>
    <t>0011i000001xmng</t>
  </si>
  <si>
    <t>Unity Pharmacy - Yishun Street 81</t>
  </si>
  <si>
    <t>#01-3703</t>
  </si>
  <si>
    <t>760849</t>
  </si>
  <si>
    <t>0011i000001xmja</t>
  </si>
  <si>
    <t>235 Yishun Street 21</t>
  </si>
  <si>
    <t>201444</t>
  </si>
  <si>
    <t>0011i000001xnVY</t>
  </si>
  <si>
    <t>Blk 103 Yishun Ring Road</t>
  </si>
  <si>
    <t>#01-99</t>
  </si>
  <si>
    <t>201415</t>
  </si>
  <si>
    <t>0011i000001xn6Q</t>
  </si>
  <si>
    <t>0011i000001xmdO</t>
  </si>
  <si>
    <t>0011i000001xnZg</t>
  </si>
  <si>
    <t>0011i000001xnDD</t>
  </si>
  <si>
    <t>0011i000001xnFC</t>
  </si>
  <si>
    <t>0011i000001xmcG</t>
  </si>
  <si>
    <t>0011i000001xn9D</t>
  </si>
  <si>
    <t>0011i000001xmcQ</t>
  </si>
  <si>
    <t>0011i000001xnPK</t>
  </si>
  <si>
    <t>804508</t>
  </si>
  <si>
    <t>0011i000001xoEi</t>
  </si>
  <si>
    <t>Yishun Medical Centre</t>
  </si>
  <si>
    <t>Blk 618 Yishun Ring Road</t>
  </si>
  <si>
    <t>#01-3234</t>
  </si>
  <si>
    <t>200844</t>
  </si>
  <si>
    <t>760718</t>
  </si>
  <si>
    <t>0011i000001xmyh</t>
  </si>
  <si>
    <t>0011i000001xoDB</t>
  </si>
  <si>
    <t>0011i000001xnvD</t>
  </si>
  <si>
    <t>Drs Fernandez &amp; Partners</t>
  </si>
  <si>
    <t>0011i000001xoob</t>
  </si>
  <si>
    <t>0011i000001xofI</t>
  </si>
  <si>
    <t>General Orthopaedics</t>
  </si>
  <si>
    <t>0011i000001xn5r</t>
  </si>
  <si>
    <t>0011i00000LHDrr</t>
  </si>
  <si>
    <t>0011i000001xmzU</t>
  </si>
  <si>
    <t>0011i000001xnYO</t>
  </si>
  <si>
    <t>0011i000001xmbr</t>
  </si>
  <si>
    <t>0011i000001xn60</t>
  </si>
  <si>
    <t>80 Robinson Road</t>
  </si>
  <si>
    <t>#01-01A</t>
  </si>
  <si>
    <t>202422</t>
  </si>
  <si>
    <t>68898</t>
  </si>
  <si>
    <t>0011i000001xnCc</t>
  </si>
  <si>
    <t>6 Napier Road #03-17/18</t>
  </si>
  <si>
    <t>0011i000001xoEL</t>
  </si>
  <si>
    <t>0011i000001xnK8</t>
  </si>
  <si>
    <t>Blk 25 New Upper Changi Road</t>
  </si>
  <si>
    <t>#01-644</t>
  </si>
  <si>
    <t>201928</t>
  </si>
  <si>
    <t>462025</t>
  </si>
  <si>
    <t>0011i000001xnxw</t>
  </si>
  <si>
    <t>0011i000001xo97</t>
  </si>
  <si>
    <t>Desmond Wai Liver &amp; Gastrointestinal Disease Ctr</t>
  </si>
  <si>
    <t>0011i00000w07Mp</t>
  </si>
  <si>
    <t>0011i00000Xf1HA</t>
  </si>
  <si>
    <t>0011i000001xodk</t>
  </si>
  <si>
    <t>0011i000001xniz</t>
  </si>
  <si>
    <t>Lens Medical Group  (RCMC Med Ctr)</t>
  </si>
  <si>
    <t>0011i000001xnv9</t>
  </si>
  <si>
    <t>0011i000001xoYU</t>
  </si>
  <si>
    <t>0011i000001xnvM</t>
  </si>
  <si>
    <t>First Medical Centre</t>
  </si>
  <si>
    <t>0011i000007FFeL</t>
  </si>
  <si>
    <t>0011i000001xnvN</t>
  </si>
  <si>
    <t>Wang Kuo Weng Diabetes &amp; Endocrine Practice</t>
  </si>
  <si>
    <t>#09-16 Gleneagles Medical Centre</t>
  </si>
  <si>
    <t>201432</t>
  </si>
  <si>
    <t>0011i000001xoNU</t>
  </si>
  <si>
    <t>0011i000001xnfz</t>
  </si>
  <si>
    <t>0011i00000pb5QS</t>
  </si>
  <si>
    <t>0011i000001xmv4</t>
  </si>
  <si>
    <t>0011i000001xnRa</t>
  </si>
  <si>
    <t>0011i000001xnRX</t>
  </si>
  <si>
    <t>0011i000001xn3F</t>
  </si>
  <si>
    <t>0011i000001xmyx</t>
  </si>
  <si>
    <t>Watson Pharmacy - Lucky Plaza</t>
  </si>
  <si>
    <t>0011i000001xnEl</t>
  </si>
  <si>
    <t>0011i000001xnNz</t>
  </si>
  <si>
    <t>0011i000001xnPW</t>
  </si>
  <si>
    <t>Watsons Pharmacy - NEX</t>
  </si>
  <si>
    <t>#02-57 NEX</t>
  </si>
  <si>
    <t>550023</t>
  </si>
  <si>
    <t>0011i000001xnJv</t>
  </si>
  <si>
    <t>Watsons Pharmacy - T3 Check-In</t>
  </si>
  <si>
    <t>Changi Airport Terminal 3</t>
  </si>
  <si>
    <t>819663</t>
  </si>
  <si>
    <t>0011i000001xoNJ</t>
  </si>
  <si>
    <t>0011i000001xn2I</t>
  </si>
  <si>
    <t>0011i000001xnDv</t>
  </si>
  <si>
    <t>442 Pasir Ris Drive 6</t>
  </si>
  <si>
    <t>0011i000001xnvT</t>
  </si>
  <si>
    <t>Wee's Family Clinic &amp; Surgery</t>
  </si>
  <si>
    <t>#01-865</t>
  </si>
  <si>
    <t>0011i000001xnvU</t>
  </si>
  <si>
    <t>0011i00000w07Ol</t>
  </si>
  <si>
    <t>0011i000001xoWL</t>
  </si>
  <si>
    <t>0011i000001xo9B</t>
  </si>
  <si>
    <t>0011i000001xoQs</t>
  </si>
  <si>
    <t>0011i000007DbYT</t>
  </si>
  <si>
    <t>0011i000001xoZp</t>
  </si>
  <si>
    <t>0011i000001xnxT</t>
  </si>
  <si>
    <t>Healthway (Silver Cross) Medical Centre</t>
  </si>
  <si>
    <t>0011i000001xoNE</t>
  </si>
  <si>
    <t>0011i00000uOGjw</t>
  </si>
  <si>
    <t>Shenton Medical Group - Robinson</t>
  </si>
  <si>
    <t>50 Robinson Rd</t>
  </si>
  <si>
    <t>068882</t>
  </si>
  <si>
    <t>0011i000001xoIN</t>
  </si>
  <si>
    <t>0011i000001xnvX</t>
  </si>
  <si>
    <t>The Medical House Clinic &amp; Surgery</t>
  </si>
  <si>
    <t>0011i000001xnvY</t>
  </si>
  <si>
    <t>Kim Mun Clinic</t>
  </si>
  <si>
    <t>0011i000001xope</t>
  </si>
  <si>
    <t>0011i000001xoWo</t>
  </si>
  <si>
    <t>0011i000001xnvh</t>
  </si>
  <si>
    <t>Eastern Clinic &amp; Dental Surgery</t>
  </si>
  <si>
    <t>Blk 303 Jurong East Street 32</t>
  </si>
  <si>
    <t>200804</t>
  </si>
  <si>
    <t>600303</t>
  </si>
  <si>
    <t>0011i000001xmp9</t>
  </si>
  <si>
    <t>0011i000001xmpE</t>
  </si>
  <si>
    <t>#01-79</t>
  </si>
  <si>
    <t>0011i000007Ef46</t>
  </si>
  <si>
    <t>378 Clementi Avenue 5</t>
  </si>
  <si>
    <t>#01-342</t>
  </si>
  <si>
    <t>120378</t>
  </si>
  <si>
    <t>0011i00000w06Ja</t>
  </si>
  <si>
    <t>0011i000001xoKC</t>
  </si>
  <si>
    <t>0011i000001xmh7</t>
  </si>
  <si>
    <t>0011i000001xmgt</t>
  </si>
  <si>
    <t>Block 739 Pasir Ris Drive 10</t>
  </si>
  <si>
    <t>0011i000001xmp4</t>
  </si>
  <si>
    <t>0011i000001xnFe</t>
  </si>
  <si>
    <t>0011i000001xnUN</t>
  </si>
  <si>
    <t>0011i000001xmlY</t>
  </si>
  <si>
    <t>0011i000001xnjb</t>
  </si>
  <si>
    <t>0011i000001xnIF</t>
  </si>
  <si>
    <t>Blk 517 West Cost Road</t>
  </si>
  <si>
    <t>0011i000001xnaB</t>
  </si>
  <si>
    <t>0011i000001xnD6</t>
  </si>
  <si>
    <t>722 Clementi West Street 2</t>
  </si>
  <si>
    <t>201836</t>
  </si>
  <si>
    <t>0011i000001xnMe</t>
  </si>
  <si>
    <t>202997</t>
  </si>
  <si>
    <t>0011i000001xn6v</t>
  </si>
  <si>
    <t>0011i000001xnoJ</t>
  </si>
  <si>
    <t>Drs Oh Lim &amp; Wong Partners</t>
  </si>
  <si>
    <t>Blk 959 Jurong West St 92</t>
  </si>
  <si>
    <t>#01-154</t>
  </si>
  <si>
    <t>640959</t>
  </si>
  <si>
    <t>Oei &amp; Kho Clinic and Surgery</t>
  </si>
  <si>
    <t>18 Lor 7 Toa Payoh</t>
  </si>
  <si>
    <t>310018</t>
  </si>
  <si>
    <t>0011i000001xoG1</t>
  </si>
  <si>
    <t>William Verhoeven Orthopaedic Clinic Pte Ltd</t>
  </si>
  <si>
    <t>203148</t>
  </si>
  <si>
    <t>0011i000001xmkv</t>
  </si>
  <si>
    <t>0011i000001xo73</t>
  </si>
  <si>
    <t>Promises Healthcare Pte Ltd</t>
  </si>
  <si>
    <t>0011i000001xnU2</t>
  </si>
  <si>
    <t>0011i000001xnbr</t>
  </si>
  <si>
    <t>0011i000001xmlq</t>
  </si>
  <si>
    <t>#01-2813</t>
  </si>
  <si>
    <t>201050</t>
  </si>
  <si>
    <t>0011i000001xmlE</t>
  </si>
  <si>
    <t>#09-08 Farrer Park Medical Centre</t>
  </si>
  <si>
    <t>0011i000001xmhP</t>
  </si>
  <si>
    <t>0011i000001xnCR</t>
  </si>
  <si>
    <t>0011i000001xn0i</t>
  </si>
  <si>
    <t>3  Mt Elizabeth #11-12</t>
  </si>
  <si>
    <t>0011i000001xoJL</t>
  </si>
  <si>
    <t>0011i00000Xf1Hi</t>
  </si>
  <si>
    <t>0011i00000Ju24E</t>
  </si>
  <si>
    <t>0011i000001xoLu</t>
  </si>
  <si>
    <t>0011i000001xnvk</t>
  </si>
  <si>
    <t>Medical Union Clinic</t>
  </si>
  <si>
    <t>Blk 211 Serangoon Ave 4</t>
  </si>
  <si>
    <t>201283</t>
  </si>
  <si>
    <t>550211</t>
  </si>
  <si>
    <t>0011i000001xoQo</t>
  </si>
  <si>
    <t>0011i000001xonJ</t>
  </si>
  <si>
    <t>0011i000001xoaj</t>
  </si>
  <si>
    <t>0011i000001xoru</t>
  </si>
  <si>
    <t>0011i000001xnvq</t>
  </si>
  <si>
    <t>Public Medical Clinic &amp; Surgery</t>
  </si>
  <si>
    <t>Blk 664 Yishun Ave 4</t>
  </si>
  <si>
    <t>201384</t>
  </si>
  <si>
    <t>760664</t>
  </si>
  <si>
    <t>0011i000001xoLh</t>
  </si>
  <si>
    <t>Bedok Day &amp; Night Clinic</t>
  </si>
  <si>
    <t>0011i000001xo76</t>
  </si>
  <si>
    <t>0011i000001xoOq</t>
  </si>
  <si>
    <t>The Gynae Link Pte Ltd</t>
  </si>
  <si>
    <t>Blk 678 Woodlands Ave 8</t>
  </si>
  <si>
    <t>#01-722</t>
  </si>
  <si>
    <t>0011i000001xo8C</t>
  </si>
  <si>
    <t>0011i00000S3HHp</t>
  </si>
  <si>
    <t>0011i000001xo77</t>
  </si>
  <si>
    <t>Adelina Women's Clinic Pte Ltd</t>
  </si>
  <si>
    <t>0011i000001xoFh</t>
  </si>
  <si>
    <t>0011i000007DNMN</t>
  </si>
  <si>
    <t>0011i000001xo9F</t>
  </si>
  <si>
    <t>0011i000001xofL</t>
  </si>
  <si>
    <t>0011i000001xoYN</t>
  </si>
  <si>
    <t>0011i000001xnkM</t>
  </si>
  <si>
    <t>0011i000001xoOe</t>
  </si>
  <si>
    <t>0011i000001xoPP</t>
  </si>
  <si>
    <t>Healthwerkz Medical Centre</t>
  </si>
  <si>
    <t>0011i000001xo9H</t>
  </si>
  <si>
    <t>Wong Family Clinic &amp; Surgery</t>
  </si>
  <si>
    <t>117 Bedok Reservoir Road</t>
  </si>
  <si>
    <t>#01-68</t>
  </si>
  <si>
    <t>0011i00000ix3JV</t>
  </si>
  <si>
    <t>Hepatobiliary and Pancreatic Surgery Centre</t>
  </si>
  <si>
    <t>3 Mount Elizabeth #16-02</t>
  </si>
  <si>
    <t>0011i000001xniL</t>
  </si>
  <si>
    <t>0011i00000vHmMU</t>
  </si>
  <si>
    <t>0011i000001xo80</t>
  </si>
  <si>
    <t>0011i000001xoP2</t>
  </si>
  <si>
    <t>0011i000001xnvy</t>
  </si>
  <si>
    <t>Drs Oh, Lim, Wong &amp; Partners</t>
  </si>
  <si>
    <t>Blk 959 Jurong West Street 92</t>
  </si>
  <si>
    <t>0011i000001xnvz</t>
  </si>
  <si>
    <t>Wong Clinic &amp; Surgery</t>
  </si>
  <si>
    <t>#01-997</t>
  </si>
  <si>
    <t>0011i000001xnw0</t>
  </si>
  <si>
    <t>New City Skin Clinic</t>
  </si>
  <si>
    <t>0011i00000Xf1Ie</t>
  </si>
  <si>
    <t>Icon Cancer CNTRE</t>
  </si>
  <si>
    <t>0011i000001xoRK</t>
  </si>
  <si>
    <t>0011i000001xoSZ</t>
  </si>
  <si>
    <t>0011i000001xoCf</t>
  </si>
  <si>
    <t>Tan Clinic &amp; Surgery - Dr Tan Kin Theng</t>
  </si>
  <si>
    <t>0011i000001xoR1</t>
  </si>
  <si>
    <t>Aspen Clinic Pte Ltd</t>
  </si>
  <si>
    <t>807020</t>
  </si>
  <si>
    <t>0011i000001xoP7</t>
  </si>
  <si>
    <t>0011i000001xo79</t>
  </si>
  <si>
    <t>Karmen Wong Oncology Pte Ltd</t>
  </si>
  <si>
    <t>0011i000001xoqZ</t>
  </si>
  <si>
    <t>0011i000001xo7A</t>
  </si>
  <si>
    <t>0011i000001xo7B</t>
  </si>
  <si>
    <t>0011i000001xoKV</t>
  </si>
  <si>
    <t>Department of Pharmacology</t>
  </si>
  <si>
    <t>0011i000001xnj2</t>
  </si>
  <si>
    <t>Blk 26 Teck Whye Lane</t>
  </si>
  <si>
    <t>680025</t>
  </si>
  <si>
    <t>0011i000001xoMI</t>
  </si>
  <si>
    <t>0011i000001xoYp</t>
  </si>
  <si>
    <t>0011i00000Xf1Gf</t>
  </si>
  <si>
    <t>0011i000001xoMN</t>
  </si>
  <si>
    <t>0011i000001xopD</t>
  </si>
  <si>
    <t>0011i000001xo7F</t>
  </si>
  <si>
    <t>0011i000001xoHL</t>
  </si>
  <si>
    <t>0011i000001xoax</t>
  </si>
  <si>
    <t>NY Wong Surgery</t>
  </si>
  <si>
    <t>0011i000001xnii</t>
  </si>
  <si>
    <t>0011i000001xnkT</t>
  </si>
  <si>
    <t>0011i000001xoKt</t>
  </si>
  <si>
    <t>Judy Wong Clinic For Women Pte Ltd</t>
  </si>
  <si>
    <t>#04-08 Thomson Medical Centre</t>
  </si>
  <si>
    <t>203165</t>
  </si>
  <si>
    <t>0011i000001xoSo</t>
  </si>
  <si>
    <t>Life Spring Medical Clinic</t>
  </si>
  <si>
    <t>202619</t>
  </si>
  <si>
    <t>0011i000001xoYb</t>
  </si>
  <si>
    <t>Dept of Plastic Surgery</t>
  </si>
  <si>
    <t>0011i000001xoLQ</t>
  </si>
  <si>
    <t>0011i000001xnw9</t>
  </si>
  <si>
    <t>0011i000001xo8u</t>
  </si>
  <si>
    <t>Gethin Jones Medical Practice</t>
  </si>
  <si>
    <t>1 Nanyang Avenue</t>
  </si>
  <si>
    <t>202094</t>
  </si>
  <si>
    <t>0011i000001xnwA</t>
  </si>
  <si>
    <t>SC Wong Surgery</t>
  </si>
  <si>
    <t>#02-03 Mount Alvernia Medical Centre Block A</t>
  </si>
  <si>
    <t>200892</t>
  </si>
  <si>
    <t>0011i000001xnh3</t>
  </si>
  <si>
    <t>0011i000001xoWK</t>
  </si>
  <si>
    <t>0011i00000Xf1Ip</t>
  </si>
  <si>
    <t>The Cancer Centre</t>
  </si>
  <si>
    <t>0011i000001xnwF</t>
  </si>
  <si>
    <t>Infectious Disease Partners Pte Ltd</t>
  </si>
  <si>
    <t>0011i000001xoK1</t>
  </si>
  <si>
    <t>0011i000001xo7I</t>
  </si>
  <si>
    <t>The Colorectal Clinic</t>
  </si>
  <si>
    <t>820 Thomson Road Med Ctr D</t>
  </si>
  <si>
    <t>Mount Alvernia Hospital #07-51</t>
  </si>
  <si>
    <t>0011i000001xo7H</t>
  </si>
  <si>
    <t>0011i000001xo7J</t>
  </si>
  <si>
    <t>0011i000001xnhz</t>
  </si>
  <si>
    <t>39 Irrawaddy Road #10-48/49</t>
  </si>
  <si>
    <t>38 Irrawaddy Road #08-31</t>
  </si>
  <si>
    <t>Mount Elizabeth Novena  Hospital</t>
  </si>
  <si>
    <t>0011i000001xnsV</t>
  </si>
  <si>
    <t>0011i000001xnwG</t>
  </si>
  <si>
    <t>T S Wong Clinic &amp; Surgery</t>
  </si>
  <si>
    <t>166 Woodlands Street 13</t>
  </si>
  <si>
    <t>#02-523</t>
  </si>
  <si>
    <t>730166</t>
  </si>
  <si>
    <t>0011i000001xo9t</t>
  </si>
  <si>
    <t>0011i000001xnwI</t>
  </si>
  <si>
    <t>Faith Medical Clinic &amp; Surgery</t>
  </si>
  <si>
    <t>0011i000001xoZk</t>
  </si>
  <si>
    <t>T K Wong Clinic &amp; Sugery</t>
  </si>
  <si>
    <t>Blk 638 Bt Batok Central</t>
  </si>
  <si>
    <t>650638</t>
  </si>
  <si>
    <t>0011i000001xnwM</t>
  </si>
  <si>
    <t>3 Mt Elizabeth #16-14</t>
  </si>
  <si>
    <t>0011i000001xo7K</t>
  </si>
  <si>
    <t>0011i000001xnwN</t>
  </si>
  <si>
    <t>200682</t>
  </si>
  <si>
    <t>0011i000001xnwO</t>
  </si>
  <si>
    <t>Amity Medical Clinic &amp; Dental Surg</t>
  </si>
  <si>
    <t>371 Bukit Batok Street 31</t>
  </si>
  <si>
    <t>650371</t>
  </si>
  <si>
    <t>0011i000001xnwQ</t>
  </si>
  <si>
    <t>0011i000001xnwR</t>
  </si>
  <si>
    <t>WM Wong Cardiac &amp; Medical Clinic Pte Ltd</t>
  </si>
  <si>
    <t>#10-10 Gleneagles Medical Centre</t>
  </si>
  <si>
    <t>201506</t>
  </si>
  <si>
    <t>0011i000001xoLz</t>
  </si>
  <si>
    <t>0011i00000S3HIO</t>
  </si>
  <si>
    <t>0011i000002Id9w</t>
  </si>
  <si>
    <t>0011i000001xnto</t>
  </si>
  <si>
    <t>0011i000001xnwS</t>
  </si>
  <si>
    <t>0011i000001xoiH</t>
  </si>
  <si>
    <t>0011i000001xnwW</t>
  </si>
  <si>
    <t>0011i000001xnwY</t>
  </si>
  <si>
    <t>Kong Ling Clinic</t>
  </si>
  <si>
    <t>Block 82 Macpherson Lane</t>
  </si>
  <si>
    <t>200289</t>
  </si>
  <si>
    <t>360082</t>
  </si>
  <si>
    <t>0011i000001xnT9</t>
  </si>
  <si>
    <t>Blk 539 Bedok North Street 3</t>
  </si>
  <si>
    <t>200674</t>
  </si>
  <si>
    <t>0011i000001xnDw</t>
  </si>
  <si>
    <t>0011i000001xmmu</t>
  </si>
  <si>
    <t>0011i000001xnV9</t>
  </si>
  <si>
    <t>0011i000001xnKD</t>
  </si>
  <si>
    <t>0011i000001xnGX</t>
  </si>
  <si>
    <t>#03-06 Gleneagles Medical Ctr</t>
  </si>
  <si>
    <t>0011i00000W3eXg</t>
  </si>
  <si>
    <t>Mark Wong Surgery</t>
  </si>
  <si>
    <t>Mount Elizabeth Novena</t>
  </si>
  <si>
    <t>#08-31 38 Irrawaddy Road</t>
  </si>
  <si>
    <t>0011i000007E9x7</t>
  </si>
  <si>
    <t>0011i000007DbY4</t>
  </si>
  <si>
    <t>0011i000001xodO</t>
  </si>
  <si>
    <t>0011i000007FFzq</t>
  </si>
  <si>
    <t>Sunrise General Medical and Heart Services</t>
  </si>
  <si>
    <t>0011i000001xo8X</t>
  </si>
  <si>
    <t>0011i000001xnwa</t>
  </si>
  <si>
    <t>Oriental Family Clinic</t>
  </si>
  <si>
    <t>0011i000001xmbq</t>
  </si>
  <si>
    <t>131 Marsiling Rise</t>
  </si>
  <si>
    <t>0011i000001xmfM</t>
  </si>
  <si>
    <t>0011i000001xmcm</t>
  </si>
  <si>
    <t>0011i000001xnWo</t>
  </si>
  <si>
    <t>0011i000001xnZu</t>
  </si>
  <si>
    <t>0011i000001xoO0</t>
  </si>
  <si>
    <t>Lifeline Medical Group winning</t>
  </si>
  <si>
    <t>0011i000001xnwb</t>
  </si>
  <si>
    <t>Lifeline Yishun Ring Medical Clinic Pte Ltd</t>
  </si>
  <si>
    <t>0011i000001xoI6</t>
  </si>
  <si>
    <t>Frances Children Clinic</t>
  </si>
  <si>
    <t>200183</t>
  </si>
  <si>
    <t>0011i000001xoVx</t>
  </si>
  <si>
    <t>The Olive Tree Family Clinic</t>
  </si>
  <si>
    <t>0011i000001xoGg</t>
  </si>
  <si>
    <t>0011i000001xoYG</t>
  </si>
  <si>
    <t>Bertha Woon General &amp; Breast Surgery</t>
  </si>
  <si>
    <t>0011i000001xnwc</t>
  </si>
  <si>
    <t>Fullerton Health @ Gethin-Jones</t>
  </si>
  <si>
    <t>0011i000001xnwg</t>
  </si>
  <si>
    <t>0011i000001xoX1</t>
  </si>
  <si>
    <t>0011i000001xo7Q</t>
  </si>
  <si>
    <t>1 Orchard Boulevard #09-02</t>
  </si>
  <si>
    <t>0011i000001xnwi</t>
  </si>
  <si>
    <t>Wu Medical Clinic Pte Ltd</t>
  </si>
  <si>
    <t>#16-12 Mount Elizabeth Medical Centre</t>
  </si>
  <si>
    <t>201688</t>
  </si>
  <si>
    <t>0011i000001xoYA</t>
  </si>
  <si>
    <t>Healthpath Medical Clinic &amp; Surgery</t>
  </si>
  <si>
    <t>Blk 338 Ang Mo Kio Ave 1</t>
  </si>
  <si>
    <t>0011i000007DbYd</t>
  </si>
  <si>
    <t>0011i000001xnUb</t>
  </si>
  <si>
    <t>329 Geylang Road</t>
  </si>
  <si>
    <t>389384</t>
  </si>
  <si>
    <t>0011i00000raSsm</t>
  </si>
  <si>
    <t>0011i000001xnwk</t>
  </si>
  <si>
    <t>W.H. Yak Family Clinic</t>
  </si>
  <si>
    <t>0011i000001xnwl</t>
  </si>
  <si>
    <t>Acumed Medical Group - Tmn Jurong</t>
  </si>
  <si>
    <t>0011i000001xoex</t>
  </si>
  <si>
    <t>Blk 38 Teban Gardens Road</t>
  </si>
  <si>
    <t>#01-318/319</t>
  </si>
  <si>
    <t>600038</t>
  </si>
  <si>
    <t>0011i000001xou0</t>
  </si>
  <si>
    <t>0011i000001xody</t>
  </si>
  <si>
    <t>Acufem Medical Pte Ltd c/o Acufem Women's Speciality</t>
  </si>
  <si>
    <t>#05-38 Gleneagles Medical Centre Annexe Block</t>
  </si>
  <si>
    <t>202960</t>
  </si>
  <si>
    <t>0011i000001xnYZ</t>
  </si>
  <si>
    <t>0011i000001xnwm</t>
  </si>
  <si>
    <t>Peter Yan Cardiology Clinic</t>
  </si>
  <si>
    <t>0011i000001xoBL</t>
  </si>
  <si>
    <t>0011i000001xnwn</t>
  </si>
  <si>
    <t>Yang Clinic</t>
  </si>
  <si>
    <t>Serangoon Garden Estate</t>
  </si>
  <si>
    <t>0011i000001xnjm</t>
  </si>
  <si>
    <t>Helathway Medical Clinic</t>
  </si>
  <si>
    <t>0011i000001xnwu</t>
  </si>
  <si>
    <t>Yang &amp; Yap Clinic &amp; Surgery Pte Ltd</t>
  </si>
  <si>
    <t>#01-571</t>
  </si>
  <si>
    <t>200698</t>
  </si>
  <si>
    <t>0011i000001xoeA</t>
  </si>
  <si>
    <t>United Specialist Pte Ltd</t>
  </si>
  <si>
    <t>10 Sinaran Drive #09-07</t>
  </si>
  <si>
    <t>Square 2</t>
  </si>
  <si>
    <t>0011i00000Ta3Uc</t>
  </si>
  <si>
    <t>0011i000001xoCD</t>
  </si>
  <si>
    <t>3 Mt Elizabeth</t>
  </si>
  <si>
    <t>0011i000001xoCE</t>
  </si>
  <si>
    <t>0011i000001xnWs</t>
  </si>
  <si>
    <t>0011i000001xn2q</t>
  </si>
  <si>
    <t>0011i00000ULtQu</t>
  </si>
  <si>
    <t>0011i000001xnww</t>
  </si>
  <si>
    <t>Yao Medical Clinic</t>
  </si>
  <si>
    <t>419 Tampines St 41</t>
  </si>
  <si>
    <t>#01-96</t>
  </si>
  <si>
    <t>520419</t>
  </si>
  <si>
    <t>0011i000001xnwx</t>
  </si>
  <si>
    <t>0011i000001xodW</t>
  </si>
  <si>
    <t>0011i000001xo67</t>
  </si>
  <si>
    <t>Providence Medical Centre</t>
  </si>
  <si>
    <t>0011i000001xnwy</t>
  </si>
  <si>
    <t>0011i000001xnwz</t>
  </si>
  <si>
    <t>Yap Family Clinic</t>
  </si>
  <si>
    <t>Blk 132 Marsiling Rise</t>
  </si>
  <si>
    <t>802995</t>
  </si>
  <si>
    <t>730132</t>
  </si>
  <si>
    <t>0011i000001xom5</t>
  </si>
  <si>
    <t>0011i000001xoXs</t>
  </si>
  <si>
    <t>0011i000001xosH</t>
  </si>
  <si>
    <t>0011i000001xohZ</t>
  </si>
  <si>
    <t>Rehabilitation Medical</t>
  </si>
  <si>
    <t>0011i000007F3Tf</t>
  </si>
  <si>
    <t>0011i000001xoAp</t>
  </si>
  <si>
    <t>0011i000001xoCQ</t>
  </si>
  <si>
    <t>0011i000001xnx5</t>
  </si>
  <si>
    <t>M Y Neurology &amp; Medical Clinic</t>
  </si>
  <si>
    <t>#10-01 Mount Elizabeth Medical Centre</t>
  </si>
  <si>
    <t>201982</t>
  </si>
  <si>
    <t>0011i000001xoMv</t>
  </si>
  <si>
    <t>Women's Health &amp; Fertility Centre</t>
  </si>
  <si>
    <t>0011i000001xo7U</t>
  </si>
  <si>
    <t>0011i000001xoCR</t>
  </si>
  <si>
    <t>0011i000001xnx7</t>
  </si>
  <si>
    <t>Ivy Yap Gastroenterology &amp; Liver Clinic</t>
  </si>
  <si>
    <t>0011i000001xnx8</t>
  </si>
  <si>
    <t>Dr L K Yap Surgery &amp; Clinic For Women</t>
  </si>
  <si>
    <t>0011i000001xoJr</t>
  </si>
  <si>
    <t>0011i000001xoPE</t>
  </si>
  <si>
    <t>0011i000001xoi9</t>
  </si>
  <si>
    <t>0011i000001xoFi</t>
  </si>
  <si>
    <t>Departmen of A&amp;E</t>
  </si>
  <si>
    <t>0011i000001xnxK</t>
  </si>
  <si>
    <t>0011i000001xoCY</t>
  </si>
  <si>
    <t>0011i000001xnkY</t>
  </si>
  <si>
    <t>0011i000001xnxL</t>
  </si>
  <si>
    <t>Sheraton Medical Clinic</t>
  </si>
  <si>
    <t>#01-843</t>
  </si>
  <si>
    <t>200955</t>
  </si>
  <si>
    <t>0011i000001xmoo</t>
  </si>
  <si>
    <t>3 Mt Elizabeth #13-14</t>
  </si>
  <si>
    <t>0011i000001xnK9</t>
  </si>
  <si>
    <t>0011i000001xnWt</t>
  </si>
  <si>
    <t>Blk 232 Ang Mo Kio Avenue 3</t>
  </si>
  <si>
    <t>#01-1208</t>
  </si>
  <si>
    <t>201423</t>
  </si>
  <si>
    <t>560232</t>
  </si>
  <si>
    <t>0011i000001xo4r</t>
  </si>
  <si>
    <t>0011i000001xmi9</t>
  </si>
  <si>
    <t>#03-09 Thomson Plaza</t>
  </si>
  <si>
    <t>200790</t>
  </si>
  <si>
    <t>0011i000001xn1O</t>
  </si>
  <si>
    <t>3 Mt Elizabeth #12-08</t>
  </si>
  <si>
    <t>0011i000001xo7Z</t>
  </si>
  <si>
    <t>0011i000001xnkE</t>
  </si>
  <si>
    <t>0011i000001xnxP</t>
  </si>
  <si>
    <t>0011i000001xoMp</t>
  </si>
  <si>
    <t>ML Yeap Clinic For Women</t>
  </si>
  <si>
    <t>0011i000001xnph</t>
  </si>
  <si>
    <t>0011i000001xnxQ</t>
  </si>
  <si>
    <t>Rapha Medical Centre</t>
  </si>
  <si>
    <t>Blk 88 Circuit Road</t>
  </si>
  <si>
    <t>#01-971</t>
  </si>
  <si>
    <t>370088</t>
  </si>
  <si>
    <t>0011i000001xoic</t>
  </si>
  <si>
    <t>0011i000001xoCb</t>
  </si>
  <si>
    <t>S.Y. Ng Clinic</t>
  </si>
  <si>
    <t>0011i000001xnrs</t>
  </si>
  <si>
    <t>0011i000001xoE0</t>
  </si>
  <si>
    <t>0011i000001xoPy</t>
  </si>
  <si>
    <t>Centre For Orthopaedics</t>
  </si>
  <si>
    <t>0011i000001xogh</t>
  </si>
  <si>
    <t>Northeast Health International</t>
  </si>
  <si>
    <t>0011i000001xo7a</t>
  </si>
  <si>
    <t>0011i000001xoWC</t>
  </si>
  <si>
    <t>0011i000001xoS1</t>
  </si>
  <si>
    <t>0011i000001xnxW</t>
  </si>
  <si>
    <t>Berlin Medical Hall</t>
  </si>
  <si>
    <t>0011i000001xo5q</t>
  </si>
  <si>
    <t>0011i000001xosg</t>
  </si>
  <si>
    <t>0011i000001xoJ2</t>
  </si>
  <si>
    <t>0011i000001xoEm</t>
  </si>
  <si>
    <t>0011i000007DNJE</t>
  </si>
  <si>
    <t>0011i000001xoOB</t>
  </si>
  <si>
    <t>0011i000001xo7b</t>
  </si>
  <si>
    <t>Brian Yeo Clinic</t>
  </si>
  <si>
    <t>0011i000001xnxY</t>
  </si>
  <si>
    <t>KC Yeo Clinic &amp; Surgery For Women</t>
  </si>
  <si>
    <t>0011i000001xnxZ</t>
  </si>
  <si>
    <t>Yeo Clinic</t>
  </si>
  <si>
    <t>134 Bukit Batok West Ave 6</t>
  </si>
  <si>
    <t>650134</t>
  </si>
  <si>
    <t>0011i000001xoMt</t>
  </si>
  <si>
    <t>Canterbury Medical Centre</t>
  </si>
  <si>
    <t>0011i000001xoHu</t>
  </si>
  <si>
    <t>0011i000001xoBb</t>
  </si>
  <si>
    <t>0011i000001xo7c</t>
  </si>
  <si>
    <t>0011i000001xohQ</t>
  </si>
  <si>
    <t>0011i000001xoWw</t>
  </si>
  <si>
    <t>0011i000001xogy</t>
  </si>
  <si>
    <t>0011i000001xnxc</t>
  </si>
  <si>
    <t>0011i000001xnxg</t>
  </si>
  <si>
    <t>200037</t>
  </si>
  <si>
    <t>0011i000001xnxk</t>
  </si>
  <si>
    <t>Yeo Seem Huat Psychiatric Clinic Pte Ltd</t>
  </si>
  <si>
    <t>#06-10 Paragon</t>
  </si>
  <si>
    <t>200926</t>
  </si>
  <si>
    <t>0011i000001xo7g</t>
  </si>
  <si>
    <t>0011i000001xoGB</t>
  </si>
  <si>
    <t>Drs Koo Loh &amp; Fok Pte Ltd</t>
  </si>
  <si>
    <t>14 Telepark Crescent</t>
  </si>
  <si>
    <t>638118</t>
  </si>
  <si>
    <t>0011i000001xorD</t>
  </si>
  <si>
    <t>0011i000001xnYW</t>
  </si>
  <si>
    <t>Blk 354 Clementi Avenue 4</t>
  </si>
  <si>
    <t>#01-221</t>
  </si>
  <si>
    <t>120354</t>
  </si>
  <si>
    <t>0011i000001xocH</t>
  </si>
  <si>
    <t>0011i000001xnxo</t>
  </si>
  <si>
    <t>3 Mt Elizabeth #11-13/15</t>
  </si>
  <si>
    <t>Ear, Nose &amp; Throat &amp; Allergy Clinic</t>
  </si>
  <si>
    <t>0011i000001xoMd</t>
  </si>
  <si>
    <t>0011i000001xobE</t>
  </si>
  <si>
    <t>0011i000001xnxr</t>
  </si>
  <si>
    <t>Yeoh Swee Inn Endocrine &amp; Medical Clinic</t>
  </si>
  <si>
    <t>#07-10 Gleneagles Medical Centre</t>
  </si>
  <si>
    <t>201427</t>
  </si>
  <si>
    <t>0011i000001xmiC</t>
  </si>
  <si>
    <t>0011i000001xnAh</t>
  </si>
  <si>
    <t>101 Irrawaddy Road #13-06</t>
  </si>
  <si>
    <t>Royal Square @ Novena</t>
  </si>
  <si>
    <t>0011i000001xoBi</t>
  </si>
  <si>
    <t>#15-05 Shaw House</t>
  </si>
  <si>
    <t>0011i000001xnX2</t>
  </si>
  <si>
    <t>0011i000001xnWd</t>
  </si>
  <si>
    <t>#06-05 Mount Elizabeth Medical Centre</t>
  </si>
  <si>
    <t>201484</t>
  </si>
  <si>
    <t>0011i000001xnfW</t>
  </si>
  <si>
    <t>0011i000001xn85</t>
  </si>
  <si>
    <t>612 Clementi West Street 1</t>
  </si>
  <si>
    <t>#01-302</t>
  </si>
  <si>
    <t>200344</t>
  </si>
  <si>
    <t>120612</t>
  </si>
  <si>
    <t>0011i000001xnRg</t>
  </si>
  <si>
    <t>#03-02 Mount Elizabeth Medical Centre</t>
  </si>
  <si>
    <t>202591</t>
  </si>
  <si>
    <t>0011i000001xnxz</t>
  </si>
  <si>
    <t>0011i000001xoHy</t>
  </si>
  <si>
    <t>Yim Medical Centre</t>
  </si>
  <si>
    <t>678 Woodlands Ave 6</t>
  </si>
  <si>
    <t>804691</t>
  </si>
  <si>
    <t>0011i000001xny1</t>
  </si>
  <si>
    <t>Yim Clinic &amp; Surgery</t>
  </si>
  <si>
    <t>Blk 11A Boon Tiong Road</t>
  </si>
  <si>
    <t>#02-03/04</t>
  </si>
  <si>
    <t>161011</t>
  </si>
  <si>
    <t>0011i000001xn0x</t>
  </si>
  <si>
    <t>38 Irrawady Road #07-39</t>
  </si>
  <si>
    <t>0011i000001xnFW</t>
  </si>
  <si>
    <t>0011i000001xoYI</t>
  </si>
  <si>
    <t>0011i000001xoPM</t>
  </si>
  <si>
    <t>0011i000001xnqg</t>
  </si>
  <si>
    <t>Singapore Sports and Orthopaedic Clinic</t>
  </si>
  <si>
    <t>#02-12</t>
  </si>
  <si>
    <t>0011i000001xny2</t>
  </si>
  <si>
    <t>Kranji Medical Clinic</t>
  </si>
  <si>
    <t>0011i000001xoYR</t>
  </si>
  <si>
    <t>0011i000001xoXn</t>
  </si>
  <si>
    <t>0011i000001xn9R</t>
  </si>
  <si>
    <t>0011i000001xmwQ</t>
  </si>
  <si>
    <t>Blk 747 Yishun Street 72</t>
  </si>
  <si>
    <t>200707</t>
  </si>
  <si>
    <t>760747</t>
  </si>
  <si>
    <t>0011i000001xnVl</t>
  </si>
  <si>
    <t>0011i000001xmkm</t>
  </si>
  <si>
    <t>0011i000001xmrC</t>
  </si>
  <si>
    <t>0011i000001xnmC</t>
  </si>
  <si>
    <t>The Clinic @ Tai Seng</t>
  </si>
  <si>
    <t>0011i000002IdAG</t>
  </si>
  <si>
    <t>0011i000001xo4e</t>
  </si>
  <si>
    <t>0011i000001xny3</t>
  </si>
  <si>
    <t>Yong Clinic &amp; Surgery</t>
  </si>
  <si>
    <t>Blk 632 Yishun Street 61</t>
  </si>
  <si>
    <t>200924</t>
  </si>
  <si>
    <t>760632</t>
  </si>
  <si>
    <t>0011i000001xoWV</t>
  </si>
  <si>
    <t>0011i000001xny4</t>
  </si>
  <si>
    <t>0011i000001xoSi</t>
  </si>
  <si>
    <t>0011i00000pb5I5</t>
  </si>
  <si>
    <t>0011i000001xoYO</t>
  </si>
  <si>
    <t>0011i000001xnsF</t>
  </si>
  <si>
    <t>0011i000001xny5</t>
  </si>
  <si>
    <t>Lavender Medical Clinic</t>
  </si>
  <si>
    <t>0011i000001xoOd</t>
  </si>
  <si>
    <t>0011i000001xoBn</t>
  </si>
  <si>
    <t>0011i000001xoSs</t>
  </si>
  <si>
    <t>0011i000001xo7p</t>
  </si>
  <si>
    <t>0011i000001xnxm</t>
  </si>
  <si>
    <t>0011i000001xo7q</t>
  </si>
  <si>
    <t>0011i000001xoHJ</t>
  </si>
  <si>
    <t>Restore Heart Centre</t>
  </si>
  <si>
    <t>0011i000001xoJZ</t>
  </si>
  <si>
    <t>0011i000001xn33</t>
  </si>
  <si>
    <t>0011i000001xoDE</t>
  </si>
  <si>
    <t>Rheumatology Associates Pte Ltd</t>
  </si>
  <si>
    <t>202541</t>
  </si>
  <si>
    <t>0011i000001xny9</t>
  </si>
  <si>
    <t>Yoong Family Clinic &amp; Surgery</t>
  </si>
  <si>
    <t>Blk 333 Tampines Street 32</t>
  </si>
  <si>
    <t>#01-536</t>
  </si>
  <si>
    <t>201768</t>
  </si>
  <si>
    <t>520333</t>
  </si>
  <si>
    <t>0011i000001xoYc</t>
  </si>
  <si>
    <t>0011i000001xnyA</t>
  </si>
  <si>
    <t>Blk 531 Ang Mo Kio Ave 10</t>
  </si>
  <si>
    <t>0011i000001xnX6</t>
  </si>
  <si>
    <t>0011i000001xnR5</t>
  </si>
  <si>
    <t>Blk 5 Upper Aljunied Lane</t>
  </si>
  <si>
    <t>#01-42</t>
  </si>
  <si>
    <t>202309</t>
  </si>
  <si>
    <t>360005</t>
  </si>
  <si>
    <t>0011i000001xncG</t>
  </si>
  <si>
    <t>0011i000001xnLd</t>
  </si>
  <si>
    <t>820 Thomson Road #06-60</t>
  </si>
  <si>
    <t>201968</t>
  </si>
  <si>
    <t>0011i000001xn2v</t>
  </si>
  <si>
    <t>202092</t>
  </si>
  <si>
    <t>0011i000001xnU8</t>
  </si>
  <si>
    <t>0011i000001xnMB</t>
  </si>
  <si>
    <t>202937</t>
  </si>
  <si>
    <t>0011i000001xncd</t>
  </si>
  <si>
    <t>201B Tampines Street 21</t>
  </si>
  <si>
    <t>#01-1067</t>
  </si>
  <si>
    <t>200811</t>
  </si>
  <si>
    <t>0011i000001xnls</t>
  </si>
  <si>
    <t>0011i000001xoeB</t>
  </si>
  <si>
    <t>0011i000001xoHZ</t>
  </si>
  <si>
    <t>Chong's Clinic</t>
  </si>
  <si>
    <t>0011i000001xoJK</t>
  </si>
  <si>
    <t>0011i000001xnuY</t>
  </si>
  <si>
    <t>Atlas Medical Clinic Pte Ltd</t>
  </si>
  <si>
    <t>0011i000001xnlV</t>
  </si>
  <si>
    <t>0011i000001xoL4</t>
  </si>
  <si>
    <t>0011i000001xoh2</t>
  </si>
  <si>
    <t>Singapore mSports &amp; Orthopaedic Clinic</t>
  </si>
  <si>
    <t>0011i000001xnBe</t>
  </si>
  <si>
    <t>Block 510 Bedok North Street 3</t>
  </si>
  <si>
    <t>200072</t>
  </si>
  <si>
    <t>0011i000001xnyG</t>
  </si>
  <si>
    <t>Countryside Clinic &amp; Surgery</t>
  </si>
  <si>
    <t>0011i000001xnpy</t>
  </si>
  <si>
    <t>0011i000001xn9p</t>
  </si>
  <si>
    <t>0011i00000Xf1Hz</t>
  </si>
  <si>
    <t>Parkway Cancer CTR</t>
  </si>
  <si>
    <t>3 Mount Elizabeth, #10-11/12</t>
  </si>
  <si>
    <t>0011i000001xnIR</t>
  </si>
  <si>
    <t>Blk 266C Punggol Way</t>
  </si>
  <si>
    <t>#01-374</t>
  </si>
  <si>
    <t>523266</t>
  </si>
  <si>
    <t>0011i000001xojL</t>
  </si>
  <si>
    <t>0011i000001xopo</t>
  </si>
  <si>
    <t>0011i000001xoqJ</t>
  </si>
  <si>
    <t>0011i00000pb5PP</t>
  </si>
  <si>
    <t>0011i00000S3HJC</t>
  </si>
  <si>
    <t>0011i00000oXwIz</t>
  </si>
  <si>
    <t>0011i000001xopx</t>
  </si>
  <si>
    <t>0011i000001xoZw</t>
  </si>
  <si>
    <t>Banyan Clinic (Jurong West)</t>
  </si>
  <si>
    <t>Blk 502 Jurong West Ave 1</t>
  </si>
  <si>
    <t>#01-805</t>
  </si>
  <si>
    <t>202479</t>
  </si>
  <si>
    <r>
      <rPr>
        <b/>
        <sz val="11"/>
        <rFont val="Calibri"/>
        <family val="2"/>
      </rPr>
      <t>Veeva ID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</si>
</sst>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indexed="8"/>
      <name val="Calibri"/>
      <family val="2"/>
      <scheme val="minor"/>
    </font>
    <font>
      <b/>
      <sz val="11"/>
      <name val="Calibri"/>
    </font>
    <font>
      <u/>
      <sz val="11"/>
      <color indexed="12"/>
      <name val="Calibri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059"/>
  <sheetViews>
    <sheetView tabSelected="1" workbookViewId="0">
      <selection activeCell="D10" sqref="D10"/>
    </sheetView>
  </sheetViews>
  <sheetFormatPr defaultRowHeight="15" x14ac:dyDescent="0.25"/>
  <cols>
    <col min="1" max="1" width="53.140625" bestFit="1" customWidth="1"/>
    <col min="2" max="2" width="19.7109375" bestFit="1" customWidth="1"/>
    <col min="3" max="3" width="5.28515625" bestFit="1" customWidth="1"/>
    <col min="4" max="4" width="55.140625" bestFit="1" customWidth="1"/>
    <col min="5" max="5" width="20.42578125" bestFit="1" customWidth="1"/>
    <col min="6" max="6" width="49.42578125" bestFit="1" customWidth="1"/>
    <col min="7" max="7" width="55.85546875" bestFit="1" customWidth="1"/>
    <col min="8" max="8" width="40.5703125" bestFit="1" customWidth="1"/>
    <col min="9" max="9" width="17.85546875" bestFit="1" customWidth="1"/>
  </cols>
  <sheetData>
    <row r="1" spans="1:9" x14ac:dyDescent="0.25">
      <c r="A1" t="s">
        <v>0</v>
      </c>
      <c r="B1" t="s">
        <v>10858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5">
      <c r="A2" s="1" t="str">
        <f>HYPERLINK("https://lynxcrm-apac--c.eu19.visual.force.com/0011i000001xn5UAAQ","100 Yishun Central")</f>
        <v>100 Yishun Central</v>
      </c>
      <c r="B2" t="s">
        <v>9</v>
      </c>
      <c r="C2" t="s">
        <v>10</v>
      </c>
      <c r="D2" t="s">
        <v>8</v>
      </c>
      <c r="E2" t="s">
        <v>8</v>
      </c>
      <c r="F2" t="s">
        <v>11</v>
      </c>
      <c r="G2" t="s">
        <v>12</v>
      </c>
      <c r="H2" t="s">
        <v>12</v>
      </c>
      <c r="I2" t="s">
        <v>13</v>
      </c>
    </row>
    <row r="3" spans="1:9" x14ac:dyDescent="0.25">
      <c r="A3" s="1" t="str">
        <f>HYPERLINK("https://lynxcrm-apac--c.eu19.visual.force.com/0011i000001xmfqAAA","100 Yishun Central")</f>
        <v>100 Yishun Central</v>
      </c>
      <c r="B3" t="s">
        <v>14</v>
      </c>
      <c r="C3" t="s">
        <v>10</v>
      </c>
      <c r="D3" t="s">
        <v>8</v>
      </c>
      <c r="E3" t="s">
        <v>8</v>
      </c>
      <c r="F3" t="s">
        <v>11</v>
      </c>
      <c r="G3" t="s">
        <v>12</v>
      </c>
      <c r="H3" t="s">
        <v>12</v>
      </c>
      <c r="I3" t="s">
        <v>13</v>
      </c>
    </row>
    <row r="4" spans="1:9" x14ac:dyDescent="0.25">
      <c r="A4" s="1" t="str">
        <f>HYPERLINK("https://lynxcrm-apac--c.eu19.visual.force.com/0011i000001xmrYAAQ","106 Yishun Ring Road")</f>
        <v>106 Yishun Ring Road</v>
      </c>
      <c r="B4" t="s">
        <v>15</v>
      </c>
      <c r="C4" t="s">
        <v>10</v>
      </c>
      <c r="D4" t="s">
        <v>8</v>
      </c>
      <c r="E4" t="s">
        <v>8</v>
      </c>
      <c r="F4" t="s">
        <v>16</v>
      </c>
      <c r="G4" t="s">
        <v>17</v>
      </c>
      <c r="H4" t="s">
        <v>17</v>
      </c>
      <c r="I4" t="s">
        <v>18</v>
      </c>
    </row>
    <row r="5" spans="1:9" x14ac:dyDescent="0.25">
      <c r="A5" s="1" t="str">
        <f>HYPERLINK("https://lynxcrm-apac--c.eu19.visual.force.com/0011i000001xmr5AAA","10 Woodlands  St 21")</f>
        <v>10 Woodlands  St 21</v>
      </c>
      <c r="B5" t="s">
        <v>19</v>
      </c>
      <c r="C5" t="s">
        <v>10</v>
      </c>
      <c r="D5" t="s">
        <v>8</v>
      </c>
      <c r="E5" t="s">
        <v>8</v>
      </c>
      <c r="F5" t="s">
        <v>20</v>
      </c>
      <c r="G5" t="s">
        <v>21</v>
      </c>
      <c r="H5" t="s">
        <v>21</v>
      </c>
      <c r="I5" t="s">
        <v>22</v>
      </c>
    </row>
    <row r="6" spans="1:9" x14ac:dyDescent="0.25">
      <c r="A6" s="1" t="str">
        <f>HYPERLINK("https://lynxcrm-apac--c.eu19.visual.force.com/0011i000001xnYsAAI","10 Woodlands  St 21")</f>
        <v>10 Woodlands  St 21</v>
      </c>
      <c r="B6" t="s">
        <v>23</v>
      </c>
      <c r="C6" t="s">
        <v>10</v>
      </c>
      <c r="D6" t="s">
        <v>8</v>
      </c>
      <c r="E6" t="s">
        <v>8</v>
      </c>
      <c r="F6" t="s">
        <v>20</v>
      </c>
      <c r="G6" t="s">
        <v>21</v>
      </c>
      <c r="H6" t="s">
        <v>21</v>
      </c>
      <c r="I6" t="s">
        <v>22</v>
      </c>
    </row>
    <row r="7" spans="1:9" x14ac:dyDescent="0.25">
      <c r="A7" s="1" t="str">
        <f>HYPERLINK("https://lynxcrm-apac--c.eu19.visual.force.com/0011i000001xmq9AAA","10 Woodlands  St 21")</f>
        <v>10 Woodlands  St 21</v>
      </c>
      <c r="B7" t="s">
        <v>24</v>
      </c>
      <c r="C7" t="s">
        <v>10</v>
      </c>
      <c r="D7" t="s">
        <v>8</v>
      </c>
      <c r="E7" t="s">
        <v>8</v>
      </c>
      <c r="F7" t="s">
        <v>20</v>
      </c>
      <c r="G7" t="s">
        <v>21</v>
      </c>
      <c r="H7" t="s">
        <v>21</v>
      </c>
      <c r="I7" t="s">
        <v>22</v>
      </c>
    </row>
    <row r="8" spans="1:9" x14ac:dyDescent="0.25">
      <c r="A8" s="1" t="str">
        <f>HYPERLINK("https://lynxcrm-apac--c.eu19.visual.force.com/0011i000001xnPjAAI","10 Woodlands  St 21")</f>
        <v>10 Woodlands  St 21</v>
      </c>
      <c r="B8" t="s">
        <v>25</v>
      </c>
      <c r="C8" t="s">
        <v>10</v>
      </c>
      <c r="D8" t="s">
        <v>8</v>
      </c>
      <c r="E8" t="s">
        <v>8</v>
      </c>
      <c r="F8" t="s">
        <v>20</v>
      </c>
      <c r="G8" t="s">
        <v>21</v>
      </c>
      <c r="H8" t="s">
        <v>21</v>
      </c>
      <c r="I8" t="s">
        <v>22</v>
      </c>
    </row>
    <row r="9" spans="1:9" x14ac:dyDescent="0.25">
      <c r="A9" s="1" t="str">
        <f>HYPERLINK("https://lynxcrm-apac--c.eu19.visual.force.com/0011i000001xnS3AAI","10 Woodlands  St 21")</f>
        <v>10 Woodlands  St 21</v>
      </c>
      <c r="B9" t="s">
        <v>26</v>
      </c>
      <c r="C9" t="s">
        <v>10</v>
      </c>
      <c r="D9" t="s">
        <v>8</v>
      </c>
      <c r="E9" t="s">
        <v>8</v>
      </c>
      <c r="F9" t="s">
        <v>20</v>
      </c>
      <c r="G9" t="s">
        <v>21</v>
      </c>
      <c r="H9" t="s">
        <v>21</v>
      </c>
      <c r="I9" t="s">
        <v>22</v>
      </c>
    </row>
    <row r="10" spans="1:9" x14ac:dyDescent="0.25">
      <c r="A10" s="1" t="str">
        <f>HYPERLINK("https://lynxcrm-apac--c.eu19.visual.force.com/0011i000001xnQuAAI","149 Rochor Road")</f>
        <v>149 Rochor Road</v>
      </c>
      <c r="B10" t="s">
        <v>27</v>
      </c>
      <c r="C10" t="s">
        <v>28</v>
      </c>
      <c r="D10" t="s">
        <v>8</v>
      </c>
      <c r="E10" t="s">
        <v>8</v>
      </c>
      <c r="F10" t="s">
        <v>29</v>
      </c>
      <c r="G10" t="s">
        <v>30</v>
      </c>
      <c r="H10" t="s">
        <v>31</v>
      </c>
      <c r="I10" t="s">
        <v>32</v>
      </c>
    </row>
    <row r="11" spans="1:9" x14ac:dyDescent="0.25">
      <c r="A11" s="1" t="str">
        <f>HYPERLINK("https://lynxcrm-apac--c.eu19.visual.force.com/0011i000001xmbzAAA","18 Clinic")</f>
        <v>18 Clinic</v>
      </c>
      <c r="B11" t="s">
        <v>33</v>
      </c>
      <c r="C11" t="s">
        <v>10</v>
      </c>
      <c r="D11" t="s">
        <v>8</v>
      </c>
      <c r="E11" t="s">
        <v>8</v>
      </c>
      <c r="F11" t="s">
        <v>34</v>
      </c>
      <c r="G11" t="s">
        <v>35</v>
      </c>
      <c r="H11" t="s">
        <v>35</v>
      </c>
      <c r="I11" t="s">
        <v>36</v>
      </c>
    </row>
    <row r="12" spans="1:9" x14ac:dyDescent="0.25">
      <c r="A12" s="1" t="str">
        <f>HYPERLINK("https://lynxcrm-apac--c.eu19.visual.force.com/0011i000001xnQ4AAI","18 Clinic")</f>
        <v>18 Clinic</v>
      </c>
      <c r="B12" t="s">
        <v>37</v>
      </c>
      <c r="C12" t="s">
        <v>10</v>
      </c>
      <c r="D12" t="s">
        <v>8</v>
      </c>
      <c r="E12" t="s">
        <v>8</v>
      </c>
      <c r="F12" t="s">
        <v>38</v>
      </c>
      <c r="G12" t="s">
        <v>35</v>
      </c>
      <c r="H12" t="s">
        <v>35</v>
      </c>
      <c r="I12" t="s">
        <v>36</v>
      </c>
    </row>
    <row r="13" spans="1:9" x14ac:dyDescent="0.25">
      <c r="A13" s="1" t="str">
        <f>HYPERLINK("https://lynxcrm-apac--c.eu19.visual.force.com/0011i000001xndQAAQ","18 Clinic")</f>
        <v>18 Clinic</v>
      </c>
      <c r="B13" t="s">
        <v>39</v>
      </c>
      <c r="C13" t="s">
        <v>10</v>
      </c>
      <c r="D13" t="s">
        <v>8</v>
      </c>
      <c r="E13" t="s">
        <v>8</v>
      </c>
      <c r="F13" t="s">
        <v>34</v>
      </c>
      <c r="G13" t="s">
        <v>35</v>
      </c>
      <c r="H13" t="s">
        <v>35</v>
      </c>
      <c r="I13" t="s">
        <v>36</v>
      </c>
    </row>
    <row r="14" spans="1:9" x14ac:dyDescent="0.25">
      <c r="A14" s="1" t="str">
        <f>HYPERLINK("https://lynxcrm-apac--c.eu19.visual.force.com/0011i000001xmm8AAA","190 Clemenceau Ave #05-22")</f>
        <v>190 Clemenceau Ave #05-22</v>
      </c>
      <c r="B14" t="s">
        <v>40</v>
      </c>
      <c r="C14" t="s">
        <v>10</v>
      </c>
      <c r="D14" t="s">
        <v>8</v>
      </c>
      <c r="E14" t="s">
        <v>8</v>
      </c>
      <c r="F14" t="s">
        <v>41</v>
      </c>
      <c r="G14" t="s">
        <v>42</v>
      </c>
      <c r="H14" t="s">
        <v>42</v>
      </c>
      <c r="I14" t="s">
        <v>43</v>
      </c>
    </row>
    <row r="15" spans="1:9" x14ac:dyDescent="0.25">
      <c r="A15" s="1" t="str">
        <f>HYPERLINK("https://lynxcrm-apac--c.eu19.visual.force.com/0011i000001xnDUAAY","19 Tanglin Road #05-04")</f>
        <v>19 Tanglin Road #05-04</v>
      </c>
      <c r="B15" t="s">
        <v>44</v>
      </c>
      <c r="C15" t="s">
        <v>10</v>
      </c>
      <c r="D15" t="s">
        <v>8</v>
      </c>
      <c r="E15" t="s">
        <v>8</v>
      </c>
      <c r="F15" t="s">
        <v>45</v>
      </c>
      <c r="G15" t="s">
        <v>46</v>
      </c>
      <c r="H15" t="s">
        <v>46</v>
      </c>
      <c r="I15" t="s">
        <v>47</v>
      </c>
    </row>
    <row r="16" spans="1:9" x14ac:dyDescent="0.25">
      <c r="A16" s="1" t="str">
        <f>HYPERLINK("https://lynxcrm-apac--c.eu19.visual.force.com/0011i000001xn4dAAA","1 Orchard Boulevard #09-02")</f>
        <v>1 Orchard Boulevard #09-02</v>
      </c>
      <c r="B16" t="s">
        <v>48</v>
      </c>
      <c r="C16" t="s">
        <v>10</v>
      </c>
      <c r="D16" t="s">
        <v>8</v>
      </c>
      <c r="E16" t="s">
        <v>8</v>
      </c>
      <c r="F16" t="s">
        <v>49</v>
      </c>
      <c r="G16" t="s">
        <v>50</v>
      </c>
      <c r="H16" t="s">
        <v>50</v>
      </c>
      <c r="I16" t="s">
        <v>51</v>
      </c>
    </row>
    <row r="17" spans="1:9" x14ac:dyDescent="0.25">
      <c r="A17" s="1" t="str">
        <f>HYPERLINK("https://lynxcrm-apac--c.eu19.visual.force.com/0011i000001xmrDAAQ","2003 Lor 8 Toa Payoh")</f>
        <v>2003 Lor 8 Toa Payoh</v>
      </c>
      <c r="B17" t="s">
        <v>52</v>
      </c>
      <c r="C17" t="s">
        <v>10</v>
      </c>
      <c r="D17" t="s">
        <v>8</v>
      </c>
      <c r="E17" t="s">
        <v>8</v>
      </c>
      <c r="F17" t="s">
        <v>53</v>
      </c>
      <c r="G17" t="s">
        <v>54</v>
      </c>
      <c r="H17" t="s">
        <v>54</v>
      </c>
      <c r="I17" t="s">
        <v>55</v>
      </c>
    </row>
    <row r="18" spans="1:9" x14ac:dyDescent="0.25">
      <c r="A18" s="1" t="str">
        <f>HYPERLINK("https://lynxcrm-apac--c.eu19.visual.force.com/0011i000001xn29AAA","21 Geylang East Central")</f>
        <v>21 Geylang East Central</v>
      </c>
      <c r="B18" t="s">
        <v>56</v>
      </c>
      <c r="C18" t="s">
        <v>10</v>
      </c>
      <c r="D18" t="s">
        <v>8</v>
      </c>
      <c r="E18" t="s">
        <v>8</v>
      </c>
      <c r="F18" t="s">
        <v>57</v>
      </c>
      <c r="G18" t="s">
        <v>58</v>
      </c>
      <c r="H18" t="s">
        <v>58</v>
      </c>
      <c r="I18" t="s">
        <v>59</v>
      </c>
    </row>
    <row r="19" spans="1:9" x14ac:dyDescent="0.25">
      <c r="A19" s="1" t="str">
        <f>HYPERLINK("https://lynxcrm-apac--c.eu19.visual.force.com/0011i000001xnSKAAY","21 Geylang East Central")</f>
        <v>21 Geylang East Central</v>
      </c>
      <c r="B19" t="s">
        <v>60</v>
      </c>
      <c r="C19" t="s">
        <v>10</v>
      </c>
      <c r="D19" t="s">
        <v>8</v>
      </c>
      <c r="E19" t="s">
        <v>8</v>
      </c>
      <c r="F19" t="s">
        <v>57</v>
      </c>
      <c r="G19" t="s">
        <v>58</v>
      </c>
      <c r="H19" t="s">
        <v>58</v>
      </c>
      <c r="I19" t="s">
        <v>59</v>
      </c>
    </row>
    <row r="20" spans="1:9" x14ac:dyDescent="0.25">
      <c r="A20" s="1" t="str">
        <f>HYPERLINK("https://lynxcrm-apac--c.eu19.visual.force.com/0011i000001xmnmAAA","21 Geylang East Central")</f>
        <v>21 Geylang East Central</v>
      </c>
      <c r="B20" t="s">
        <v>61</v>
      </c>
      <c r="C20" t="s">
        <v>10</v>
      </c>
      <c r="D20" t="s">
        <v>8</v>
      </c>
      <c r="E20" t="s">
        <v>8</v>
      </c>
      <c r="F20" t="s">
        <v>57</v>
      </c>
      <c r="G20" t="s">
        <v>58</v>
      </c>
      <c r="H20" t="s">
        <v>58</v>
      </c>
      <c r="I20" t="s">
        <v>59</v>
      </c>
    </row>
    <row r="21" spans="1:9" x14ac:dyDescent="0.25">
      <c r="A21" s="1" t="str">
        <f>HYPERLINK("https://lynxcrm-apac--c.eu19.visual.force.com/0011i000001xmuLAAQ","21 Geylang East Central")</f>
        <v>21 Geylang East Central</v>
      </c>
      <c r="B21" t="s">
        <v>62</v>
      </c>
      <c r="C21" t="s">
        <v>10</v>
      </c>
      <c r="D21" t="s">
        <v>8</v>
      </c>
      <c r="E21" t="s">
        <v>8</v>
      </c>
      <c r="F21" t="s">
        <v>57</v>
      </c>
      <c r="G21" t="s">
        <v>58</v>
      </c>
      <c r="H21" t="s">
        <v>58</v>
      </c>
      <c r="I21" t="s">
        <v>59</v>
      </c>
    </row>
    <row r="22" spans="1:9" x14ac:dyDescent="0.25">
      <c r="A22" s="1" t="str">
        <f>HYPERLINK("https://lynxcrm-apac--c.eu19.visual.force.com/0011i000001xmhwAAA","24-Hour Medical Walk-In Clinic")</f>
        <v>24-Hour Medical Walk-In Clinic</v>
      </c>
      <c r="B22" t="s">
        <v>63</v>
      </c>
      <c r="C22" t="s">
        <v>10</v>
      </c>
      <c r="D22" t="s">
        <v>8</v>
      </c>
      <c r="E22" t="s">
        <v>8</v>
      </c>
      <c r="F22" t="s">
        <v>64</v>
      </c>
      <c r="G22" t="s">
        <v>65</v>
      </c>
      <c r="H22" t="s">
        <v>66</v>
      </c>
      <c r="I22" t="s">
        <v>67</v>
      </c>
    </row>
    <row r="23" spans="1:9" x14ac:dyDescent="0.25">
      <c r="A23" s="1" t="str">
        <f>HYPERLINK("https://lynxcrm-apac--c.eu19.visual.force.com/0011i000001xmi5AAA","24-Hour Medical Walk-In Clinic")</f>
        <v>24-Hour Medical Walk-In Clinic</v>
      </c>
      <c r="B23" t="s">
        <v>68</v>
      </c>
      <c r="C23" t="s">
        <v>10</v>
      </c>
      <c r="D23" t="s">
        <v>8</v>
      </c>
      <c r="E23" t="s">
        <v>8</v>
      </c>
      <c r="F23" t="s">
        <v>69</v>
      </c>
      <c r="G23" t="s">
        <v>65</v>
      </c>
      <c r="H23" t="s">
        <v>66</v>
      </c>
      <c r="I23" t="s">
        <v>67</v>
      </c>
    </row>
    <row r="24" spans="1:9" x14ac:dyDescent="0.25">
      <c r="A24" s="1" t="str">
        <f>HYPERLINK("https://lynxcrm-apac--c.eu19.visual.force.com/0011i000001xmvNAAQ","24-Hour Medical Walk-In Clinic")</f>
        <v>24-Hour Medical Walk-In Clinic</v>
      </c>
      <c r="B24" t="s">
        <v>70</v>
      </c>
      <c r="C24" t="s">
        <v>10</v>
      </c>
      <c r="D24" t="s">
        <v>8</v>
      </c>
      <c r="E24" t="s">
        <v>8</v>
      </c>
      <c r="F24" t="s">
        <v>64</v>
      </c>
      <c r="G24" t="s">
        <v>65</v>
      </c>
      <c r="H24" t="s">
        <v>66</v>
      </c>
      <c r="I24" t="s">
        <v>71</v>
      </c>
    </row>
    <row r="25" spans="1:9" x14ac:dyDescent="0.25">
      <c r="A25" s="1" t="str">
        <f>HYPERLINK("https://lynxcrm-apac--c.eu19.visual.force.com/0011i000001xmhuAAA","24-Hour Medical Walk-In Clinic")</f>
        <v>24-Hour Medical Walk-In Clinic</v>
      </c>
      <c r="B25" t="s">
        <v>72</v>
      </c>
      <c r="C25" t="s">
        <v>10</v>
      </c>
      <c r="D25" t="s">
        <v>8</v>
      </c>
      <c r="E25" t="s">
        <v>8</v>
      </c>
      <c r="F25" t="s">
        <v>64</v>
      </c>
      <c r="G25" t="s">
        <v>65</v>
      </c>
      <c r="H25" t="s">
        <v>66</v>
      </c>
      <c r="I25" t="s">
        <v>67</v>
      </c>
    </row>
    <row r="26" spans="1:9" x14ac:dyDescent="0.25">
      <c r="A26" s="1" t="str">
        <f>HYPERLINK("https://lynxcrm-apac--c.eu19.visual.force.com/0011i000001xmi7AAA","24-Hour Medical Walk-In Clinic")</f>
        <v>24-Hour Medical Walk-In Clinic</v>
      </c>
      <c r="B26" t="s">
        <v>73</v>
      </c>
      <c r="C26" t="s">
        <v>10</v>
      </c>
      <c r="D26" t="s">
        <v>8</v>
      </c>
      <c r="E26" t="s">
        <v>8</v>
      </c>
      <c r="F26" t="s">
        <v>64</v>
      </c>
      <c r="G26" t="s">
        <v>65</v>
      </c>
      <c r="H26" t="s">
        <v>66</v>
      </c>
      <c r="I26" t="s">
        <v>67</v>
      </c>
    </row>
    <row r="27" spans="1:9" x14ac:dyDescent="0.25">
      <c r="A27" s="1" t="str">
        <f>HYPERLINK("https://lynxcrm-apac--c.eu19.visual.force.com/0011i000001xmgTAAQ","258 Pasir Ris Street 21")</f>
        <v>258 Pasir Ris Street 21</v>
      </c>
      <c r="B27" t="s">
        <v>74</v>
      </c>
      <c r="C27" t="s">
        <v>28</v>
      </c>
      <c r="D27" t="s">
        <v>8</v>
      </c>
      <c r="E27" t="s">
        <v>8</v>
      </c>
      <c r="F27" t="s">
        <v>75</v>
      </c>
      <c r="G27" t="s">
        <v>76</v>
      </c>
      <c r="H27" t="s">
        <v>76</v>
      </c>
      <c r="I27" t="s">
        <v>77</v>
      </c>
    </row>
    <row r="28" spans="1:9" x14ac:dyDescent="0.25">
      <c r="A28" s="1" t="str">
        <f>HYPERLINK("https://lynxcrm-apac--c.eu19.visual.force.com/0011i000001xnKxAAI","289E Medical Clinic")</f>
        <v>289E Medical Clinic</v>
      </c>
      <c r="B28" t="s">
        <v>78</v>
      </c>
      <c r="C28" t="s">
        <v>10</v>
      </c>
      <c r="D28" t="s">
        <v>8</v>
      </c>
      <c r="E28" t="s">
        <v>8</v>
      </c>
      <c r="F28" t="s">
        <v>79</v>
      </c>
      <c r="G28" t="s">
        <v>80</v>
      </c>
      <c r="H28" t="s">
        <v>80</v>
      </c>
      <c r="I28" t="s">
        <v>81</v>
      </c>
    </row>
    <row r="29" spans="1:9" x14ac:dyDescent="0.25">
      <c r="A29" s="1" t="str">
        <f>HYPERLINK("https://lynxcrm-apac--c.eu19.visual.force.com/0011i000001xn73AAA","290 Orchard Road #08-02")</f>
        <v>290 Orchard Road #08-02</v>
      </c>
      <c r="B29" t="s">
        <v>82</v>
      </c>
      <c r="C29" t="s">
        <v>10</v>
      </c>
      <c r="D29" t="s">
        <v>8</v>
      </c>
      <c r="E29" t="s">
        <v>8</v>
      </c>
      <c r="F29" t="s">
        <v>83</v>
      </c>
      <c r="G29" t="s">
        <v>84</v>
      </c>
      <c r="H29" t="s">
        <v>84</v>
      </c>
      <c r="I29" t="s">
        <v>85</v>
      </c>
    </row>
    <row r="30" spans="1:9" x14ac:dyDescent="0.25">
      <c r="A30" s="1" t="str">
        <f>HYPERLINK("https://lynxcrm-apac--c.eu19.visual.force.com/0011i000001xmxRAAQ","290 Orchard Road #10-01")</f>
        <v>290 Orchard Road #10-01</v>
      </c>
      <c r="B30" t="s">
        <v>86</v>
      </c>
      <c r="C30" t="s">
        <v>10</v>
      </c>
      <c r="D30" t="s">
        <v>8</v>
      </c>
      <c r="E30" t="s">
        <v>8</v>
      </c>
      <c r="F30" t="s">
        <v>87</v>
      </c>
      <c r="G30" t="s">
        <v>88</v>
      </c>
      <c r="H30" t="s">
        <v>88</v>
      </c>
      <c r="I30" t="s">
        <v>85</v>
      </c>
    </row>
    <row r="31" spans="1:9" x14ac:dyDescent="0.25">
      <c r="A31" s="1" t="str">
        <f>HYPERLINK("https://lynxcrm-apac--c.eu19.visual.force.com/0011i000001xn5BAAQ","2 Teck Whye Crescent")</f>
        <v>2 Teck Whye Crescent</v>
      </c>
      <c r="B31" t="s">
        <v>89</v>
      </c>
      <c r="C31" t="s">
        <v>10</v>
      </c>
      <c r="D31" t="s">
        <v>8</v>
      </c>
      <c r="E31" t="s">
        <v>8</v>
      </c>
      <c r="F31" t="s">
        <v>90</v>
      </c>
      <c r="G31" t="s">
        <v>91</v>
      </c>
      <c r="H31" t="s">
        <v>91</v>
      </c>
      <c r="I31" t="s">
        <v>92</v>
      </c>
    </row>
    <row r="32" spans="1:9" x14ac:dyDescent="0.25">
      <c r="A32" s="1" t="str">
        <f>HYPERLINK("https://lynxcrm-apac--c.eu19.visual.force.com/0011i000001xnQ3AAI","2 Teck Whye Crescent")</f>
        <v>2 Teck Whye Crescent</v>
      </c>
      <c r="B32" t="s">
        <v>93</v>
      </c>
      <c r="C32" t="s">
        <v>10</v>
      </c>
      <c r="D32" t="s">
        <v>8</v>
      </c>
      <c r="E32" t="s">
        <v>8</v>
      </c>
      <c r="F32" t="s">
        <v>90</v>
      </c>
      <c r="G32" t="s">
        <v>91</v>
      </c>
      <c r="H32" t="s">
        <v>91</v>
      </c>
      <c r="I32" t="s">
        <v>92</v>
      </c>
    </row>
    <row r="33" spans="1:9" x14ac:dyDescent="0.25">
      <c r="A33" s="1" t="str">
        <f>HYPERLINK("https://lynxcrm-apac--c.eu19.visual.force.com/0011i000001xmpqAAA","2 Teck Whye Crescent")</f>
        <v>2 Teck Whye Crescent</v>
      </c>
      <c r="B33" t="s">
        <v>94</v>
      </c>
      <c r="C33" t="s">
        <v>10</v>
      </c>
      <c r="D33" t="s">
        <v>8</v>
      </c>
      <c r="E33" t="s">
        <v>8</v>
      </c>
      <c r="F33" t="s">
        <v>90</v>
      </c>
      <c r="G33" t="s">
        <v>91</v>
      </c>
      <c r="H33" t="s">
        <v>91</v>
      </c>
      <c r="I33" t="s">
        <v>92</v>
      </c>
    </row>
    <row r="34" spans="1:9" x14ac:dyDescent="0.25">
      <c r="A34" s="1" t="str">
        <f>HYPERLINK("https://lynxcrm-apac--c.eu19.visual.force.com/0011i000001xn2cAAA","2 Teck Whye Crescent")</f>
        <v>2 Teck Whye Crescent</v>
      </c>
      <c r="B34" t="s">
        <v>95</v>
      </c>
      <c r="C34" t="s">
        <v>10</v>
      </c>
      <c r="D34" t="s">
        <v>8</v>
      </c>
      <c r="E34" t="s">
        <v>8</v>
      </c>
      <c r="F34" t="s">
        <v>90</v>
      </c>
      <c r="G34" t="s">
        <v>91</v>
      </c>
      <c r="H34" t="s">
        <v>91</v>
      </c>
      <c r="I34" t="s">
        <v>92</v>
      </c>
    </row>
    <row r="35" spans="1:9" x14ac:dyDescent="0.25">
      <c r="A35" s="1" t="str">
        <f>HYPERLINK("https://lynxcrm-apac--c.eu19.visual.force.com/0011i000001xnXDAAY","2 Teck Whye Crescent")</f>
        <v>2 Teck Whye Crescent</v>
      </c>
      <c r="B35" t="s">
        <v>96</v>
      </c>
      <c r="C35" t="s">
        <v>10</v>
      </c>
      <c r="D35" t="s">
        <v>8</v>
      </c>
      <c r="E35" t="s">
        <v>8</v>
      </c>
      <c r="F35" t="s">
        <v>90</v>
      </c>
      <c r="G35" t="s">
        <v>91</v>
      </c>
      <c r="H35" t="s">
        <v>91</v>
      </c>
      <c r="I35" t="s">
        <v>92</v>
      </c>
    </row>
    <row r="36" spans="1:9" x14ac:dyDescent="0.25">
      <c r="A36" s="1" t="str">
        <f>HYPERLINK("https://lynxcrm-apac--c.eu19.visual.force.com/0011i000001xnN1AAI","2 Teck Whye Crescent")</f>
        <v>2 Teck Whye Crescent</v>
      </c>
      <c r="B36" t="s">
        <v>97</v>
      </c>
      <c r="C36" t="s">
        <v>10</v>
      </c>
      <c r="D36" t="s">
        <v>8</v>
      </c>
      <c r="E36" t="s">
        <v>8</v>
      </c>
      <c r="F36" t="s">
        <v>90</v>
      </c>
      <c r="G36" t="s">
        <v>91</v>
      </c>
      <c r="H36" t="s">
        <v>91</v>
      </c>
      <c r="I36" t="s">
        <v>92</v>
      </c>
    </row>
    <row r="37" spans="1:9" x14ac:dyDescent="0.25">
      <c r="A37" s="1" t="str">
        <f>HYPERLINK("https://lynxcrm-apac--c.eu19.visual.force.com/0011i000001xn6yAAA","305 Woodlands Street 31")</f>
        <v>305 Woodlands Street 31</v>
      </c>
      <c r="B37" t="s">
        <v>98</v>
      </c>
      <c r="C37" t="s">
        <v>28</v>
      </c>
      <c r="D37" t="s">
        <v>8</v>
      </c>
      <c r="E37" t="s">
        <v>8</v>
      </c>
      <c r="F37" t="s">
        <v>99</v>
      </c>
      <c r="G37" t="s">
        <v>100</v>
      </c>
      <c r="H37" t="s">
        <v>100</v>
      </c>
      <c r="I37" t="s">
        <v>101</v>
      </c>
    </row>
    <row r="38" spans="1:9" x14ac:dyDescent="0.25">
      <c r="A38" s="1" t="str">
        <f>HYPERLINK("https://lynxcrm-apac--c.eu19.visual.force.com/0011i000001xmp3AAA","321 Joo Chiat Place")</f>
        <v>321 Joo Chiat Place</v>
      </c>
      <c r="B38" t="s">
        <v>102</v>
      </c>
      <c r="C38" t="s">
        <v>10</v>
      </c>
      <c r="D38" t="s">
        <v>8</v>
      </c>
      <c r="E38" t="s">
        <v>8</v>
      </c>
      <c r="F38" t="s">
        <v>103</v>
      </c>
      <c r="G38" t="s">
        <v>104</v>
      </c>
      <c r="H38" t="s">
        <v>104</v>
      </c>
      <c r="I38" t="s">
        <v>105</v>
      </c>
    </row>
    <row r="39" spans="1:9" x14ac:dyDescent="0.25">
      <c r="A39" s="1" t="str">
        <f>HYPERLINK("https://lynxcrm-apac--c.eu19.visual.force.com/0011i000001xnBoAAI","321 Joo Chiat Place")</f>
        <v>321 Joo Chiat Place</v>
      </c>
      <c r="B39" t="s">
        <v>106</v>
      </c>
      <c r="C39" t="s">
        <v>10</v>
      </c>
      <c r="D39" t="s">
        <v>8</v>
      </c>
      <c r="E39" t="s">
        <v>8</v>
      </c>
      <c r="F39" t="s">
        <v>103</v>
      </c>
      <c r="G39" t="s">
        <v>104</v>
      </c>
      <c r="H39" t="s">
        <v>104</v>
      </c>
      <c r="I39" t="s">
        <v>105</v>
      </c>
    </row>
    <row r="40" spans="1:9" x14ac:dyDescent="0.25">
      <c r="A40" s="1" t="str">
        <f>HYPERLINK("https://lynxcrm-apac--c.eu19.visual.force.com/0011i000001xnV6AAI","326 Avenue 3 Clinic")</f>
        <v>326 Avenue 3 Clinic</v>
      </c>
      <c r="B40" t="s">
        <v>107</v>
      </c>
      <c r="C40" t="s">
        <v>10</v>
      </c>
      <c r="D40" t="s">
        <v>8</v>
      </c>
      <c r="E40" t="s">
        <v>8</v>
      </c>
      <c r="F40" t="s">
        <v>108</v>
      </c>
      <c r="G40" t="s">
        <v>109</v>
      </c>
      <c r="H40" t="s">
        <v>110</v>
      </c>
      <c r="I40" t="s">
        <v>111</v>
      </c>
    </row>
    <row r="41" spans="1:9" x14ac:dyDescent="0.25">
      <c r="A41" s="1" t="str">
        <f>HYPERLINK("https://lynxcrm-apac--c.eu19.visual.force.com/0011i000001xmc0AAA","350 Orchard Road")</f>
        <v>350 Orchard Road</v>
      </c>
      <c r="B41" t="s">
        <v>112</v>
      </c>
      <c r="C41" t="s">
        <v>10</v>
      </c>
      <c r="D41" t="s">
        <v>8</v>
      </c>
      <c r="E41" t="s">
        <v>8</v>
      </c>
      <c r="F41" t="s">
        <v>113</v>
      </c>
      <c r="G41" t="s">
        <v>114</v>
      </c>
      <c r="H41" t="s">
        <v>114</v>
      </c>
      <c r="I41" t="s">
        <v>115</v>
      </c>
    </row>
    <row r="42" spans="1:9" x14ac:dyDescent="0.25">
      <c r="A42" s="1" t="str">
        <f>HYPERLINK("https://lynxcrm-apac--c.eu19.visual.force.com/0011i000001xnNpAAI","360 Orchard Road #04-06/07")</f>
        <v>360 Orchard Road #04-06/07</v>
      </c>
      <c r="B42" t="s">
        <v>116</v>
      </c>
      <c r="C42" t="s">
        <v>10</v>
      </c>
      <c r="D42" t="s">
        <v>8</v>
      </c>
      <c r="E42" t="s">
        <v>8</v>
      </c>
      <c r="F42" t="s">
        <v>117</v>
      </c>
      <c r="G42" t="s">
        <v>118</v>
      </c>
      <c r="H42" t="s">
        <v>118</v>
      </c>
      <c r="I42" t="s">
        <v>119</v>
      </c>
    </row>
    <row r="43" spans="1:9" x14ac:dyDescent="0.25">
      <c r="A43" s="1" t="str">
        <f>HYPERLINK("https://lynxcrm-apac--c.eu19.visual.force.com/0011i000001xnVsAAI","3 Mt Elizabeth #03-04/05")</f>
        <v>3 Mt Elizabeth #03-04/05</v>
      </c>
      <c r="B43" t="s">
        <v>120</v>
      </c>
      <c r="C43" t="s">
        <v>10</v>
      </c>
      <c r="D43" t="s">
        <v>8</v>
      </c>
      <c r="E43" t="s">
        <v>8</v>
      </c>
      <c r="F43" t="s">
        <v>121</v>
      </c>
      <c r="G43" t="s">
        <v>122</v>
      </c>
      <c r="H43" t="s">
        <v>122</v>
      </c>
      <c r="I43" t="s">
        <v>123</v>
      </c>
    </row>
    <row r="44" spans="1:9" x14ac:dyDescent="0.25">
      <c r="A44" s="1" t="str">
        <f>HYPERLINK("https://lynxcrm-apac--c.eu19.visual.force.com/0011i000001xnZtAAI","3 Mt Elizabeth #07-09")</f>
        <v>3 Mt Elizabeth #07-09</v>
      </c>
      <c r="B44" t="s">
        <v>124</v>
      </c>
      <c r="C44" t="s">
        <v>10</v>
      </c>
      <c r="D44" t="s">
        <v>8</v>
      </c>
      <c r="E44" t="s">
        <v>8</v>
      </c>
      <c r="F44" t="s">
        <v>121</v>
      </c>
      <c r="G44" t="s">
        <v>125</v>
      </c>
      <c r="H44" t="s">
        <v>125</v>
      </c>
      <c r="I44" t="s">
        <v>123</v>
      </c>
    </row>
    <row r="45" spans="1:9" x14ac:dyDescent="0.25">
      <c r="A45" s="1" t="str">
        <f>HYPERLINK("https://lynxcrm-apac--c.eu19.visual.force.com/0011i000001xmenAAA","3 Mt Elizabeth #12-05")</f>
        <v>3 Mt Elizabeth #12-05</v>
      </c>
      <c r="B45" t="s">
        <v>126</v>
      </c>
      <c r="C45" t="s">
        <v>10</v>
      </c>
      <c r="D45" t="s">
        <v>8</v>
      </c>
      <c r="E45" t="s">
        <v>8</v>
      </c>
      <c r="F45" t="s">
        <v>121</v>
      </c>
      <c r="G45" t="s">
        <v>127</v>
      </c>
      <c r="H45" t="s">
        <v>127</v>
      </c>
      <c r="I45" t="s">
        <v>123</v>
      </c>
    </row>
    <row r="46" spans="1:9" x14ac:dyDescent="0.25">
      <c r="A46" s="1" t="str">
        <f>HYPERLINK("https://lynxcrm-apac--c.eu19.visual.force.com/0011i000001xmtwAAA","3 Mt Elizabeth #15-03")</f>
        <v>3 Mt Elizabeth #15-03</v>
      </c>
      <c r="B46" t="s">
        <v>128</v>
      </c>
      <c r="C46" t="s">
        <v>10</v>
      </c>
      <c r="D46" t="s">
        <v>8</v>
      </c>
      <c r="E46" t="s">
        <v>8</v>
      </c>
      <c r="F46" t="s">
        <v>121</v>
      </c>
      <c r="G46" t="s">
        <v>129</v>
      </c>
      <c r="H46" t="s">
        <v>129</v>
      </c>
      <c r="I46" t="s">
        <v>123</v>
      </c>
    </row>
    <row r="47" spans="1:9" x14ac:dyDescent="0.25">
      <c r="A47" s="1" t="str">
        <f>HYPERLINK("https://lynxcrm-apac--c.eu19.visual.force.com/0011i000001xndMAAQ","3 Mt Elizabeth #15-17")</f>
        <v>3 Mt Elizabeth #15-17</v>
      </c>
      <c r="B47" t="s">
        <v>130</v>
      </c>
      <c r="C47" t="s">
        <v>10</v>
      </c>
      <c r="D47" t="s">
        <v>8</v>
      </c>
      <c r="E47" t="s">
        <v>8</v>
      </c>
      <c r="F47" t="s">
        <v>121</v>
      </c>
      <c r="G47" t="s">
        <v>131</v>
      </c>
      <c r="H47" t="s">
        <v>131</v>
      </c>
      <c r="I47" t="s">
        <v>123</v>
      </c>
    </row>
    <row r="48" spans="1:9" x14ac:dyDescent="0.25">
      <c r="A48" s="1" t="str">
        <f>HYPERLINK("https://lynxcrm-apac--c.eu19.visual.force.com/0011i000001xmqBAAQ","3 Mt Elizabeth #16-14")</f>
        <v>3 Mt Elizabeth #16-14</v>
      </c>
      <c r="B48" t="s">
        <v>132</v>
      </c>
      <c r="C48" t="s">
        <v>10</v>
      </c>
      <c r="D48" t="s">
        <v>8</v>
      </c>
      <c r="E48" t="s">
        <v>8</v>
      </c>
      <c r="F48" t="s">
        <v>121</v>
      </c>
      <c r="G48" t="s">
        <v>133</v>
      </c>
      <c r="H48" t="s">
        <v>133</v>
      </c>
      <c r="I48" t="s">
        <v>123</v>
      </c>
    </row>
    <row r="49" spans="1:9" x14ac:dyDescent="0.25">
      <c r="A49" s="1" t="str">
        <f>HYPERLINK("https://lynxcrm-apac--c.eu19.visual.force.com/0011i000001xnSRAAY","3 Second Hospital Avenue")</f>
        <v>3 Second Hospital Avenue</v>
      </c>
      <c r="B49" t="s">
        <v>134</v>
      </c>
      <c r="C49" t="s">
        <v>10</v>
      </c>
      <c r="D49" t="s">
        <v>8</v>
      </c>
      <c r="E49" t="s">
        <v>8</v>
      </c>
      <c r="F49" t="s">
        <v>135</v>
      </c>
      <c r="G49" t="s">
        <v>136</v>
      </c>
      <c r="H49" t="s">
        <v>136</v>
      </c>
      <c r="I49" t="s">
        <v>137</v>
      </c>
    </row>
    <row r="50" spans="1:9" x14ac:dyDescent="0.25">
      <c r="A50" s="1" t="str">
        <f>HYPERLINK("https://lynxcrm-apac--c.eu19.visual.force.com/0011i000001xnRDAAY","3 Second Hospital Avenue")</f>
        <v>3 Second Hospital Avenue</v>
      </c>
      <c r="B50" t="s">
        <v>138</v>
      </c>
      <c r="C50" t="s">
        <v>10</v>
      </c>
      <c r="D50" t="s">
        <v>8</v>
      </c>
      <c r="E50" t="s">
        <v>8</v>
      </c>
      <c r="F50" t="s">
        <v>135</v>
      </c>
      <c r="G50" t="s">
        <v>136</v>
      </c>
      <c r="H50" t="s">
        <v>139</v>
      </c>
      <c r="I50" t="s">
        <v>137</v>
      </c>
    </row>
    <row r="51" spans="1:9" x14ac:dyDescent="0.25">
      <c r="A51" s="1" t="str">
        <f>HYPERLINK("https://lynxcrm-apac--c.eu19.visual.force.com/0011i000001xnUjAAI","3 Second Hospital Avenue")</f>
        <v>3 Second Hospital Avenue</v>
      </c>
      <c r="B51" t="s">
        <v>140</v>
      </c>
      <c r="C51" t="s">
        <v>10</v>
      </c>
      <c r="D51" t="s">
        <v>8</v>
      </c>
      <c r="E51" t="s">
        <v>8</v>
      </c>
      <c r="F51" t="s">
        <v>135</v>
      </c>
      <c r="G51" t="s">
        <v>136</v>
      </c>
      <c r="H51" t="s">
        <v>136</v>
      </c>
      <c r="I51" t="s">
        <v>137</v>
      </c>
    </row>
    <row r="52" spans="1:9" x14ac:dyDescent="0.25">
      <c r="A52" s="1" t="str">
        <f>HYPERLINK("https://lynxcrm-apac--c.eu19.visual.force.com/0011i000001xmn1AAA","3 Second Hospital Avenue")</f>
        <v>3 Second Hospital Avenue</v>
      </c>
      <c r="B52" t="s">
        <v>141</v>
      </c>
      <c r="C52" t="s">
        <v>10</v>
      </c>
      <c r="D52" t="s">
        <v>8</v>
      </c>
      <c r="E52" t="s">
        <v>8</v>
      </c>
      <c r="F52" t="s">
        <v>135</v>
      </c>
      <c r="G52" t="s">
        <v>136</v>
      </c>
      <c r="H52" t="s">
        <v>136</v>
      </c>
      <c r="I52" t="s">
        <v>137</v>
      </c>
    </row>
    <row r="53" spans="1:9" x14ac:dyDescent="0.25">
      <c r="A53" s="1" t="str">
        <f>HYPERLINK("https://lynxcrm-apac--c.eu19.visual.force.com/0011i000001xnOTAAY","400 Orchard Road")</f>
        <v>400 Orchard Road</v>
      </c>
      <c r="B53" t="s">
        <v>142</v>
      </c>
      <c r="C53" t="s">
        <v>10</v>
      </c>
      <c r="D53" t="s">
        <v>8</v>
      </c>
      <c r="E53" t="s">
        <v>8</v>
      </c>
      <c r="F53" t="s">
        <v>143</v>
      </c>
      <c r="G53" t="s">
        <v>144</v>
      </c>
      <c r="H53" t="s">
        <v>144</v>
      </c>
      <c r="I53" t="s">
        <v>145</v>
      </c>
    </row>
    <row r="54" spans="1:9" x14ac:dyDescent="0.25">
      <c r="A54" s="1" t="str">
        <f>HYPERLINK("https://lynxcrm-apac--c.eu19.visual.force.com/0011i000001xmnlAAA","50 Bukit Batok West Ave 3")</f>
        <v>50 Bukit Batok West Ave 3</v>
      </c>
      <c r="B54" t="s">
        <v>146</v>
      </c>
      <c r="C54" t="s">
        <v>10</v>
      </c>
      <c r="D54" t="s">
        <v>8</v>
      </c>
      <c r="E54" t="s">
        <v>8</v>
      </c>
      <c r="F54" t="s">
        <v>147</v>
      </c>
      <c r="G54" t="s">
        <v>148</v>
      </c>
      <c r="H54" t="s">
        <v>148</v>
      </c>
      <c r="I54" t="s">
        <v>149</v>
      </c>
    </row>
    <row r="55" spans="1:9" x14ac:dyDescent="0.25">
      <c r="A55" s="1" t="str">
        <f>HYPERLINK("https://lynxcrm-apac--c.eu19.visual.force.com/0011i000001xnWZAAY","50 Bukit Batok West Ave 3")</f>
        <v>50 Bukit Batok West Ave 3</v>
      </c>
      <c r="B55" t="s">
        <v>150</v>
      </c>
      <c r="C55" t="s">
        <v>10</v>
      </c>
      <c r="D55" t="s">
        <v>8</v>
      </c>
      <c r="E55" t="s">
        <v>8</v>
      </c>
      <c r="F55" t="s">
        <v>147</v>
      </c>
      <c r="G55" t="s">
        <v>148</v>
      </c>
      <c r="H55" t="s">
        <v>148</v>
      </c>
      <c r="I55" t="s">
        <v>149</v>
      </c>
    </row>
    <row r="56" spans="1:9" x14ac:dyDescent="0.25">
      <c r="A56" s="1" t="str">
        <f>HYPERLINK("https://lynxcrm-apac--c.eu19.visual.force.com/0011i000001xmn5AAA","50 Bukit Batok West Ave 3")</f>
        <v>50 Bukit Batok West Ave 3</v>
      </c>
      <c r="B56" t="s">
        <v>151</v>
      </c>
      <c r="C56" t="s">
        <v>10</v>
      </c>
      <c r="D56" t="s">
        <v>8</v>
      </c>
      <c r="E56" t="s">
        <v>8</v>
      </c>
      <c r="F56" t="s">
        <v>147</v>
      </c>
      <c r="G56" t="s">
        <v>148</v>
      </c>
      <c r="H56" t="s">
        <v>148</v>
      </c>
      <c r="I56" t="s">
        <v>149</v>
      </c>
    </row>
    <row r="57" spans="1:9" x14ac:dyDescent="0.25">
      <c r="A57" s="1" t="str">
        <f>HYPERLINK("https://lynxcrm-apac--c.eu19.visual.force.com/0011i000001xnMyAAI","50 Bukit Batok West Ave 3")</f>
        <v>50 Bukit Batok West Ave 3</v>
      </c>
      <c r="B57" t="s">
        <v>152</v>
      </c>
      <c r="C57" t="s">
        <v>10</v>
      </c>
      <c r="D57" t="s">
        <v>8</v>
      </c>
      <c r="E57" t="s">
        <v>8</v>
      </c>
      <c r="F57" t="s">
        <v>147</v>
      </c>
      <c r="G57" t="s">
        <v>148</v>
      </c>
      <c r="H57" t="s">
        <v>148</v>
      </c>
      <c r="I57" t="s">
        <v>149</v>
      </c>
    </row>
    <row r="58" spans="1:9" x14ac:dyDescent="0.25">
      <c r="A58" s="1" t="str">
        <f>HYPERLINK("https://lynxcrm-apac--c.eu19.visual.force.com/0011i000001xnY6AAI","50 Bukit Batok West Ave 3")</f>
        <v>50 Bukit Batok West Ave 3</v>
      </c>
      <c r="B58" t="s">
        <v>153</v>
      </c>
      <c r="C58" t="s">
        <v>10</v>
      </c>
      <c r="D58" t="s">
        <v>8</v>
      </c>
      <c r="E58" t="s">
        <v>8</v>
      </c>
      <c r="F58" t="s">
        <v>147</v>
      </c>
      <c r="G58" t="s">
        <v>148</v>
      </c>
      <c r="H58" t="s">
        <v>148</v>
      </c>
      <c r="I58" t="s">
        <v>149</v>
      </c>
    </row>
    <row r="59" spans="1:9" x14ac:dyDescent="0.25">
      <c r="A59" s="1" t="str">
        <f>HYPERLINK("https://lynxcrm-apac--c.eu19.visual.force.com/0011i000001xnCHAAY","539 Bedok North Street 3")</f>
        <v>539 Bedok North Street 3</v>
      </c>
      <c r="B59" t="s">
        <v>154</v>
      </c>
      <c r="C59" t="s">
        <v>10</v>
      </c>
      <c r="D59" t="s">
        <v>8</v>
      </c>
      <c r="E59" t="s">
        <v>8</v>
      </c>
      <c r="F59" t="s">
        <v>155</v>
      </c>
      <c r="G59" t="s">
        <v>156</v>
      </c>
      <c r="H59" t="s">
        <v>156</v>
      </c>
      <c r="I59" t="s">
        <v>157</v>
      </c>
    </row>
    <row r="60" spans="1:9" x14ac:dyDescent="0.25">
      <c r="A60" s="1" t="str">
        <f>HYPERLINK("https://lynxcrm-apac--c.eu19.visual.force.com/0011i000001xnUDAAY","548 Woodlands Drive 44 #01-40")</f>
        <v>548 Woodlands Drive 44 #01-40</v>
      </c>
      <c r="B60" t="s">
        <v>158</v>
      </c>
      <c r="C60" t="s">
        <v>28</v>
      </c>
      <c r="D60" t="s">
        <v>8</v>
      </c>
      <c r="E60" t="s">
        <v>8</v>
      </c>
      <c r="F60" t="s">
        <v>159</v>
      </c>
      <c r="G60" t="s">
        <v>160</v>
      </c>
      <c r="H60" t="s">
        <v>160</v>
      </c>
      <c r="I60" t="s">
        <v>161</v>
      </c>
    </row>
    <row r="61" spans="1:9" x14ac:dyDescent="0.25">
      <c r="A61" s="1" t="str">
        <f>HYPERLINK("https://lynxcrm-apac--c.eu19.visual.force.com/0011i000001xmc3AAA","585 North Bridge Road")</f>
        <v>585 North Bridge Road</v>
      </c>
      <c r="B61" t="s">
        <v>162</v>
      </c>
      <c r="C61" t="s">
        <v>10</v>
      </c>
      <c r="D61" t="s">
        <v>8</v>
      </c>
      <c r="E61" t="s">
        <v>8</v>
      </c>
      <c r="F61" t="s">
        <v>163</v>
      </c>
      <c r="G61" t="s">
        <v>164</v>
      </c>
      <c r="H61" t="s">
        <v>164</v>
      </c>
      <c r="I61" t="s">
        <v>165</v>
      </c>
    </row>
    <row r="62" spans="1:9" x14ac:dyDescent="0.25">
      <c r="A62" s="1" t="str">
        <f>HYPERLINK("https://lynxcrm-apac--c.eu19.visual.force.com/0011i000001xnXxAAI","585 North Bridge Road")</f>
        <v>585 North Bridge Road</v>
      </c>
      <c r="B62" t="s">
        <v>166</v>
      </c>
      <c r="C62" t="s">
        <v>10</v>
      </c>
      <c r="D62" t="s">
        <v>8</v>
      </c>
      <c r="E62" t="s">
        <v>8</v>
      </c>
      <c r="F62" t="s">
        <v>163</v>
      </c>
      <c r="G62" t="s">
        <v>164</v>
      </c>
      <c r="H62" t="s">
        <v>164</v>
      </c>
      <c r="I62" t="s">
        <v>165</v>
      </c>
    </row>
    <row r="63" spans="1:9" x14ac:dyDescent="0.25">
      <c r="A63" s="1" t="str">
        <f>HYPERLINK("https://lynxcrm-apac--c.eu19.visual.force.com/0011i000001xnaaAAA","585 North Bridge Road")</f>
        <v>585 North Bridge Road</v>
      </c>
      <c r="B63" t="s">
        <v>167</v>
      </c>
      <c r="C63" t="s">
        <v>10</v>
      </c>
      <c r="D63" t="s">
        <v>8</v>
      </c>
      <c r="E63" t="s">
        <v>8</v>
      </c>
      <c r="F63" t="s">
        <v>163</v>
      </c>
      <c r="G63" t="s">
        <v>164</v>
      </c>
      <c r="H63" t="s">
        <v>164</v>
      </c>
      <c r="I63" t="s">
        <v>165</v>
      </c>
    </row>
    <row r="64" spans="1:9" x14ac:dyDescent="0.25">
      <c r="A64" s="1" t="str">
        <f>HYPERLINK("https://lynxcrm-apac--c.eu19.visual.force.com/0011i000001xmfAAAQ","585 North Bridge Road")</f>
        <v>585 North Bridge Road</v>
      </c>
      <c r="B64" t="s">
        <v>168</v>
      </c>
      <c r="C64" t="s">
        <v>10</v>
      </c>
      <c r="D64" t="s">
        <v>8</v>
      </c>
      <c r="E64" t="s">
        <v>8</v>
      </c>
      <c r="F64" t="s">
        <v>163</v>
      </c>
      <c r="G64" t="s">
        <v>164</v>
      </c>
      <c r="H64" t="s">
        <v>164</v>
      </c>
      <c r="I64" t="s">
        <v>165</v>
      </c>
    </row>
    <row r="65" spans="1:9" x14ac:dyDescent="0.25">
      <c r="A65" s="1" t="str">
        <f>HYPERLINK("https://lynxcrm-apac--c.eu19.visual.force.com/0011i000001xmn9AAA","585 North Bridge Road")</f>
        <v>585 North Bridge Road</v>
      </c>
      <c r="B65" t="s">
        <v>169</v>
      </c>
      <c r="C65" t="s">
        <v>10</v>
      </c>
      <c r="D65" t="s">
        <v>8</v>
      </c>
      <c r="E65" t="s">
        <v>8</v>
      </c>
      <c r="F65" t="s">
        <v>163</v>
      </c>
      <c r="G65" t="s">
        <v>164</v>
      </c>
      <c r="H65" t="s">
        <v>164</v>
      </c>
      <c r="I65" t="s">
        <v>165</v>
      </c>
    </row>
    <row r="66" spans="1:9" x14ac:dyDescent="0.25">
      <c r="A66" s="1" t="str">
        <f>HYPERLINK("https://lynxcrm-apac--c.eu19.visual.force.com/0011i000001xnXGAAY","585 Raffles Hospital")</f>
        <v>585 Raffles Hospital</v>
      </c>
      <c r="B66" t="s">
        <v>170</v>
      </c>
      <c r="C66" t="s">
        <v>10</v>
      </c>
      <c r="D66" t="s">
        <v>8</v>
      </c>
      <c r="E66" t="s">
        <v>8</v>
      </c>
      <c r="F66" t="s">
        <v>171</v>
      </c>
      <c r="G66" t="s">
        <v>164</v>
      </c>
      <c r="H66" t="s">
        <v>164</v>
      </c>
      <c r="I66" t="s">
        <v>165</v>
      </c>
    </row>
    <row r="67" spans="1:9" x14ac:dyDescent="0.25">
      <c r="A67" s="1" t="str">
        <f>HYPERLINK("https://lynxcrm-apac--c.eu19.visual.force.com/0011i000001xmblAAA","5 Coleman Street #02-24")</f>
        <v>5 Coleman Street #02-24</v>
      </c>
      <c r="B67" t="s">
        <v>172</v>
      </c>
      <c r="C67" t="s">
        <v>10</v>
      </c>
      <c r="D67" t="s">
        <v>8</v>
      </c>
      <c r="E67" t="s">
        <v>8</v>
      </c>
      <c r="F67" t="s">
        <v>173</v>
      </c>
      <c r="G67" t="s">
        <v>174</v>
      </c>
      <c r="H67" t="s">
        <v>174</v>
      </c>
      <c r="I67" t="s">
        <v>175</v>
      </c>
    </row>
    <row r="68" spans="1:9" x14ac:dyDescent="0.25">
      <c r="A68" s="1" t="str">
        <f>HYPERLINK("https://lynxcrm-apac--c.eu19.visual.force.com/0011i000001xn8UAAQ","6-10 Clinic &amp; Surgery")</f>
        <v>6-10 Clinic &amp; Surgery</v>
      </c>
      <c r="B68" t="s">
        <v>176</v>
      </c>
      <c r="C68" t="s">
        <v>10</v>
      </c>
      <c r="D68" t="s">
        <v>8</v>
      </c>
      <c r="E68" t="s">
        <v>8</v>
      </c>
      <c r="F68" t="s">
        <v>177</v>
      </c>
      <c r="G68" t="s">
        <v>178</v>
      </c>
      <c r="H68" t="s">
        <v>178</v>
      </c>
      <c r="I68" t="s">
        <v>179</v>
      </c>
    </row>
    <row r="69" spans="1:9" x14ac:dyDescent="0.25">
      <c r="A69" s="1" t="str">
        <f>HYPERLINK("https://lynxcrm-apac--c.eu19.visual.force.com/0011i000001xncCAAQ","6-10 Clinic &amp; SUrgery")</f>
        <v>6-10 Clinic &amp; SUrgery</v>
      </c>
      <c r="B69" t="s">
        <v>180</v>
      </c>
      <c r="C69" t="s">
        <v>10</v>
      </c>
      <c r="D69" t="s">
        <v>8</v>
      </c>
      <c r="E69" t="s">
        <v>8</v>
      </c>
      <c r="F69" t="s">
        <v>181</v>
      </c>
      <c r="G69" t="s">
        <v>178</v>
      </c>
      <c r="H69" t="s">
        <v>178</v>
      </c>
      <c r="I69" t="s">
        <v>179</v>
      </c>
    </row>
    <row r="70" spans="1:9" x14ac:dyDescent="0.25">
      <c r="A70" s="1" t="str">
        <f>HYPERLINK("https://lynxcrm-apac--c.eu19.visual.force.com/0011i000001xn5kAAA","621 Bukit Timah Road")</f>
        <v>621 Bukit Timah Road</v>
      </c>
      <c r="B70" t="s">
        <v>182</v>
      </c>
      <c r="C70" t="s">
        <v>10</v>
      </c>
      <c r="D70" t="s">
        <v>8</v>
      </c>
      <c r="E70" t="s">
        <v>8</v>
      </c>
      <c r="F70" t="s">
        <v>183</v>
      </c>
      <c r="G70" t="s">
        <v>184</v>
      </c>
      <c r="H70" t="s">
        <v>184</v>
      </c>
      <c r="I70" t="s">
        <v>185</v>
      </c>
    </row>
    <row r="71" spans="1:9" x14ac:dyDescent="0.25">
      <c r="A71" s="1" t="str">
        <f>HYPERLINK("https://lynxcrm-apac--c.eu19.visual.force.com/0011i000001xmrtAAA","632 Ang Mo Kio Avenue 4")</f>
        <v>632 Ang Mo Kio Avenue 4</v>
      </c>
      <c r="B71" t="s">
        <v>186</v>
      </c>
      <c r="C71" t="s">
        <v>10</v>
      </c>
      <c r="D71" t="s">
        <v>8</v>
      </c>
      <c r="E71" t="s">
        <v>8</v>
      </c>
      <c r="F71" t="s">
        <v>187</v>
      </c>
      <c r="G71" t="s">
        <v>188</v>
      </c>
      <c r="H71" t="s">
        <v>188</v>
      </c>
      <c r="I71" t="s">
        <v>189</v>
      </c>
    </row>
    <row r="72" spans="1:9" x14ac:dyDescent="0.25">
      <c r="A72" s="1" t="str">
        <f>HYPERLINK("https://lynxcrm-apac--c.eu19.visual.force.com/0011i000001xnaiAAA","8-11 Clinic &amp; Surgery")</f>
        <v>8-11 Clinic &amp; Surgery</v>
      </c>
      <c r="B72" t="s">
        <v>190</v>
      </c>
      <c r="C72" t="s">
        <v>10</v>
      </c>
      <c r="D72" t="s">
        <v>8</v>
      </c>
      <c r="E72" t="s">
        <v>8</v>
      </c>
      <c r="F72" t="s">
        <v>191</v>
      </c>
      <c r="G72" t="s">
        <v>192</v>
      </c>
      <c r="H72" t="s">
        <v>192</v>
      </c>
      <c r="I72" t="s">
        <v>193</v>
      </c>
    </row>
    <row r="73" spans="1:9" x14ac:dyDescent="0.25">
      <c r="A73" s="1" t="str">
        <f>HYPERLINK("https://lynxcrm-apac--c.eu19.visual.force.com/0011i000001xmkbAAA","8-11 Clinic &amp; Surgery")</f>
        <v>8-11 Clinic &amp; Surgery</v>
      </c>
      <c r="B73" t="s">
        <v>194</v>
      </c>
      <c r="C73" t="s">
        <v>10</v>
      </c>
      <c r="D73" t="s">
        <v>8</v>
      </c>
      <c r="E73" t="s">
        <v>8</v>
      </c>
      <c r="F73" t="s">
        <v>191</v>
      </c>
      <c r="G73" t="s">
        <v>192</v>
      </c>
      <c r="H73" t="s">
        <v>192</v>
      </c>
      <c r="I73" t="s">
        <v>193</v>
      </c>
    </row>
    <row r="74" spans="1:9" x14ac:dyDescent="0.25">
      <c r="A74" s="1" t="str">
        <f>HYPERLINK("https://lynxcrm-apac--c.eu19.visual.force.com/0011i000001xnJOAAY","8-11 Clinic &amp; Surgery")</f>
        <v>8-11 Clinic &amp; Surgery</v>
      </c>
      <c r="B74" t="s">
        <v>195</v>
      </c>
      <c r="C74" t="s">
        <v>10</v>
      </c>
      <c r="D74" t="s">
        <v>8</v>
      </c>
      <c r="E74" t="s">
        <v>8</v>
      </c>
      <c r="F74" t="s">
        <v>191</v>
      </c>
      <c r="G74" t="s">
        <v>192</v>
      </c>
      <c r="H74" t="s">
        <v>192</v>
      </c>
      <c r="I74" t="s">
        <v>193</v>
      </c>
    </row>
    <row r="75" spans="1:9" x14ac:dyDescent="0.25">
      <c r="A75" s="1" t="str">
        <f>HYPERLINK("https://lynxcrm-apac--c.eu19.visual.force.com/0011i000001xnbWAAQ","8-11 Clinic &amp; Surgery")</f>
        <v>8-11 Clinic &amp; Surgery</v>
      </c>
      <c r="B75" t="s">
        <v>196</v>
      </c>
      <c r="C75" t="s">
        <v>10</v>
      </c>
      <c r="D75" t="s">
        <v>8</v>
      </c>
      <c r="E75" t="s">
        <v>8</v>
      </c>
      <c r="F75" t="s">
        <v>191</v>
      </c>
      <c r="G75" t="s">
        <v>192</v>
      </c>
      <c r="H75" t="s">
        <v>192</v>
      </c>
      <c r="I75" t="s">
        <v>193</v>
      </c>
    </row>
    <row r="76" spans="1:9" x14ac:dyDescent="0.25">
      <c r="A76" s="1" t="str">
        <f>HYPERLINK("https://lynxcrm-apac--c.eu19.visual.force.com/0011i000001xnBJAAY","820 Thomson Rd, Ambulatory Care Ctr")</f>
        <v>820 Thomson Rd, Ambulatory Care Ctr</v>
      </c>
      <c r="B76" t="s">
        <v>197</v>
      </c>
      <c r="C76" t="s">
        <v>10</v>
      </c>
      <c r="D76" t="s">
        <v>8</v>
      </c>
      <c r="E76" t="s">
        <v>8</v>
      </c>
      <c r="F76" t="s">
        <v>198</v>
      </c>
      <c r="G76" t="s">
        <v>199</v>
      </c>
      <c r="H76" t="s">
        <v>199</v>
      </c>
      <c r="I76" t="s">
        <v>200</v>
      </c>
    </row>
    <row r="77" spans="1:9" x14ac:dyDescent="0.25">
      <c r="A77" s="1" t="str">
        <f>HYPERLINK("https://lynxcrm-apac--c.eu19.visual.force.com/0011i000001xnV2AAI","820 Thomson Road")</f>
        <v>820 Thomson Road</v>
      </c>
      <c r="B77" t="s">
        <v>201</v>
      </c>
      <c r="C77" t="s">
        <v>10</v>
      </c>
      <c r="D77" t="s">
        <v>8</v>
      </c>
      <c r="E77" t="s">
        <v>8</v>
      </c>
      <c r="F77" t="s">
        <v>202</v>
      </c>
      <c r="G77" t="s">
        <v>203</v>
      </c>
      <c r="H77" t="s">
        <v>203</v>
      </c>
      <c r="I77" t="s">
        <v>200</v>
      </c>
    </row>
    <row r="78" spans="1:9" x14ac:dyDescent="0.25">
      <c r="A78" s="1" t="str">
        <f>HYPERLINK("https://lynxcrm-apac--c.eu19.visual.force.com/0011i000001xnCFAAY","820 Thomson Road #01-10")</f>
        <v>820 Thomson Road #01-10</v>
      </c>
      <c r="B78" t="s">
        <v>204</v>
      </c>
      <c r="C78" t="s">
        <v>10</v>
      </c>
      <c r="D78" t="s">
        <v>8</v>
      </c>
      <c r="E78" t="s">
        <v>8</v>
      </c>
      <c r="F78" t="s">
        <v>205</v>
      </c>
      <c r="G78" t="s">
        <v>206</v>
      </c>
      <c r="H78" t="s">
        <v>206</v>
      </c>
      <c r="I78" t="s">
        <v>200</v>
      </c>
    </row>
    <row r="79" spans="1:9" x14ac:dyDescent="0.25">
      <c r="A79" s="1" t="str">
        <f>HYPERLINK("https://lynxcrm-apac--c.eu19.visual.force.com/0011i000001xn5nAAA","820 Thomson Road #02-05")</f>
        <v>820 Thomson Road #02-05</v>
      </c>
      <c r="B79" t="s">
        <v>207</v>
      </c>
      <c r="C79" t="s">
        <v>10</v>
      </c>
      <c r="D79" t="s">
        <v>8</v>
      </c>
      <c r="E79" t="s">
        <v>8</v>
      </c>
      <c r="F79" t="s">
        <v>198</v>
      </c>
      <c r="G79" t="s">
        <v>208</v>
      </c>
      <c r="H79" t="s">
        <v>208</v>
      </c>
      <c r="I79" t="s">
        <v>200</v>
      </c>
    </row>
    <row r="80" spans="1:9" x14ac:dyDescent="0.25">
      <c r="A80" s="1" t="str">
        <f>HYPERLINK("https://lynxcrm-apac--c.eu19.visual.force.com/0011i000001xnb4AAA","888 Plaza Family Clinic")</f>
        <v>888 Plaza Family Clinic</v>
      </c>
      <c r="B80" t="s">
        <v>209</v>
      </c>
      <c r="C80" t="s">
        <v>10</v>
      </c>
      <c r="D80" t="s">
        <v>8</v>
      </c>
      <c r="E80" t="s">
        <v>8</v>
      </c>
      <c r="F80" t="s">
        <v>210</v>
      </c>
      <c r="G80" t="s">
        <v>211</v>
      </c>
      <c r="H80" t="s">
        <v>211</v>
      </c>
      <c r="I80" t="s">
        <v>212</v>
      </c>
    </row>
    <row r="81" spans="1:9" x14ac:dyDescent="0.25">
      <c r="A81" s="1" t="str">
        <f>HYPERLINK("https://lynxcrm-apac--c.eu19.visual.force.com/0011i000001xmuFAAQ","A.M. Pharmacy")</f>
        <v>A.M. Pharmacy</v>
      </c>
      <c r="B81" t="s">
        <v>213</v>
      </c>
      <c r="C81" t="s">
        <v>10</v>
      </c>
      <c r="D81" t="s">
        <v>8</v>
      </c>
      <c r="E81" t="s">
        <v>8</v>
      </c>
      <c r="F81" t="s">
        <v>214</v>
      </c>
      <c r="G81" t="s">
        <v>215</v>
      </c>
      <c r="H81" t="s">
        <v>215</v>
      </c>
      <c r="I81" t="s">
        <v>216</v>
      </c>
    </row>
    <row r="82" spans="1:9" x14ac:dyDescent="0.25">
      <c r="A82" s="1" t="str">
        <f>HYPERLINK("https://lynxcrm-apac--c.eu19.visual.force.com/0011i000001xn7KAAQ","A&amp;E Department")</f>
        <v>A&amp;E Department</v>
      </c>
      <c r="B82" t="s">
        <v>217</v>
      </c>
      <c r="C82" t="s">
        <v>10</v>
      </c>
      <c r="D82" t="s">
        <v>8</v>
      </c>
      <c r="E82" t="s">
        <v>8</v>
      </c>
      <c r="F82" t="s">
        <v>218</v>
      </c>
      <c r="G82" t="s">
        <v>219</v>
      </c>
      <c r="H82" t="s">
        <v>219</v>
      </c>
      <c r="I82" t="s">
        <v>220</v>
      </c>
    </row>
    <row r="83" spans="1:9" x14ac:dyDescent="0.25">
      <c r="A83" s="1" t="str">
        <f>HYPERLINK("https://lynxcrm-apac--c.eu19.visual.force.com/0011i000001xmk8AAA","A &amp; E Department")</f>
        <v>A &amp; E Department</v>
      </c>
      <c r="B83" t="s">
        <v>221</v>
      </c>
      <c r="C83" t="s">
        <v>10</v>
      </c>
      <c r="D83" t="s">
        <v>8</v>
      </c>
      <c r="E83" t="s">
        <v>8</v>
      </c>
      <c r="F83" t="s">
        <v>218</v>
      </c>
      <c r="G83" t="s">
        <v>219</v>
      </c>
      <c r="H83" t="s">
        <v>222</v>
      </c>
      <c r="I83" t="s">
        <v>220</v>
      </c>
    </row>
    <row r="84" spans="1:9" x14ac:dyDescent="0.25">
      <c r="A84" s="1" t="str">
        <f>HYPERLINK("https://lynxcrm-apac--c.eu19.visual.force.com/0011i00000KM4QcAAL","A1 Medical Clinic")</f>
        <v>A1 Medical Clinic</v>
      </c>
      <c r="B84" t="s">
        <v>223</v>
      </c>
      <c r="C84" t="s">
        <v>10</v>
      </c>
      <c r="D84" t="s">
        <v>8</v>
      </c>
      <c r="E84" t="s">
        <v>8</v>
      </c>
      <c r="F84" t="s">
        <v>224</v>
      </c>
      <c r="G84" t="s">
        <v>225</v>
      </c>
      <c r="H84" t="s">
        <v>8</v>
      </c>
      <c r="I84" t="s">
        <v>226</v>
      </c>
    </row>
    <row r="85" spans="1:9" x14ac:dyDescent="0.25">
      <c r="A85" s="1" t="str">
        <f>HYPERLINK("https://lynxcrm-apac--c.eu19.visual.force.com/0011i00000ix42zAAA","Aaron, Shu Jeng, Woo")</f>
        <v>Aaron, Shu Jeng, Woo</v>
      </c>
      <c r="B85" t="s">
        <v>227</v>
      </c>
      <c r="C85" t="s">
        <v>28</v>
      </c>
      <c r="D85" t="s">
        <v>164</v>
      </c>
      <c r="E85" t="s">
        <v>8</v>
      </c>
      <c r="F85" t="s">
        <v>163</v>
      </c>
      <c r="G85" t="s">
        <v>228</v>
      </c>
      <c r="H85" t="s">
        <v>228</v>
      </c>
      <c r="I85" t="s">
        <v>165</v>
      </c>
    </row>
    <row r="86" spans="1:9" x14ac:dyDescent="0.25">
      <c r="A86" s="1" t="str">
        <f>HYPERLINK("https://lynxcrm-apac--c.eu19.visual.force.com/0011i00000ix42zAAA","Aaron, Shu Jeng, Woo")</f>
        <v>Aaron, Shu Jeng, Woo</v>
      </c>
      <c r="B86" t="s">
        <v>227</v>
      </c>
      <c r="C86" t="s">
        <v>28</v>
      </c>
      <c r="D86" t="s">
        <v>164</v>
      </c>
      <c r="E86" t="s">
        <v>8</v>
      </c>
      <c r="F86" t="s">
        <v>229</v>
      </c>
      <c r="G86" t="s">
        <v>163</v>
      </c>
      <c r="H86" t="s">
        <v>163</v>
      </c>
      <c r="I86" t="s">
        <v>165</v>
      </c>
    </row>
    <row r="87" spans="1:9" x14ac:dyDescent="0.25">
      <c r="A87" s="1" t="str">
        <f>HYPERLINK("https://lynxcrm-apac--c.eu19.visual.force.com/0011i000001xnZWAAY","ABC Cllinic")</f>
        <v>ABC Cllinic</v>
      </c>
      <c r="B87" t="s">
        <v>230</v>
      </c>
      <c r="C87" t="s">
        <v>10</v>
      </c>
      <c r="D87" t="s">
        <v>8</v>
      </c>
      <c r="E87" t="s">
        <v>8</v>
      </c>
      <c r="F87" t="s">
        <v>231</v>
      </c>
      <c r="G87" t="s">
        <v>232</v>
      </c>
      <c r="H87" t="s">
        <v>232</v>
      </c>
      <c r="I87" t="s">
        <v>85</v>
      </c>
    </row>
    <row r="88" spans="1:9" x14ac:dyDescent="0.25">
      <c r="A88" s="1" t="str">
        <f t="shared" ref="A88:A100" si="0">HYPERLINK("https://lynxcrm-apac--c.eu19.visual.force.com/0011i000001xnmFAAQ","Abdul Razakjr, bin Omar")</f>
        <v>Abdul Razakjr, bin Omar</v>
      </c>
      <c r="B88" t="s">
        <v>233</v>
      </c>
      <c r="C88" t="s">
        <v>28</v>
      </c>
      <c r="D88" t="s">
        <v>164</v>
      </c>
      <c r="E88" t="s">
        <v>8</v>
      </c>
      <c r="F88" t="s">
        <v>234</v>
      </c>
      <c r="G88" t="s">
        <v>163</v>
      </c>
      <c r="H88" t="s">
        <v>163</v>
      </c>
      <c r="I88" t="s">
        <v>235</v>
      </c>
    </row>
    <row r="89" spans="1:9" x14ac:dyDescent="0.25">
      <c r="A89" s="1" t="str">
        <f t="shared" si="0"/>
        <v>Abdul Razakjr, bin Omar</v>
      </c>
      <c r="B89" t="s">
        <v>233</v>
      </c>
      <c r="C89" t="s">
        <v>28</v>
      </c>
      <c r="D89" t="s">
        <v>164</v>
      </c>
      <c r="E89" t="s">
        <v>8</v>
      </c>
      <c r="F89" t="s">
        <v>236</v>
      </c>
      <c r="G89" t="s">
        <v>237</v>
      </c>
      <c r="H89" t="s">
        <v>237</v>
      </c>
      <c r="I89" t="s">
        <v>165</v>
      </c>
    </row>
    <row r="90" spans="1:9" x14ac:dyDescent="0.25">
      <c r="A90" s="1" t="str">
        <f t="shared" si="0"/>
        <v>Abdul Razakjr, bin Omar</v>
      </c>
      <c r="B90" t="s">
        <v>233</v>
      </c>
      <c r="C90" t="s">
        <v>28</v>
      </c>
      <c r="D90" t="s">
        <v>164</v>
      </c>
      <c r="E90" t="s">
        <v>8</v>
      </c>
      <c r="F90" t="s">
        <v>238</v>
      </c>
      <c r="G90" t="s">
        <v>163</v>
      </c>
      <c r="H90" t="s">
        <v>163</v>
      </c>
      <c r="I90" t="s">
        <v>165</v>
      </c>
    </row>
    <row r="91" spans="1:9" x14ac:dyDescent="0.25">
      <c r="A91" s="1" t="str">
        <f t="shared" si="0"/>
        <v>Abdul Razakjr, bin Omar</v>
      </c>
      <c r="B91" t="s">
        <v>233</v>
      </c>
      <c r="C91" t="s">
        <v>28</v>
      </c>
      <c r="D91" t="s">
        <v>164</v>
      </c>
      <c r="E91" t="s">
        <v>8</v>
      </c>
      <c r="F91" t="s">
        <v>239</v>
      </c>
      <c r="G91" t="s">
        <v>163</v>
      </c>
      <c r="H91" t="s">
        <v>163</v>
      </c>
      <c r="I91" t="s">
        <v>165</v>
      </c>
    </row>
    <row r="92" spans="1:9" x14ac:dyDescent="0.25">
      <c r="A92" s="1" t="str">
        <f t="shared" si="0"/>
        <v>Abdul Razakjr, bin Omar</v>
      </c>
      <c r="B92" t="s">
        <v>233</v>
      </c>
      <c r="C92" t="s">
        <v>28</v>
      </c>
      <c r="D92" t="s">
        <v>164</v>
      </c>
      <c r="E92" t="s">
        <v>8</v>
      </c>
      <c r="F92" t="s">
        <v>240</v>
      </c>
      <c r="G92" t="s">
        <v>163</v>
      </c>
      <c r="H92" t="s">
        <v>163</v>
      </c>
      <c r="I92" t="s">
        <v>165</v>
      </c>
    </row>
    <row r="93" spans="1:9" x14ac:dyDescent="0.25">
      <c r="A93" s="1" t="str">
        <f t="shared" si="0"/>
        <v>Abdul Razakjr, bin Omar</v>
      </c>
      <c r="B93" t="s">
        <v>233</v>
      </c>
      <c r="C93" t="s">
        <v>28</v>
      </c>
      <c r="D93" t="s">
        <v>164</v>
      </c>
      <c r="E93" t="s">
        <v>8</v>
      </c>
      <c r="F93" t="s">
        <v>241</v>
      </c>
      <c r="G93" t="s">
        <v>163</v>
      </c>
      <c r="H93" t="s">
        <v>242</v>
      </c>
      <c r="I93" t="s">
        <v>165</v>
      </c>
    </row>
    <row r="94" spans="1:9" x14ac:dyDescent="0.25">
      <c r="A94" s="1" t="str">
        <f t="shared" si="0"/>
        <v>Abdul Razakjr, bin Omar</v>
      </c>
      <c r="B94" t="s">
        <v>233</v>
      </c>
      <c r="C94" t="s">
        <v>28</v>
      </c>
      <c r="D94" t="s">
        <v>164</v>
      </c>
      <c r="E94" t="s">
        <v>8</v>
      </c>
      <c r="F94" t="s">
        <v>243</v>
      </c>
      <c r="G94" t="s">
        <v>163</v>
      </c>
      <c r="H94" t="s">
        <v>163</v>
      </c>
      <c r="I94" t="s">
        <v>244</v>
      </c>
    </row>
    <row r="95" spans="1:9" x14ac:dyDescent="0.25">
      <c r="A95" s="1" t="str">
        <f t="shared" si="0"/>
        <v>Abdul Razakjr, bin Omar</v>
      </c>
      <c r="B95" t="s">
        <v>233</v>
      </c>
      <c r="C95" t="s">
        <v>28</v>
      </c>
      <c r="D95" t="s">
        <v>164</v>
      </c>
      <c r="E95" t="s">
        <v>8</v>
      </c>
      <c r="F95" t="s">
        <v>245</v>
      </c>
      <c r="G95" t="s">
        <v>163</v>
      </c>
      <c r="H95" t="s">
        <v>163</v>
      </c>
      <c r="I95" t="s">
        <v>165</v>
      </c>
    </row>
    <row r="96" spans="1:9" x14ac:dyDescent="0.25">
      <c r="A96" s="1" t="str">
        <f t="shared" si="0"/>
        <v>Abdul Razakjr, bin Omar</v>
      </c>
      <c r="B96" t="s">
        <v>233</v>
      </c>
      <c r="C96" t="s">
        <v>28</v>
      </c>
      <c r="D96" t="s">
        <v>164</v>
      </c>
      <c r="E96" t="s">
        <v>8</v>
      </c>
      <c r="F96" t="s">
        <v>246</v>
      </c>
      <c r="G96" t="s">
        <v>163</v>
      </c>
      <c r="H96" t="s">
        <v>163</v>
      </c>
      <c r="I96" t="s">
        <v>244</v>
      </c>
    </row>
    <row r="97" spans="1:9" x14ac:dyDescent="0.25">
      <c r="A97" s="1" t="str">
        <f t="shared" si="0"/>
        <v>Abdul Razakjr, bin Omar</v>
      </c>
      <c r="B97" t="s">
        <v>233</v>
      </c>
      <c r="C97" t="s">
        <v>28</v>
      </c>
      <c r="D97" t="s">
        <v>164</v>
      </c>
      <c r="E97" t="s">
        <v>8</v>
      </c>
      <c r="F97" t="s">
        <v>247</v>
      </c>
      <c r="G97" t="s">
        <v>163</v>
      </c>
      <c r="H97" t="s">
        <v>242</v>
      </c>
      <c r="I97" t="s">
        <v>165</v>
      </c>
    </row>
    <row r="98" spans="1:9" x14ac:dyDescent="0.25">
      <c r="A98" s="1" t="str">
        <f t="shared" si="0"/>
        <v>Abdul Razakjr, bin Omar</v>
      </c>
      <c r="B98" t="s">
        <v>233</v>
      </c>
      <c r="C98" t="s">
        <v>28</v>
      </c>
      <c r="D98" t="s">
        <v>164</v>
      </c>
      <c r="E98" t="s">
        <v>8</v>
      </c>
      <c r="F98" t="s">
        <v>248</v>
      </c>
      <c r="G98" t="s">
        <v>163</v>
      </c>
      <c r="H98" t="s">
        <v>242</v>
      </c>
      <c r="I98" t="s">
        <v>165</v>
      </c>
    </row>
    <row r="99" spans="1:9" x14ac:dyDescent="0.25">
      <c r="A99" s="1" t="str">
        <f t="shared" si="0"/>
        <v>Abdul Razakjr, bin Omar</v>
      </c>
      <c r="B99" t="s">
        <v>233</v>
      </c>
      <c r="C99" t="s">
        <v>28</v>
      </c>
      <c r="D99" t="s">
        <v>164</v>
      </c>
      <c r="E99" t="s">
        <v>8</v>
      </c>
      <c r="F99" t="s">
        <v>249</v>
      </c>
      <c r="G99" t="s">
        <v>163</v>
      </c>
      <c r="H99" t="s">
        <v>163</v>
      </c>
      <c r="I99" t="s">
        <v>165</v>
      </c>
    </row>
    <row r="100" spans="1:9" x14ac:dyDescent="0.25">
      <c r="A100" s="1" t="str">
        <f t="shared" si="0"/>
        <v>Abdul Razakjr, bin Omar</v>
      </c>
      <c r="B100" t="s">
        <v>233</v>
      </c>
      <c r="C100" t="s">
        <v>28</v>
      </c>
      <c r="D100" t="s">
        <v>164</v>
      </c>
      <c r="E100" t="s">
        <v>8</v>
      </c>
      <c r="F100" t="s">
        <v>234</v>
      </c>
      <c r="G100" t="s">
        <v>163</v>
      </c>
      <c r="H100" t="s">
        <v>163</v>
      </c>
      <c r="I100" t="s">
        <v>244</v>
      </c>
    </row>
    <row r="101" spans="1:9" x14ac:dyDescent="0.25">
      <c r="A101" s="1" t="str">
        <f>HYPERLINK("https://lynxcrm-apac--c.eu19.visual.force.com/0011i000001xnySAAQ","Abeed, Ahmed Pall")</f>
        <v>Abeed, Ahmed Pall</v>
      </c>
      <c r="B101" t="s">
        <v>250</v>
      </c>
      <c r="C101" t="s">
        <v>28</v>
      </c>
      <c r="D101" t="s">
        <v>251</v>
      </c>
      <c r="E101" t="s">
        <v>8</v>
      </c>
      <c r="F101" t="s">
        <v>251</v>
      </c>
      <c r="G101" t="s">
        <v>252</v>
      </c>
      <c r="H101" t="s">
        <v>252</v>
      </c>
      <c r="I101" t="s">
        <v>253</v>
      </c>
    </row>
    <row r="102" spans="1:9" x14ac:dyDescent="0.25">
      <c r="A102" s="1" t="str">
        <f>HYPERLINK("https://lynxcrm-apac--c.eu19.visual.force.com/0011i000001xnySAAQ","Abeed, Ahmed Pall")</f>
        <v>Abeed, Ahmed Pall</v>
      </c>
      <c r="B102" t="s">
        <v>250</v>
      </c>
      <c r="C102" t="s">
        <v>28</v>
      </c>
      <c r="D102" t="s">
        <v>251</v>
      </c>
      <c r="E102" t="s">
        <v>8</v>
      </c>
      <c r="F102" t="s">
        <v>241</v>
      </c>
      <c r="G102" t="s">
        <v>252</v>
      </c>
      <c r="H102" t="s">
        <v>252</v>
      </c>
      <c r="I102" t="s">
        <v>253</v>
      </c>
    </row>
    <row r="103" spans="1:9" x14ac:dyDescent="0.25">
      <c r="A103" s="1" t="str">
        <f>HYPERLINK("https://lynxcrm-apac--c.eu19.visual.force.com/0011i000001xmmFAAQ","Abel Soh Diabetes &amp; Thyroid &amp; Endocrine Clinic")</f>
        <v>Abel Soh Diabetes &amp; Thyroid &amp; Endocrine Clinic</v>
      </c>
      <c r="B103" t="s">
        <v>254</v>
      </c>
      <c r="C103" t="s">
        <v>10</v>
      </c>
      <c r="D103" t="s">
        <v>8</v>
      </c>
      <c r="E103" t="s">
        <v>8</v>
      </c>
      <c r="F103" t="s">
        <v>255</v>
      </c>
      <c r="G103" t="s">
        <v>121</v>
      </c>
      <c r="H103" t="s">
        <v>121</v>
      </c>
      <c r="I103" t="s">
        <v>123</v>
      </c>
    </row>
    <row r="104" spans="1:9" x14ac:dyDescent="0.25">
      <c r="A104" s="1" t="str">
        <f>HYPERLINK("https://lynxcrm-apac--c.eu19.visual.force.com/0011i00000nIAk4AAG","Acharya, Ranjana")</f>
        <v>Acharya, Ranjana</v>
      </c>
      <c r="B104" t="s">
        <v>256</v>
      </c>
      <c r="C104" t="s">
        <v>28</v>
      </c>
      <c r="D104" t="s">
        <v>8</v>
      </c>
      <c r="E104" t="s">
        <v>8</v>
      </c>
      <c r="F104" t="s">
        <v>257</v>
      </c>
      <c r="G104" t="s">
        <v>258</v>
      </c>
      <c r="H104" t="s">
        <v>259</v>
      </c>
      <c r="I104" t="s">
        <v>260</v>
      </c>
    </row>
    <row r="105" spans="1:9" x14ac:dyDescent="0.25">
      <c r="A105" s="1" t="str">
        <f>HYPERLINK("https://lynxcrm-apac--c.eu19.visual.force.com/0011i00000nIAk4AAG","Acharya, Ranjana")</f>
        <v>Acharya, Ranjana</v>
      </c>
      <c r="B105" t="s">
        <v>256</v>
      </c>
      <c r="C105" t="s">
        <v>28</v>
      </c>
      <c r="D105" t="s">
        <v>261</v>
      </c>
      <c r="E105" t="s">
        <v>8</v>
      </c>
      <c r="F105" t="s">
        <v>257</v>
      </c>
      <c r="G105" t="s">
        <v>258</v>
      </c>
      <c r="H105" t="s">
        <v>259</v>
      </c>
      <c r="I105" t="s">
        <v>260</v>
      </c>
    </row>
    <row r="106" spans="1:9" x14ac:dyDescent="0.25">
      <c r="A106" s="1" t="str">
        <f>HYPERLINK("https://lynxcrm-apac--c.eu19.visual.force.com/0011i000001xn21AAA","ACJ Women's Clinic Pte Ltd")</f>
        <v>ACJ Women's Clinic Pte Ltd</v>
      </c>
      <c r="B106" t="s">
        <v>262</v>
      </c>
      <c r="C106" t="s">
        <v>10</v>
      </c>
      <c r="D106" t="s">
        <v>8</v>
      </c>
      <c r="E106" t="s">
        <v>8</v>
      </c>
      <c r="F106" t="s">
        <v>263</v>
      </c>
      <c r="G106" t="s">
        <v>264</v>
      </c>
      <c r="H106" t="s">
        <v>265</v>
      </c>
      <c r="I106" t="s">
        <v>266</v>
      </c>
    </row>
    <row r="107" spans="1:9" x14ac:dyDescent="0.25">
      <c r="A107" s="1" t="str">
        <f>HYPERLINK("https://lynxcrm-apac--c.eu19.visual.force.com/0011i000001xmeXAAQ","ACJ Women's Clinic Pte Ltd")</f>
        <v>ACJ Women's Clinic Pte Ltd</v>
      </c>
      <c r="B107" t="s">
        <v>267</v>
      </c>
      <c r="C107" t="s">
        <v>10</v>
      </c>
      <c r="D107" t="s">
        <v>8</v>
      </c>
      <c r="E107" t="s">
        <v>8</v>
      </c>
      <c r="F107" t="s">
        <v>263</v>
      </c>
      <c r="G107" t="s">
        <v>264</v>
      </c>
      <c r="H107" t="s">
        <v>265</v>
      </c>
      <c r="I107" t="s">
        <v>266</v>
      </c>
    </row>
    <row r="108" spans="1:9" x14ac:dyDescent="0.25">
      <c r="A108" s="1" t="str">
        <f>HYPERLINK("https://lynxcrm-apac--c.eu19.visual.force.com/0011i000001xnSTAAY","ACJ Women's Clinic Pte Ltd")</f>
        <v>ACJ Women's Clinic Pte Ltd</v>
      </c>
      <c r="B108" t="s">
        <v>268</v>
      </c>
      <c r="C108" t="s">
        <v>10</v>
      </c>
      <c r="D108" t="s">
        <v>8</v>
      </c>
      <c r="E108" t="s">
        <v>8</v>
      </c>
      <c r="F108" t="s">
        <v>263</v>
      </c>
      <c r="G108" t="s">
        <v>264</v>
      </c>
      <c r="H108" t="s">
        <v>265</v>
      </c>
      <c r="I108" t="s">
        <v>266</v>
      </c>
    </row>
    <row r="109" spans="1:9" x14ac:dyDescent="0.25">
      <c r="A109" s="1" t="str">
        <f>HYPERLINK("https://lynxcrm-apac--c.eu19.visual.force.com/0011i000001xnFdAAI","A Clinic for Women")</f>
        <v>A Clinic for Women</v>
      </c>
      <c r="B109" t="s">
        <v>269</v>
      </c>
      <c r="C109" t="s">
        <v>10</v>
      </c>
      <c r="D109" t="s">
        <v>8</v>
      </c>
      <c r="E109" t="s">
        <v>8</v>
      </c>
      <c r="F109" t="s">
        <v>270</v>
      </c>
      <c r="G109" t="s">
        <v>198</v>
      </c>
      <c r="H109" t="s">
        <v>198</v>
      </c>
      <c r="I109" t="s">
        <v>200</v>
      </c>
    </row>
    <row r="110" spans="1:9" x14ac:dyDescent="0.25">
      <c r="A110" s="1" t="str">
        <f>HYPERLINK("https://lynxcrm-apac--c.eu19.visual.force.com/0011i000001xmshAAA","Acumed Medical Group")</f>
        <v>Acumed Medical Group</v>
      </c>
      <c r="B110" t="s">
        <v>271</v>
      </c>
      <c r="C110" t="s">
        <v>10</v>
      </c>
      <c r="D110" t="s">
        <v>8</v>
      </c>
      <c r="E110" t="s">
        <v>8</v>
      </c>
      <c r="F110" t="s">
        <v>272</v>
      </c>
      <c r="G110" t="s">
        <v>273</v>
      </c>
      <c r="H110" t="s">
        <v>274</v>
      </c>
      <c r="I110" t="s">
        <v>275</v>
      </c>
    </row>
    <row r="111" spans="1:9" x14ac:dyDescent="0.25">
      <c r="A111" s="1" t="str">
        <f>HYPERLINK("https://lynxcrm-apac--c.eu19.visual.force.com/0011i000001xnR9AAI","Acumed Medical Group")</f>
        <v>Acumed Medical Group</v>
      </c>
      <c r="B111" t="s">
        <v>276</v>
      </c>
      <c r="C111" t="s">
        <v>10</v>
      </c>
      <c r="D111" t="s">
        <v>8</v>
      </c>
      <c r="E111" t="s">
        <v>8</v>
      </c>
      <c r="F111" t="s">
        <v>272</v>
      </c>
      <c r="G111" t="s">
        <v>277</v>
      </c>
      <c r="H111" t="s">
        <v>277</v>
      </c>
      <c r="I111" t="s">
        <v>275</v>
      </c>
    </row>
    <row r="112" spans="1:9" x14ac:dyDescent="0.25">
      <c r="A112" s="1" t="str">
        <f>HYPERLINK("https://lynxcrm-apac--c.eu19.visual.force.com/0011i000001xmnoAAA","Acumed Medical Group")</f>
        <v>Acumed Medical Group</v>
      </c>
      <c r="B112" t="s">
        <v>278</v>
      </c>
      <c r="C112" t="s">
        <v>10</v>
      </c>
      <c r="D112" t="s">
        <v>8</v>
      </c>
      <c r="E112" t="s">
        <v>8</v>
      </c>
      <c r="F112" t="s">
        <v>279</v>
      </c>
      <c r="G112" t="s">
        <v>280</v>
      </c>
      <c r="H112" t="s">
        <v>280</v>
      </c>
      <c r="I112" t="s">
        <v>101</v>
      </c>
    </row>
    <row r="113" spans="1:9" x14ac:dyDescent="0.25">
      <c r="A113" s="1" t="str">
        <f>HYPERLINK("https://lynxcrm-apac--c.eu19.visual.force.com/0011i000001xnd6AAA","Acumed Medical Group - Taman Jurong")</f>
        <v>Acumed Medical Group - Taman Jurong</v>
      </c>
      <c r="B113" t="s">
        <v>281</v>
      </c>
      <c r="C113" t="s">
        <v>10</v>
      </c>
      <c r="D113" t="s">
        <v>8</v>
      </c>
      <c r="E113" t="s">
        <v>8</v>
      </c>
      <c r="F113" t="s">
        <v>272</v>
      </c>
      <c r="G113" t="s">
        <v>277</v>
      </c>
      <c r="H113" t="s">
        <v>277</v>
      </c>
      <c r="I113" t="s">
        <v>275</v>
      </c>
    </row>
    <row r="114" spans="1:9" x14ac:dyDescent="0.25">
      <c r="A114" s="1" t="str">
        <f>HYPERLINK("https://lynxcrm-apac--c.eu19.visual.force.com/0011i000001xmszAAA","Acumed  Medical Group - Taman Jurong")</f>
        <v>Acumed  Medical Group - Taman Jurong</v>
      </c>
      <c r="B114" t="s">
        <v>282</v>
      </c>
      <c r="C114" t="s">
        <v>10</v>
      </c>
      <c r="D114" t="s">
        <v>8</v>
      </c>
      <c r="E114" t="s">
        <v>8</v>
      </c>
      <c r="F114" t="s">
        <v>272</v>
      </c>
      <c r="G114" t="s">
        <v>277</v>
      </c>
      <c r="H114" t="s">
        <v>277</v>
      </c>
      <c r="I114" t="s">
        <v>275</v>
      </c>
    </row>
    <row r="115" spans="1:9" x14ac:dyDescent="0.25">
      <c r="A115" s="1" t="str">
        <f>HYPERLINK("https://lynxcrm-apac--c.eu19.visual.force.com/0011i000001xmqHAAQ","Acumed Medical Group - Tmn Jurong")</f>
        <v>Acumed Medical Group - Tmn Jurong</v>
      </c>
      <c r="B115" t="s">
        <v>283</v>
      </c>
      <c r="C115" t="s">
        <v>10</v>
      </c>
      <c r="D115" t="s">
        <v>8</v>
      </c>
      <c r="E115" t="s">
        <v>8</v>
      </c>
      <c r="F115" t="s">
        <v>284</v>
      </c>
      <c r="G115" t="s">
        <v>277</v>
      </c>
      <c r="H115" t="s">
        <v>274</v>
      </c>
      <c r="I115" t="s">
        <v>275</v>
      </c>
    </row>
    <row r="116" spans="1:9" x14ac:dyDescent="0.25">
      <c r="A116" s="1" t="str">
        <f>HYPERLINK("https://lynxcrm-apac--c.eu19.visual.force.com/0011i000001xnTmAAI","Adam Road Hospital")</f>
        <v>Adam Road Hospital</v>
      </c>
      <c r="B116" t="s">
        <v>285</v>
      </c>
      <c r="C116" t="s">
        <v>10</v>
      </c>
      <c r="D116" t="s">
        <v>8</v>
      </c>
      <c r="E116" t="s">
        <v>8</v>
      </c>
      <c r="F116" t="s">
        <v>286</v>
      </c>
      <c r="G116" t="s">
        <v>287</v>
      </c>
      <c r="H116" t="s">
        <v>287</v>
      </c>
      <c r="I116" t="s">
        <v>288</v>
      </c>
    </row>
    <row r="117" spans="1:9" x14ac:dyDescent="0.25">
      <c r="A117" s="1" t="str">
        <f>HYPERLINK("https://lynxcrm-apac--c.eu19.visual.force.com/0011i000001xmf2AAA","Adelina Women's Clinic Pte Ltd")</f>
        <v>Adelina Women's Clinic Pte Ltd</v>
      </c>
      <c r="B117" t="s">
        <v>289</v>
      </c>
      <c r="C117" t="s">
        <v>10</v>
      </c>
      <c r="D117" t="s">
        <v>8</v>
      </c>
      <c r="E117" t="s">
        <v>8</v>
      </c>
      <c r="F117" t="s">
        <v>263</v>
      </c>
      <c r="G117" t="s">
        <v>290</v>
      </c>
      <c r="H117" t="s">
        <v>291</v>
      </c>
      <c r="I117" t="s">
        <v>266</v>
      </c>
    </row>
    <row r="118" spans="1:9" x14ac:dyDescent="0.25">
      <c r="A118" s="1" t="str">
        <f>HYPERLINK("https://lynxcrm-apac--c.eu19.visual.force.com/0011i000001xmsTAAQ","Adelphi Psychiatry &amp; Wellness Centre")</f>
        <v>Adelphi Psychiatry &amp; Wellness Centre</v>
      </c>
      <c r="B118" t="s">
        <v>292</v>
      </c>
      <c r="C118" t="s">
        <v>10</v>
      </c>
      <c r="D118" t="s">
        <v>8</v>
      </c>
      <c r="E118" t="s">
        <v>8</v>
      </c>
      <c r="F118" t="s">
        <v>293</v>
      </c>
      <c r="G118" t="s">
        <v>294</v>
      </c>
      <c r="H118" t="s">
        <v>294</v>
      </c>
      <c r="I118" t="s">
        <v>295</v>
      </c>
    </row>
    <row r="119" spans="1:9" x14ac:dyDescent="0.25">
      <c r="A119" s="1" t="str">
        <f>HYPERLINK("https://lynxcrm-apac--c.eu19.visual.force.com/0011i000001xnPyAAI","Adidah Family Clinic &amp; Surgery")</f>
        <v>Adidah Family Clinic &amp; Surgery</v>
      </c>
      <c r="B119" t="s">
        <v>296</v>
      </c>
      <c r="C119" t="s">
        <v>10</v>
      </c>
      <c r="D119" t="s">
        <v>8</v>
      </c>
      <c r="E119" t="s">
        <v>8</v>
      </c>
      <c r="F119" t="s">
        <v>297</v>
      </c>
      <c r="G119" t="s">
        <v>298</v>
      </c>
      <c r="H119" t="s">
        <v>298</v>
      </c>
      <c r="I119" t="s">
        <v>299</v>
      </c>
    </row>
    <row r="120" spans="1:9" x14ac:dyDescent="0.25">
      <c r="A120" s="1" t="str">
        <f>HYPERLINK("https://lynxcrm-apac--c.eu19.visual.force.com/0011i000001xnYkAAI","Admiralty Family Clinic")</f>
        <v>Admiralty Family Clinic</v>
      </c>
      <c r="B120" t="s">
        <v>300</v>
      </c>
      <c r="C120" t="s">
        <v>10</v>
      </c>
      <c r="D120" t="s">
        <v>8</v>
      </c>
      <c r="E120" t="s">
        <v>8</v>
      </c>
      <c r="F120" t="s">
        <v>301</v>
      </c>
      <c r="G120" t="s">
        <v>302</v>
      </c>
      <c r="H120" t="s">
        <v>303</v>
      </c>
      <c r="I120" t="s">
        <v>304</v>
      </c>
    </row>
    <row r="121" spans="1:9" x14ac:dyDescent="0.25">
      <c r="A121" s="1" t="str">
        <f>HYPERLINK("https://lynxcrm-apac--c.eu19.visual.force.com/0011i000001xnYkAAI","Admiralty Family Clinic")</f>
        <v>Admiralty Family Clinic</v>
      </c>
      <c r="B121" t="s">
        <v>300</v>
      </c>
      <c r="C121" t="s">
        <v>10</v>
      </c>
      <c r="D121" t="s">
        <v>8</v>
      </c>
      <c r="E121" t="s">
        <v>8</v>
      </c>
      <c r="F121" t="s">
        <v>305</v>
      </c>
      <c r="G121" t="s">
        <v>302</v>
      </c>
      <c r="H121" t="s">
        <v>306</v>
      </c>
      <c r="I121" t="s">
        <v>304</v>
      </c>
    </row>
    <row r="122" spans="1:9" x14ac:dyDescent="0.25">
      <c r="A122" s="1" t="str">
        <f>HYPERLINK("https://lynxcrm-apac--c.eu19.visual.force.com/0011i000001xn3xAAA","Adult &amp; Child Psychological Wellness Ctr")</f>
        <v>Adult &amp; Child Psychological Wellness Ctr</v>
      </c>
      <c r="B122" t="s">
        <v>307</v>
      </c>
      <c r="C122" t="s">
        <v>10</v>
      </c>
      <c r="D122" t="s">
        <v>8</v>
      </c>
      <c r="E122" t="s">
        <v>8</v>
      </c>
      <c r="F122" t="s">
        <v>308</v>
      </c>
      <c r="G122" t="s">
        <v>309</v>
      </c>
      <c r="H122" t="s">
        <v>309</v>
      </c>
      <c r="I122" t="s">
        <v>310</v>
      </c>
    </row>
    <row r="123" spans="1:9" x14ac:dyDescent="0.25">
      <c r="A123" s="1" t="str">
        <f>HYPERLINK("https://lynxcrm-apac--c.eu19.visual.force.com/0011i000001xnTCAAY","Advance Clinic &amp; Surgery")</f>
        <v>Advance Clinic &amp; Surgery</v>
      </c>
      <c r="B123" t="s">
        <v>311</v>
      </c>
      <c r="C123" t="s">
        <v>10</v>
      </c>
      <c r="D123" t="s">
        <v>8</v>
      </c>
      <c r="E123" t="s">
        <v>8</v>
      </c>
      <c r="F123" t="s">
        <v>312</v>
      </c>
      <c r="G123" t="s">
        <v>313</v>
      </c>
      <c r="H123" t="s">
        <v>314</v>
      </c>
      <c r="I123" t="s">
        <v>315</v>
      </c>
    </row>
    <row r="124" spans="1:9" x14ac:dyDescent="0.25">
      <c r="A124" s="1" t="str">
        <f>HYPERLINK("https://lynxcrm-apac--c.eu19.visual.force.com/0011i00000X9Nb9AAF","Advance Surgical Group")</f>
        <v>Advance Surgical Group</v>
      </c>
      <c r="B124" t="s">
        <v>316</v>
      </c>
      <c r="C124" t="s">
        <v>10</v>
      </c>
      <c r="D124" t="s">
        <v>8</v>
      </c>
      <c r="E124" t="s">
        <v>8</v>
      </c>
      <c r="F124" t="s">
        <v>317</v>
      </c>
      <c r="G124" t="s">
        <v>318</v>
      </c>
      <c r="H124" t="s">
        <v>319</v>
      </c>
      <c r="I124" t="s">
        <v>85</v>
      </c>
    </row>
    <row r="125" spans="1:9" x14ac:dyDescent="0.25">
      <c r="A125" s="1" t="str">
        <f>HYPERLINK("https://lynxcrm-apac--c.eu19.visual.force.com/0011i00000ugAhtAAE","AE Medical Clinic")</f>
        <v>AE Medical Clinic</v>
      </c>
      <c r="B125" t="s">
        <v>320</v>
      </c>
      <c r="C125" t="s">
        <v>10</v>
      </c>
      <c r="D125" t="s">
        <v>8</v>
      </c>
      <c r="E125" t="s">
        <v>8</v>
      </c>
      <c r="F125" t="s">
        <v>321</v>
      </c>
      <c r="G125" t="s">
        <v>322</v>
      </c>
      <c r="H125" t="s">
        <v>8</v>
      </c>
      <c r="I125" t="s">
        <v>323</v>
      </c>
    </row>
    <row r="126" spans="1:9" x14ac:dyDescent="0.25">
      <c r="A126" s="1" t="str">
        <f>HYPERLINK("https://lynxcrm-apac--c.eu19.visual.force.com/0011i000001xncNAAQ","Aeromedical &amp; Emotional Wellness")</f>
        <v>Aeromedical &amp; Emotional Wellness</v>
      </c>
      <c r="B126" t="s">
        <v>324</v>
      </c>
      <c r="C126" t="s">
        <v>10</v>
      </c>
      <c r="D126" t="s">
        <v>8</v>
      </c>
      <c r="E126" t="s">
        <v>8</v>
      </c>
      <c r="F126" t="s">
        <v>325</v>
      </c>
      <c r="G126" t="s">
        <v>326</v>
      </c>
      <c r="H126" t="s">
        <v>326</v>
      </c>
      <c r="I126" t="s">
        <v>310</v>
      </c>
    </row>
    <row r="127" spans="1:9" x14ac:dyDescent="0.25">
      <c r="A127" s="1" t="str">
        <f>HYPERLINK("https://lynxcrm-apac--c.eu19.visual.force.com/0011i000001xn9rAAA","Aesthetic Medical Partners Pte Ltd")</f>
        <v>Aesthetic Medical Partners Pte Ltd</v>
      </c>
      <c r="B127" t="s">
        <v>327</v>
      </c>
      <c r="C127" t="s">
        <v>10</v>
      </c>
      <c r="D127" t="s">
        <v>8</v>
      </c>
      <c r="E127" t="s">
        <v>8</v>
      </c>
      <c r="F127" t="s">
        <v>317</v>
      </c>
      <c r="G127" t="s">
        <v>328</v>
      </c>
      <c r="H127" t="s">
        <v>329</v>
      </c>
      <c r="I127" t="s">
        <v>85</v>
      </c>
    </row>
    <row r="128" spans="1:9" x14ac:dyDescent="0.25">
      <c r="A128" s="1" t="str">
        <f>HYPERLINK("https://lynxcrm-apac--c.eu19.visual.force.com/0011i000001xnVCAAY","Agape Clinic")</f>
        <v>Agape Clinic</v>
      </c>
      <c r="B128" t="s">
        <v>330</v>
      </c>
      <c r="C128" t="s">
        <v>10</v>
      </c>
      <c r="D128" t="s">
        <v>8</v>
      </c>
      <c r="E128" t="s">
        <v>8</v>
      </c>
      <c r="F128" t="s">
        <v>331</v>
      </c>
      <c r="G128" t="s">
        <v>332</v>
      </c>
      <c r="H128" t="s">
        <v>332</v>
      </c>
      <c r="I128" t="s">
        <v>333</v>
      </c>
    </row>
    <row r="129" spans="1:9" x14ac:dyDescent="0.25">
      <c r="A129" s="1" t="str">
        <f>HYPERLINK("https://lynxcrm-apac--c.eu19.visual.force.com/0011i000001xo1GAAQ","Agbayani, Jonna Charisma Alcaraz")</f>
        <v>Agbayani, Jonna Charisma Alcaraz</v>
      </c>
      <c r="B129" t="s">
        <v>334</v>
      </c>
      <c r="C129" t="s">
        <v>28</v>
      </c>
      <c r="D129" t="s">
        <v>335</v>
      </c>
      <c r="E129" t="s">
        <v>8</v>
      </c>
      <c r="F129" t="s">
        <v>336</v>
      </c>
      <c r="G129" t="s">
        <v>337</v>
      </c>
      <c r="H129" t="s">
        <v>337</v>
      </c>
      <c r="I129" t="s">
        <v>338</v>
      </c>
    </row>
    <row r="130" spans="1:9" x14ac:dyDescent="0.25">
      <c r="A130" s="1" t="str">
        <f>HYPERLINK("https://lynxcrm-apac--c.eu19.visual.force.com/0011i000001xo1GAAQ","Agbayani, Jonna Charisma Alcaraz")</f>
        <v>Agbayani, Jonna Charisma Alcaraz</v>
      </c>
      <c r="B130" t="s">
        <v>334</v>
      </c>
      <c r="C130" t="s">
        <v>28</v>
      </c>
      <c r="D130" t="s">
        <v>335</v>
      </c>
      <c r="E130" t="s">
        <v>8</v>
      </c>
      <c r="F130" t="s">
        <v>339</v>
      </c>
      <c r="G130" t="s">
        <v>337</v>
      </c>
      <c r="H130" t="s">
        <v>340</v>
      </c>
      <c r="I130" t="s">
        <v>338</v>
      </c>
    </row>
    <row r="131" spans="1:9" x14ac:dyDescent="0.25">
      <c r="A131" s="1" t="str">
        <f>HYPERLINK("https://lynxcrm-apac--c.eu19.visual.force.com/0011i000001xnP1AAI","Age-Link Specialist Clinic For Older Persons")</f>
        <v>Age-Link Specialist Clinic For Older Persons</v>
      </c>
      <c r="B131" t="s">
        <v>341</v>
      </c>
      <c r="C131" t="s">
        <v>10</v>
      </c>
      <c r="D131" t="s">
        <v>8</v>
      </c>
      <c r="E131" t="s">
        <v>8</v>
      </c>
      <c r="F131" t="s">
        <v>342</v>
      </c>
      <c r="G131" t="s">
        <v>343</v>
      </c>
      <c r="H131" t="s">
        <v>343</v>
      </c>
      <c r="I131" t="s">
        <v>344</v>
      </c>
    </row>
    <row r="132" spans="1:9" x14ac:dyDescent="0.25">
      <c r="A132" s="1" t="str">
        <f>HYPERLINK("https://lynxcrm-apac--c.eu19.visual.force.com/0011i000001xocfAAA","Ainolmardziah, Yusof")</f>
        <v>Ainolmardziah, Yusof</v>
      </c>
      <c r="B132" t="s">
        <v>345</v>
      </c>
      <c r="C132" t="s">
        <v>28</v>
      </c>
      <c r="D132" t="s">
        <v>346</v>
      </c>
      <c r="E132" t="s">
        <v>8</v>
      </c>
      <c r="F132" t="s">
        <v>258</v>
      </c>
      <c r="G132" t="s">
        <v>261</v>
      </c>
      <c r="H132" t="s">
        <v>261</v>
      </c>
      <c r="I132" t="s">
        <v>260</v>
      </c>
    </row>
    <row r="133" spans="1:9" x14ac:dyDescent="0.25">
      <c r="A133" s="1" t="str">
        <f>HYPERLINK("https://lynxcrm-apac--c.eu19.visual.force.com/0011i000001xocfAAA","Ainolmardziah, Yusof")</f>
        <v>Ainolmardziah, Yusof</v>
      </c>
      <c r="B133" t="s">
        <v>345</v>
      </c>
      <c r="C133" t="s">
        <v>28</v>
      </c>
      <c r="D133" t="s">
        <v>261</v>
      </c>
      <c r="E133" t="s">
        <v>8</v>
      </c>
      <c r="F133" t="s">
        <v>261</v>
      </c>
      <c r="G133" t="s">
        <v>347</v>
      </c>
      <c r="H133" t="s">
        <v>347</v>
      </c>
      <c r="I133" t="s">
        <v>260</v>
      </c>
    </row>
    <row r="134" spans="1:9" x14ac:dyDescent="0.25">
      <c r="A134" s="1" t="str">
        <f>HYPERLINK("https://lynxcrm-apac--c.eu19.visual.force.com/0011i000001xoVtAAI","Alcare Pharmacy, Balestier")</f>
        <v>Alcare Pharmacy, Balestier</v>
      </c>
      <c r="B134" t="s">
        <v>348</v>
      </c>
      <c r="C134" t="s">
        <v>28</v>
      </c>
      <c r="D134" t="s">
        <v>349</v>
      </c>
      <c r="E134" t="s">
        <v>8</v>
      </c>
      <c r="F134" t="s">
        <v>349</v>
      </c>
      <c r="G134" t="s">
        <v>350</v>
      </c>
      <c r="H134" t="s">
        <v>350</v>
      </c>
      <c r="I134" t="s">
        <v>351</v>
      </c>
    </row>
    <row r="135" spans="1:9" x14ac:dyDescent="0.25">
      <c r="A135" s="1" t="str">
        <f>HYPERLINK("https://lynxcrm-apac--c.eu19.visual.force.com/0011i000001xoW3AAI","Alchemy Pharmacy")</f>
        <v>Alchemy Pharmacy</v>
      </c>
      <c r="B135" t="s">
        <v>352</v>
      </c>
      <c r="C135" t="s">
        <v>28</v>
      </c>
      <c r="D135" t="s">
        <v>353</v>
      </c>
      <c r="E135" t="s">
        <v>8</v>
      </c>
      <c r="F135" t="s">
        <v>75</v>
      </c>
      <c r="G135" t="s">
        <v>76</v>
      </c>
      <c r="H135" t="s">
        <v>76</v>
      </c>
      <c r="I135" t="s">
        <v>77</v>
      </c>
    </row>
    <row r="136" spans="1:9" x14ac:dyDescent="0.25">
      <c r="A136" s="1" t="str">
        <f>HYPERLINK("https://lynxcrm-apac--c.eu19.visual.force.com/0011i000001xmn3AAA","Alexandra Family Clinic &amp; Surgery")</f>
        <v>Alexandra Family Clinic &amp; Surgery</v>
      </c>
      <c r="B136" t="s">
        <v>354</v>
      </c>
      <c r="C136" t="s">
        <v>10</v>
      </c>
      <c r="D136" t="s">
        <v>8</v>
      </c>
      <c r="E136" t="s">
        <v>8</v>
      </c>
      <c r="F136" t="s">
        <v>355</v>
      </c>
      <c r="G136" t="s">
        <v>356</v>
      </c>
      <c r="H136" t="s">
        <v>356</v>
      </c>
      <c r="I136" t="s">
        <v>357</v>
      </c>
    </row>
    <row r="137" spans="1:9" x14ac:dyDescent="0.25">
      <c r="A137" s="1" t="str">
        <f>HYPERLINK("https://lynxcrm-apac--c.eu19.visual.force.com/0011i000001xmkiAAA","Alexandra Hospital")</f>
        <v>Alexandra Hospital</v>
      </c>
      <c r="B137" t="s">
        <v>358</v>
      </c>
      <c r="C137" t="s">
        <v>10</v>
      </c>
      <c r="D137" t="s">
        <v>8</v>
      </c>
      <c r="E137" t="s">
        <v>8</v>
      </c>
      <c r="F137" t="s">
        <v>359</v>
      </c>
      <c r="G137" t="s">
        <v>360</v>
      </c>
      <c r="H137" t="s">
        <v>361</v>
      </c>
      <c r="I137" t="s">
        <v>362</v>
      </c>
    </row>
    <row r="138" spans="1:9" x14ac:dyDescent="0.25">
      <c r="A138" s="1" t="str">
        <f>HYPERLINK("https://lynxcrm-apac--c.eu19.visual.force.com/0011i000001xml1AAA","Alexandra Hospital")</f>
        <v>Alexandra Hospital</v>
      </c>
      <c r="B138" t="s">
        <v>363</v>
      </c>
      <c r="C138" t="s">
        <v>10</v>
      </c>
      <c r="D138" t="s">
        <v>8</v>
      </c>
      <c r="E138" t="s">
        <v>8</v>
      </c>
      <c r="F138" t="s">
        <v>364</v>
      </c>
      <c r="G138" t="s">
        <v>364</v>
      </c>
      <c r="H138" t="s">
        <v>361</v>
      </c>
      <c r="I138" t="s">
        <v>362</v>
      </c>
    </row>
    <row r="139" spans="1:9" x14ac:dyDescent="0.25">
      <c r="A139" s="1" t="str">
        <f>HYPERLINK("https://lynxcrm-apac--c.eu19.visual.force.com/0011i000001xn4FAAQ","Alexandra Hospital")</f>
        <v>Alexandra Hospital</v>
      </c>
      <c r="B139" t="s">
        <v>365</v>
      </c>
      <c r="C139" t="s">
        <v>10</v>
      </c>
      <c r="D139" t="s">
        <v>8</v>
      </c>
      <c r="E139" t="s">
        <v>8</v>
      </c>
      <c r="F139" t="s">
        <v>366</v>
      </c>
      <c r="G139" t="s">
        <v>360</v>
      </c>
      <c r="H139" t="s">
        <v>361</v>
      </c>
      <c r="I139" t="s">
        <v>362</v>
      </c>
    </row>
    <row r="140" spans="1:9" x14ac:dyDescent="0.25">
      <c r="A140" s="1" t="str">
        <f>HYPERLINK("https://lynxcrm-apac--c.eu19.visual.force.com/0011i000001xn4pAAA","Alexandra Hospital")</f>
        <v>Alexandra Hospital</v>
      </c>
      <c r="B140" t="s">
        <v>367</v>
      </c>
      <c r="C140" t="s">
        <v>10</v>
      </c>
      <c r="D140" t="s">
        <v>8</v>
      </c>
      <c r="E140" t="s">
        <v>8</v>
      </c>
      <c r="F140" t="s">
        <v>368</v>
      </c>
      <c r="G140" t="s">
        <v>360</v>
      </c>
      <c r="H140" t="s">
        <v>360</v>
      </c>
      <c r="I140" t="s">
        <v>362</v>
      </c>
    </row>
    <row r="141" spans="1:9" x14ac:dyDescent="0.25">
      <c r="A141" s="1" t="str">
        <f>HYPERLINK("https://lynxcrm-apac--c.eu19.visual.force.com/0011i000001xmb3AAA","Alexandra Hospital")</f>
        <v>Alexandra Hospital</v>
      </c>
      <c r="B141" t="s">
        <v>369</v>
      </c>
      <c r="C141" t="s">
        <v>10</v>
      </c>
      <c r="D141" t="s">
        <v>8</v>
      </c>
      <c r="E141" t="s">
        <v>8</v>
      </c>
      <c r="F141" t="s">
        <v>257</v>
      </c>
      <c r="G141" t="s">
        <v>360</v>
      </c>
      <c r="H141" t="s">
        <v>361</v>
      </c>
      <c r="I141" t="s">
        <v>362</v>
      </c>
    </row>
    <row r="142" spans="1:9" x14ac:dyDescent="0.25">
      <c r="A142" s="1" t="str">
        <f>HYPERLINK("https://lynxcrm-apac--c.eu19.visual.force.com/0011i000001xnS9AAI","Alexandra Hospital")</f>
        <v>Alexandra Hospital</v>
      </c>
      <c r="B142" t="s">
        <v>370</v>
      </c>
      <c r="C142" t="s">
        <v>10</v>
      </c>
      <c r="D142" t="s">
        <v>8</v>
      </c>
      <c r="E142" t="s">
        <v>8</v>
      </c>
      <c r="F142" t="s">
        <v>257</v>
      </c>
      <c r="G142" t="s">
        <v>360</v>
      </c>
      <c r="H142" t="s">
        <v>361</v>
      </c>
      <c r="I142" t="s">
        <v>362</v>
      </c>
    </row>
    <row r="143" spans="1:9" x14ac:dyDescent="0.25">
      <c r="A143" s="1" t="str">
        <f>HYPERLINK("https://lynxcrm-apac--c.eu19.visual.force.com/0011i000001xnXdAAI","Alexandra Hospital")</f>
        <v>Alexandra Hospital</v>
      </c>
      <c r="B143" t="s">
        <v>371</v>
      </c>
      <c r="C143" t="s">
        <v>10</v>
      </c>
      <c r="D143" t="s">
        <v>8</v>
      </c>
      <c r="E143" t="s">
        <v>8</v>
      </c>
      <c r="F143" t="s">
        <v>366</v>
      </c>
      <c r="G143" t="s">
        <v>360</v>
      </c>
      <c r="H143" t="s">
        <v>361</v>
      </c>
      <c r="I143" t="s">
        <v>362</v>
      </c>
    </row>
    <row r="144" spans="1:9" x14ac:dyDescent="0.25">
      <c r="A144" s="1" t="str">
        <f>HYPERLINK("https://lynxcrm-apac--c.eu19.visual.force.com/0011i000001xnUwAAI","Alex Fok Endocrine Pratice")</f>
        <v>Alex Fok Endocrine Pratice</v>
      </c>
      <c r="B144" t="s">
        <v>372</v>
      </c>
      <c r="C144" t="s">
        <v>10</v>
      </c>
      <c r="D144" t="s">
        <v>8</v>
      </c>
      <c r="E144" t="s">
        <v>8</v>
      </c>
      <c r="F144" t="s">
        <v>373</v>
      </c>
      <c r="G144" t="s">
        <v>374</v>
      </c>
      <c r="H144" t="s">
        <v>375</v>
      </c>
      <c r="I144" t="s">
        <v>123</v>
      </c>
    </row>
    <row r="145" spans="1:9" x14ac:dyDescent="0.25">
      <c r="A145" s="1" t="str">
        <f>HYPERLINK("https://lynxcrm-apac--c.eu19.visual.force.com/0011i000001xmx4AAA","Alexius Chee Gastroenterology &amp; Medical Clinic")</f>
        <v>Alexius Chee Gastroenterology &amp; Medical Clinic</v>
      </c>
      <c r="B145" t="s">
        <v>376</v>
      </c>
      <c r="C145" t="s">
        <v>10</v>
      </c>
      <c r="D145" t="s">
        <v>8</v>
      </c>
      <c r="E145" t="s">
        <v>8</v>
      </c>
      <c r="F145" t="s">
        <v>377</v>
      </c>
      <c r="G145" t="s">
        <v>378</v>
      </c>
      <c r="H145" t="s">
        <v>379</v>
      </c>
      <c r="I145" t="s">
        <v>123</v>
      </c>
    </row>
    <row r="146" spans="1:9" x14ac:dyDescent="0.25">
      <c r="A146" s="1" t="str">
        <f>HYPERLINK("https://lynxcrm-apac--c.eu19.visual.force.com/0011i000001xndWAAQ","Alex Ooi &amp; Associates Obgyn Consultants")</f>
        <v>Alex Ooi &amp; Associates Obgyn Consultants</v>
      </c>
      <c r="B146" t="s">
        <v>380</v>
      </c>
      <c r="C146" t="s">
        <v>10</v>
      </c>
      <c r="D146" t="s">
        <v>8</v>
      </c>
      <c r="E146" t="s">
        <v>8</v>
      </c>
      <c r="F146" t="s">
        <v>373</v>
      </c>
      <c r="G146" t="s">
        <v>381</v>
      </c>
      <c r="H146" t="s">
        <v>382</v>
      </c>
      <c r="I146" t="s">
        <v>123</v>
      </c>
    </row>
    <row r="147" spans="1:9" x14ac:dyDescent="0.25">
      <c r="A147" s="1" t="str">
        <f>HYPERLINK("https://lynxcrm-apac--c.eu19.visual.force.com/0011i000001xmp2AAA","Alfred Cheng Cardiac Care Pte Ltd")</f>
        <v>Alfred Cheng Cardiac Care Pte Ltd</v>
      </c>
      <c r="B147" t="s">
        <v>383</v>
      </c>
      <c r="C147" t="s">
        <v>10</v>
      </c>
      <c r="D147" t="s">
        <v>8</v>
      </c>
      <c r="E147" t="s">
        <v>8</v>
      </c>
      <c r="F147" t="s">
        <v>377</v>
      </c>
      <c r="G147" t="s">
        <v>384</v>
      </c>
      <c r="H147" t="s">
        <v>385</v>
      </c>
      <c r="I147" t="s">
        <v>123</v>
      </c>
    </row>
    <row r="148" spans="1:9" x14ac:dyDescent="0.25">
      <c r="A148" s="1" t="str">
        <f>HYPERLINK("https://lynxcrm-apac--c.eu19.visual.force.com/0011i00000vJl7zAAC","AliveoMedical")</f>
        <v>AliveoMedical</v>
      </c>
      <c r="B148" t="s">
        <v>386</v>
      </c>
      <c r="C148" t="s">
        <v>10</v>
      </c>
      <c r="D148" t="s">
        <v>8</v>
      </c>
      <c r="E148" t="s">
        <v>8</v>
      </c>
      <c r="F148" t="s">
        <v>387</v>
      </c>
      <c r="G148" t="s">
        <v>388</v>
      </c>
      <c r="H148" t="s">
        <v>389</v>
      </c>
      <c r="I148" t="s">
        <v>123</v>
      </c>
    </row>
    <row r="149" spans="1:9" x14ac:dyDescent="0.25">
      <c r="A149" s="1" t="str">
        <f>HYPERLINK("https://lynxcrm-apac--c.eu19.visual.force.com/0011i00000vJl7zAAC","AliveoMedical")</f>
        <v>AliveoMedical</v>
      </c>
      <c r="B149" t="s">
        <v>386</v>
      </c>
      <c r="C149" t="s">
        <v>10</v>
      </c>
      <c r="D149" t="s">
        <v>8</v>
      </c>
      <c r="E149" t="s">
        <v>8</v>
      </c>
      <c r="F149" t="s">
        <v>388</v>
      </c>
      <c r="G149" t="s">
        <v>390</v>
      </c>
      <c r="H149" t="s">
        <v>8</v>
      </c>
      <c r="I149" t="s">
        <v>123</v>
      </c>
    </row>
    <row r="150" spans="1:9" x14ac:dyDescent="0.25">
      <c r="A150" s="1" t="str">
        <f>HYPERLINK("https://lynxcrm-apac--c.eu19.visual.force.com/0011i000001xohPAAQ","Allagarsamy, Karpagavalli")</f>
        <v>Allagarsamy, Karpagavalli</v>
      </c>
      <c r="B150" t="s">
        <v>391</v>
      </c>
      <c r="C150" t="s">
        <v>28</v>
      </c>
      <c r="D150" t="s">
        <v>392</v>
      </c>
      <c r="E150" t="s">
        <v>8</v>
      </c>
      <c r="F150" t="s">
        <v>393</v>
      </c>
      <c r="G150" t="s">
        <v>394</v>
      </c>
      <c r="H150" t="s">
        <v>395</v>
      </c>
      <c r="I150" t="s">
        <v>396</v>
      </c>
    </row>
    <row r="151" spans="1:9" x14ac:dyDescent="0.25">
      <c r="A151" s="1" t="str">
        <f>HYPERLINK("https://lynxcrm-apac--c.eu19.visual.force.com/0011i000001xmvIAAQ","Allergy, Arthritis And Rheumatism Clinic")</f>
        <v>Allergy, Arthritis And Rheumatism Clinic</v>
      </c>
      <c r="B151" t="s">
        <v>397</v>
      </c>
      <c r="C151" t="s">
        <v>10</v>
      </c>
      <c r="D151" t="s">
        <v>8</v>
      </c>
      <c r="E151" t="s">
        <v>8</v>
      </c>
      <c r="F151" t="s">
        <v>69</v>
      </c>
      <c r="G151" t="s">
        <v>398</v>
      </c>
      <c r="H151" t="s">
        <v>399</v>
      </c>
      <c r="I151" t="s">
        <v>67</v>
      </c>
    </row>
    <row r="152" spans="1:9" x14ac:dyDescent="0.25">
      <c r="A152" s="1" t="str">
        <f>HYPERLINK("https://lynxcrm-apac--c.eu19.visual.force.com/0011i000001xnCxAAI","Alliance Clinic &amp; Partners")</f>
        <v>Alliance Clinic &amp; Partners</v>
      </c>
      <c r="B152" t="s">
        <v>400</v>
      </c>
      <c r="C152" t="s">
        <v>10</v>
      </c>
      <c r="D152" t="s">
        <v>8</v>
      </c>
      <c r="E152" t="s">
        <v>8</v>
      </c>
      <c r="F152" t="s">
        <v>401</v>
      </c>
      <c r="G152" t="s">
        <v>402</v>
      </c>
      <c r="H152" t="s">
        <v>402</v>
      </c>
      <c r="I152" t="s">
        <v>403</v>
      </c>
    </row>
    <row r="153" spans="1:9" x14ac:dyDescent="0.25">
      <c r="A153" s="1" t="str">
        <f>HYPERLINK("https://lynxcrm-apac--c.eu19.visual.force.com/0011i000001xnbCAAQ","Alpha Joints &amp; Orthopaedics")</f>
        <v>Alpha Joints &amp; Orthopaedics</v>
      </c>
      <c r="B153" t="s">
        <v>404</v>
      </c>
      <c r="C153" t="s">
        <v>10</v>
      </c>
      <c r="D153" t="s">
        <v>8</v>
      </c>
      <c r="E153" t="s">
        <v>8</v>
      </c>
      <c r="F153" t="s">
        <v>405</v>
      </c>
      <c r="G153" t="s">
        <v>65</v>
      </c>
      <c r="H153" t="s">
        <v>65</v>
      </c>
      <c r="I153" t="s">
        <v>67</v>
      </c>
    </row>
    <row r="154" spans="1:9" x14ac:dyDescent="0.25">
      <c r="A154" s="1" t="str">
        <f>HYPERLINK("https://lynxcrm-apac--c.eu19.visual.force.com/0011i000001xmgLAAQ","Alpha Medical Group Pte Ltd")</f>
        <v>Alpha Medical Group Pte Ltd</v>
      </c>
      <c r="B154" t="s">
        <v>406</v>
      </c>
      <c r="C154" t="s">
        <v>10</v>
      </c>
      <c r="D154" t="s">
        <v>8</v>
      </c>
      <c r="E154" t="s">
        <v>8</v>
      </c>
      <c r="F154" t="s">
        <v>407</v>
      </c>
      <c r="G154" t="s">
        <v>408</v>
      </c>
      <c r="H154" t="s">
        <v>409</v>
      </c>
      <c r="I154" t="s">
        <v>410</v>
      </c>
    </row>
    <row r="155" spans="1:9" x14ac:dyDescent="0.25">
      <c r="A155" s="1" t="str">
        <f>HYPERLINK("https://lynxcrm-apac--c.eu19.visual.force.com/0011i00000k1W9iAAE","Alpine Surgical")</f>
        <v>Alpine Surgical</v>
      </c>
      <c r="B155" t="s">
        <v>411</v>
      </c>
      <c r="C155" t="s">
        <v>10</v>
      </c>
      <c r="D155" t="s">
        <v>8</v>
      </c>
      <c r="E155" t="s">
        <v>8</v>
      </c>
      <c r="F155" t="s">
        <v>412</v>
      </c>
      <c r="G155" t="s">
        <v>388</v>
      </c>
      <c r="H155" t="s">
        <v>8</v>
      </c>
      <c r="I155" t="s">
        <v>123</v>
      </c>
    </row>
    <row r="156" spans="1:9" x14ac:dyDescent="0.25">
      <c r="A156" s="1" t="str">
        <f>HYPERLINK("https://lynxcrm-apac--c.eu19.visual.force.com/0011i000001xnhlAAA","Alvarez Tiu, Aileen")</f>
        <v>Alvarez Tiu, Aileen</v>
      </c>
      <c r="B156" t="s">
        <v>413</v>
      </c>
      <c r="C156" t="s">
        <v>28</v>
      </c>
      <c r="D156" t="s">
        <v>261</v>
      </c>
      <c r="E156" t="s">
        <v>8</v>
      </c>
      <c r="F156" t="s">
        <v>261</v>
      </c>
      <c r="G156" t="s">
        <v>347</v>
      </c>
      <c r="H156" t="s">
        <v>347</v>
      </c>
      <c r="I156" t="s">
        <v>260</v>
      </c>
    </row>
    <row r="157" spans="1:9" x14ac:dyDescent="0.25">
      <c r="A157" s="1" t="str">
        <f>HYPERLINK("https://lynxcrm-apac--c.eu19.visual.force.com/0011i000001xoDhAAI","Alvin, Tan")</f>
        <v>Alvin, Tan</v>
      </c>
      <c r="B157" t="s">
        <v>414</v>
      </c>
      <c r="C157" t="s">
        <v>28</v>
      </c>
      <c r="D157" t="s">
        <v>261</v>
      </c>
      <c r="E157" t="s">
        <v>8</v>
      </c>
      <c r="F157" t="s">
        <v>246</v>
      </c>
      <c r="G157" t="s">
        <v>347</v>
      </c>
      <c r="H157" t="s">
        <v>347</v>
      </c>
      <c r="I157" t="s">
        <v>415</v>
      </c>
    </row>
    <row r="158" spans="1:9" x14ac:dyDescent="0.25">
      <c r="A158" s="1" t="str">
        <f>HYPERLINK("https://lynxcrm-apac--c.eu19.visual.force.com/0011i000001xmzCAAQ","American International Clinic")</f>
        <v>American International Clinic</v>
      </c>
      <c r="B158" t="s">
        <v>416</v>
      </c>
      <c r="C158" t="s">
        <v>10</v>
      </c>
      <c r="D158" t="s">
        <v>8</v>
      </c>
      <c r="E158" t="s">
        <v>8</v>
      </c>
      <c r="F158" t="s">
        <v>417</v>
      </c>
      <c r="G158" t="s">
        <v>418</v>
      </c>
      <c r="H158" t="s">
        <v>418</v>
      </c>
      <c r="I158" t="s">
        <v>419</v>
      </c>
    </row>
    <row r="159" spans="1:9" x14ac:dyDescent="0.25">
      <c r="A159" s="1" t="str">
        <f>HYPERLINK("https://lynxcrm-apac--c.eu19.visual.force.com/0011i000001xorAAAQ","Amir Adhha, Bin Abdullah")</f>
        <v>Amir Adhha, Bin Abdullah</v>
      </c>
      <c r="B159" t="s">
        <v>420</v>
      </c>
      <c r="C159" t="s">
        <v>28</v>
      </c>
      <c r="D159" t="s">
        <v>421</v>
      </c>
      <c r="E159" t="s">
        <v>8</v>
      </c>
      <c r="F159" t="s">
        <v>422</v>
      </c>
      <c r="G159" t="s">
        <v>423</v>
      </c>
      <c r="H159" t="s">
        <v>424</v>
      </c>
      <c r="I159" t="s">
        <v>425</v>
      </c>
    </row>
    <row r="160" spans="1:9" x14ac:dyDescent="0.25">
      <c r="A160" s="1" t="str">
        <f>HYPERLINK("https://lynxcrm-apac--c.eu19.visual.force.com/0011i000001xogKAAQ","Amitabha, Lahiri")</f>
        <v>Amitabha, Lahiri</v>
      </c>
      <c r="B160" t="s">
        <v>426</v>
      </c>
      <c r="C160" t="s">
        <v>28</v>
      </c>
      <c r="D160" t="s">
        <v>427</v>
      </c>
      <c r="E160" t="s">
        <v>8</v>
      </c>
      <c r="F160" t="s">
        <v>428</v>
      </c>
      <c r="G160" t="s">
        <v>429</v>
      </c>
      <c r="H160" t="s">
        <v>429</v>
      </c>
      <c r="I160" t="s">
        <v>430</v>
      </c>
    </row>
    <row r="161" spans="1:9" x14ac:dyDescent="0.25">
      <c r="A161" s="1" t="str">
        <f>HYPERLINK("https://lynxcrm-apac--c.eu19.visual.force.com/0011i000001xmk7AAA","AMK Family Clinic PTE LTD")</f>
        <v>AMK Family Clinic PTE LTD</v>
      </c>
      <c r="B161" t="s">
        <v>431</v>
      </c>
      <c r="C161" t="s">
        <v>10</v>
      </c>
      <c r="D161" t="s">
        <v>8</v>
      </c>
      <c r="E161" t="s">
        <v>8</v>
      </c>
      <c r="F161" t="s">
        <v>432</v>
      </c>
      <c r="G161" t="s">
        <v>433</v>
      </c>
      <c r="H161" t="s">
        <v>433</v>
      </c>
      <c r="I161" t="s">
        <v>434</v>
      </c>
    </row>
    <row r="162" spans="1:9" x14ac:dyDescent="0.25">
      <c r="A162" s="1" t="str">
        <f>HYPERLINK("https://lynxcrm-apac--c.eu19.visual.force.com/0011i000001xnaWAAQ","AMPAC Medical Consultants")</f>
        <v>AMPAC Medical Consultants</v>
      </c>
      <c r="B162" t="s">
        <v>435</v>
      </c>
      <c r="C162" t="s">
        <v>10</v>
      </c>
      <c r="D162" t="s">
        <v>8</v>
      </c>
      <c r="E162" t="s">
        <v>8</v>
      </c>
      <c r="F162" t="s">
        <v>373</v>
      </c>
      <c r="G162" t="s">
        <v>436</v>
      </c>
      <c r="H162" t="s">
        <v>436</v>
      </c>
      <c r="I162" t="s">
        <v>123</v>
      </c>
    </row>
    <row r="163" spans="1:9" x14ac:dyDescent="0.25">
      <c r="A163" s="1" t="str">
        <f>HYPERLINK("https://lynxcrm-apac--c.eu19.visual.force.com/0011i000001xnBwAAI","AM PM Family Clinic &amp; Surgery")</f>
        <v>AM PM Family Clinic &amp; Surgery</v>
      </c>
      <c r="B163" t="s">
        <v>437</v>
      </c>
      <c r="C163" t="s">
        <v>10</v>
      </c>
      <c r="D163" t="s">
        <v>8</v>
      </c>
      <c r="E163" t="s">
        <v>8</v>
      </c>
      <c r="F163" t="s">
        <v>438</v>
      </c>
      <c r="G163" t="s">
        <v>439</v>
      </c>
      <c r="H163" t="s">
        <v>440</v>
      </c>
      <c r="I163" t="s">
        <v>441</v>
      </c>
    </row>
    <row r="164" spans="1:9" x14ac:dyDescent="0.25">
      <c r="A164" s="1" t="str">
        <f>HYPERLINK("https://lynxcrm-apac--c.eu19.visual.force.com/0011i000001xoZ4AAI","Amrita")</f>
        <v>Amrita</v>
      </c>
      <c r="B164" t="s">
        <v>442</v>
      </c>
      <c r="C164" t="s">
        <v>28</v>
      </c>
      <c r="D164" t="s">
        <v>335</v>
      </c>
      <c r="E164" t="s">
        <v>8</v>
      </c>
      <c r="F164" t="s">
        <v>336</v>
      </c>
      <c r="G164" t="s">
        <v>337</v>
      </c>
      <c r="H164" t="s">
        <v>337</v>
      </c>
      <c r="I164" t="s">
        <v>338</v>
      </c>
    </row>
    <row r="165" spans="1:9" x14ac:dyDescent="0.25">
      <c r="A165" s="1" t="str">
        <f>HYPERLINK("https://lynxcrm-apac--c.eu19.visual.force.com/0011i000001xnsqAAA","Anand, Ambhore")</f>
        <v>Anand, Ambhore</v>
      </c>
      <c r="B165" t="s">
        <v>443</v>
      </c>
      <c r="C165" t="s">
        <v>28</v>
      </c>
      <c r="D165" t="s">
        <v>429</v>
      </c>
      <c r="E165" t="s">
        <v>8</v>
      </c>
      <c r="F165" t="s">
        <v>429</v>
      </c>
      <c r="G165" t="s">
        <v>428</v>
      </c>
      <c r="H165" t="s">
        <v>428</v>
      </c>
      <c r="I165" t="s">
        <v>430</v>
      </c>
    </row>
    <row r="166" spans="1:9" x14ac:dyDescent="0.25">
      <c r="A166" s="1" t="str">
        <f>HYPERLINK("https://lynxcrm-apac--c.eu19.visual.force.com/0011i000001xnsqAAA","Anand, Ambhore")</f>
        <v>Anand, Ambhore</v>
      </c>
      <c r="B166" t="s">
        <v>443</v>
      </c>
      <c r="C166" t="s">
        <v>28</v>
      </c>
      <c r="D166" t="s">
        <v>429</v>
      </c>
      <c r="E166" t="s">
        <v>8</v>
      </c>
      <c r="F166" t="s">
        <v>444</v>
      </c>
      <c r="G166" t="s">
        <v>444</v>
      </c>
      <c r="H166" t="s">
        <v>8</v>
      </c>
      <c r="I166" t="s">
        <v>430</v>
      </c>
    </row>
    <row r="167" spans="1:9" x14ac:dyDescent="0.25">
      <c r="A167" s="1" t="str">
        <f>HYPERLINK("https://lynxcrm-apac--c.eu19.visual.force.com/0011i000001xnsqAAA","Anand, Ambhore")</f>
        <v>Anand, Ambhore</v>
      </c>
      <c r="B167" t="s">
        <v>443</v>
      </c>
      <c r="C167" t="s">
        <v>28</v>
      </c>
      <c r="D167" t="s">
        <v>429</v>
      </c>
      <c r="E167" t="s">
        <v>8</v>
      </c>
      <c r="F167" t="s">
        <v>445</v>
      </c>
      <c r="G167" t="s">
        <v>428</v>
      </c>
      <c r="H167" t="s">
        <v>428</v>
      </c>
      <c r="I167" t="s">
        <v>430</v>
      </c>
    </row>
    <row r="168" spans="1:9" x14ac:dyDescent="0.25">
      <c r="A168" s="1" t="str">
        <f>HYPERLINK("https://lynxcrm-apac--c.eu19.visual.force.com/0011i000001xnsqAAA","Anand, Ambhore")</f>
        <v>Anand, Ambhore</v>
      </c>
      <c r="B168" t="s">
        <v>443</v>
      </c>
      <c r="C168" t="s">
        <v>28</v>
      </c>
      <c r="D168" t="s">
        <v>429</v>
      </c>
      <c r="E168" t="s">
        <v>8</v>
      </c>
      <c r="F168" t="s">
        <v>444</v>
      </c>
      <c r="G168" t="s">
        <v>444</v>
      </c>
      <c r="H168" t="s">
        <v>8</v>
      </c>
      <c r="I168" t="s">
        <v>8</v>
      </c>
    </row>
    <row r="169" spans="1:9" x14ac:dyDescent="0.25">
      <c r="A169" s="1" t="str">
        <f>HYPERLINK("https://lynxcrm-apac--c.eu19.visual.force.com/0011i00000wQq1AAAS","Anand, Anand")</f>
        <v>Anand, Anand</v>
      </c>
      <c r="B169" t="s">
        <v>446</v>
      </c>
      <c r="C169" t="s">
        <v>28</v>
      </c>
      <c r="D169" t="s">
        <v>91</v>
      </c>
      <c r="E169" t="s">
        <v>8</v>
      </c>
      <c r="F169" t="s">
        <v>90</v>
      </c>
      <c r="G169" t="s">
        <v>90</v>
      </c>
      <c r="H169" t="s">
        <v>8</v>
      </c>
      <c r="I169" t="s">
        <v>92</v>
      </c>
    </row>
    <row r="170" spans="1:9" x14ac:dyDescent="0.25">
      <c r="A170" s="1" t="str">
        <f>HYPERLINK("https://lynxcrm-apac--c.eu19.visual.force.com/0011i000001xnwLAAQ","Anand, Pillai")</f>
        <v>Anand, Pillai</v>
      </c>
      <c r="B170" t="s">
        <v>447</v>
      </c>
      <c r="C170" t="s">
        <v>28</v>
      </c>
      <c r="D170" t="s">
        <v>261</v>
      </c>
      <c r="E170" t="s">
        <v>8</v>
      </c>
      <c r="F170" t="s">
        <v>427</v>
      </c>
      <c r="G170" t="s">
        <v>258</v>
      </c>
      <c r="H170" t="s">
        <v>259</v>
      </c>
      <c r="I170" t="s">
        <v>415</v>
      </c>
    </row>
    <row r="171" spans="1:9" x14ac:dyDescent="0.25">
      <c r="A171" s="1" t="str">
        <f>HYPERLINK("https://lynxcrm-apac--c.eu19.visual.force.com/0011i00000KMGuEAAX","Anbalakan, Kamalesh")</f>
        <v>Anbalakan, Kamalesh</v>
      </c>
      <c r="B171" t="s">
        <v>448</v>
      </c>
      <c r="C171" t="s">
        <v>28</v>
      </c>
      <c r="D171" t="s">
        <v>449</v>
      </c>
      <c r="E171" t="s">
        <v>8</v>
      </c>
      <c r="F171" t="s">
        <v>450</v>
      </c>
      <c r="G171" t="s">
        <v>449</v>
      </c>
      <c r="H171" t="s">
        <v>449</v>
      </c>
      <c r="I171" t="s">
        <v>451</v>
      </c>
    </row>
    <row r="172" spans="1:9" x14ac:dyDescent="0.25">
      <c r="A172" s="1" t="str">
        <f>HYPERLINK("https://lynxcrm-apac--c.eu19.visual.force.com/0011i00000KMGuEAAX","Anbalakan, Kamalesh")</f>
        <v>Anbalakan, Kamalesh</v>
      </c>
      <c r="B172" t="s">
        <v>448</v>
      </c>
      <c r="C172" t="s">
        <v>28</v>
      </c>
      <c r="D172" t="s">
        <v>449</v>
      </c>
      <c r="E172" t="s">
        <v>8</v>
      </c>
      <c r="F172" t="s">
        <v>234</v>
      </c>
      <c r="G172" t="s">
        <v>452</v>
      </c>
      <c r="H172" t="s">
        <v>453</v>
      </c>
      <c r="I172" t="s">
        <v>454</v>
      </c>
    </row>
    <row r="173" spans="1:9" x14ac:dyDescent="0.25">
      <c r="A173" s="1" t="str">
        <f>HYPERLINK("https://lynxcrm-apac--c.eu19.visual.force.com/0011i000001xnC7AAI","Anderson Medical Centre")</f>
        <v>Anderson Medical Centre</v>
      </c>
      <c r="B173" t="s">
        <v>455</v>
      </c>
      <c r="C173" t="s">
        <v>10</v>
      </c>
      <c r="D173" t="s">
        <v>8</v>
      </c>
      <c r="E173" t="s">
        <v>8</v>
      </c>
      <c r="F173" t="s">
        <v>456</v>
      </c>
      <c r="G173" t="s">
        <v>16</v>
      </c>
      <c r="H173" t="s">
        <v>457</v>
      </c>
      <c r="I173" t="s">
        <v>458</v>
      </c>
    </row>
    <row r="174" spans="1:9" x14ac:dyDescent="0.25">
      <c r="A174" s="1" t="str">
        <f>HYPERLINK("https://lynxcrm-apac--c.eu19.visual.force.com/0011i000001xoeZAAQ","Andrew, Dutton")</f>
        <v>Andrew, Dutton</v>
      </c>
      <c r="B174" t="s">
        <v>459</v>
      </c>
      <c r="C174" t="s">
        <v>28</v>
      </c>
      <c r="D174" t="s">
        <v>460</v>
      </c>
      <c r="E174" t="s">
        <v>8</v>
      </c>
      <c r="F174" t="s">
        <v>461</v>
      </c>
      <c r="G174" t="s">
        <v>87</v>
      </c>
      <c r="H174" t="s">
        <v>87</v>
      </c>
      <c r="I174" t="s">
        <v>85</v>
      </c>
    </row>
    <row r="175" spans="1:9" x14ac:dyDescent="0.25">
      <c r="A175" s="1" t="str">
        <f>HYPERLINK("https://lynxcrm-apac--c.eu19.visual.force.com/0011i000001xmv8AAA","Andrology, Urology &amp; Continence Centre")</f>
        <v>Andrology, Urology &amp; Continence Centre</v>
      </c>
      <c r="B175" t="s">
        <v>462</v>
      </c>
      <c r="C175" t="s">
        <v>10</v>
      </c>
      <c r="D175" t="s">
        <v>8</v>
      </c>
      <c r="E175" t="s">
        <v>8</v>
      </c>
      <c r="F175" t="s">
        <v>463</v>
      </c>
      <c r="G175" t="s">
        <v>464</v>
      </c>
      <c r="H175" t="s">
        <v>465</v>
      </c>
      <c r="I175" t="s">
        <v>466</v>
      </c>
    </row>
    <row r="176" spans="1:9" x14ac:dyDescent="0.25">
      <c r="A176" s="1" t="str">
        <f>HYPERLINK("https://lynxcrm-apac--c.eu19.visual.force.com/0011i000001xnjDAAQ","Ang, Beng Chong")</f>
        <v>Ang, Beng Chong</v>
      </c>
      <c r="B176" t="s">
        <v>467</v>
      </c>
      <c r="C176" t="s">
        <v>28</v>
      </c>
      <c r="D176" t="s">
        <v>468</v>
      </c>
      <c r="E176" t="s">
        <v>8</v>
      </c>
      <c r="F176" t="s">
        <v>469</v>
      </c>
      <c r="G176" t="s">
        <v>470</v>
      </c>
      <c r="H176" t="s">
        <v>471</v>
      </c>
      <c r="I176" t="s">
        <v>67</v>
      </c>
    </row>
    <row r="177" spans="1:9" x14ac:dyDescent="0.25">
      <c r="A177" s="1" t="str">
        <f>HYPERLINK("https://lynxcrm-apac--c.eu19.visual.force.com/0011i000001xoYYAAY","Ang, Beng Ti Christopher")</f>
        <v>Ang, Beng Ti Christopher</v>
      </c>
      <c r="B177" t="s">
        <v>472</v>
      </c>
      <c r="C177" t="s">
        <v>28</v>
      </c>
      <c r="D177" t="s">
        <v>473</v>
      </c>
      <c r="E177" t="s">
        <v>8</v>
      </c>
      <c r="F177" t="s">
        <v>258</v>
      </c>
      <c r="G177" t="s">
        <v>474</v>
      </c>
      <c r="H177" t="s">
        <v>474</v>
      </c>
      <c r="I177" t="s">
        <v>260</v>
      </c>
    </row>
    <row r="178" spans="1:9" x14ac:dyDescent="0.25">
      <c r="A178" s="1" t="str">
        <f>HYPERLINK("https://lynxcrm-apac--c.eu19.visual.force.com/0011i000001xoYYAAY","Ang, Beng Ti Christopher")</f>
        <v>Ang, Beng Ti Christopher</v>
      </c>
      <c r="B178" t="s">
        <v>472</v>
      </c>
      <c r="C178" t="s">
        <v>28</v>
      </c>
      <c r="D178" t="s">
        <v>261</v>
      </c>
      <c r="E178" t="s">
        <v>8</v>
      </c>
      <c r="F178" t="s">
        <v>261</v>
      </c>
      <c r="G178" t="s">
        <v>347</v>
      </c>
      <c r="H178" t="s">
        <v>347</v>
      </c>
      <c r="I178" t="s">
        <v>260</v>
      </c>
    </row>
    <row r="179" spans="1:9" x14ac:dyDescent="0.25">
      <c r="A179" s="1" t="str">
        <f>HYPERLINK("https://lynxcrm-apac--c.eu19.visual.force.com/0011i000001xng9AAA","Ang, Boon Leong")</f>
        <v>Ang, Boon Leong</v>
      </c>
      <c r="B179" t="s">
        <v>475</v>
      </c>
      <c r="C179" t="s">
        <v>28</v>
      </c>
      <c r="D179" t="s">
        <v>476</v>
      </c>
      <c r="E179" t="s">
        <v>8</v>
      </c>
      <c r="F179" t="s">
        <v>477</v>
      </c>
      <c r="G179" t="s">
        <v>478</v>
      </c>
      <c r="H179" t="s">
        <v>478</v>
      </c>
      <c r="I179" t="s">
        <v>479</v>
      </c>
    </row>
    <row r="180" spans="1:9" x14ac:dyDescent="0.25">
      <c r="A180" s="1" t="str">
        <f>HYPERLINK("https://lynxcrm-apac--c.eu19.visual.force.com/0011i000001xnl5AAA","Ang, Chee Beng")</f>
        <v>Ang, Chee Beng</v>
      </c>
      <c r="B180" t="s">
        <v>480</v>
      </c>
      <c r="C180" t="s">
        <v>28</v>
      </c>
      <c r="D180" t="s">
        <v>481</v>
      </c>
      <c r="E180" t="s">
        <v>8</v>
      </c>
      <c r="F180" t="s">
        <v>205</v>
      </c>
      <c r="G180" t="s">
        <v>206</v>
      </c>
      <c r="H180" t="s">
        <v>206</v>
      </c>
      <c r="I180" t="s">
        <v>200</v>
      </c>
    </row>
    <row r="181" spans="1:9" x14ac:dyDescent="0.25">
      <c r="A181" s="1" t="str">
        <f>HYPERLINK("https://lynxcrm-apac--c.eu19.visual.force.com/0011i000001xnnCAAQ","Ang, Cheng Nee Benny")</f>
        <v>Ang, Cheng Nee Benny</v>
      </c>
      <c r="B181" t="s">
        <v>482</v>
      </c>
      <c r="C181" t="s">
        <v>28</v>
      </c>
      <c r="D181" t="s">
        <v>483</v>
      </c>
      <c r="E181" t="s">
        <v>8</v>
      </c>
      <c r="F181" t="s">
        <v>377</v>
      </c>
      <c r="G181" t="s">
        <v>484</v>
      </c>
      <c r="H181" t="s">
        <v>484</v>
      </c>
      <c r="I181" t="s">
        <v>123</v>
      </c>
    </row>
    <row r="182" spans="1:9" x14ac:dyDescent="0.25">
      <c r="A182" s="1" t="str">
        <f>HYPERLINK("https://lynxcrm-apac--c.eu19.visual.force.com/0011i000001xnycAAA","Ang, Cher Siang Peter")</f>
        <v>Ang, Cher Siang Peter</v>
      </c>
      <c r="B182" t="s">
        <v>485</v>
      </c>
      <c r="C182" t="s">
        <v>28</v>
      </c>
      <c r="D182" t="s">
        <v>486</v>
      </c>
      <c r="E182" t="s">
        <v>8</v>
      </c>
      <c r="F182" t="s">
        <v>487</v>
      </c>
      <c r="G182" t="s">
        <v>486</v>
      </c>
      <c r="H182" t="s">
        <v>486</v>
      </c>
      <c r="I182" t="s">
        <v>488</v>
      </c>
    </row>
    <row r="183" spans="1:9" x14ac:dyDescent="0.25">
      <c r="A183" s="1" t="str">
        <f>HYPERLINK("https://lynxcrm-apac--c.eu19.visual.force.com/0011i000001xnoZAAQ","Ang, Choon Jin")</f>
        <v>Ang, Choon Jin</v>
      </c>
      <c r="B183" t="s">
        <v>489</v>
      </c>
      <c r="C183" t="s">
        <v>28</v>
      </c>
      <c r="D183" t="s">
        <v>490</v>
      </c>
      <c r="E183" t="s">
        <v>8</v>
      </c>
      <c r="F183" t="s">
        <v>491</v>
      </c>
      <c r="G183" t="s">
        <v>492</v>
      </c>
      <c r="H183" t="s">
        <v>493</v>
      </c>
      <c r="I183" t="s">
        <v>494</v>
      </c>
    </row>
    <row r="184" spans="1:9" x14ac:dyDescent="0.25">
      <c r="A184" s="1" t="str">
        <f>HYPERLINK("https://lynxcrm-apac--c.eu19.visual.force.com/0011i000001xoMKAAY","Ang, Choon Kiat Alvin")</f>
        <v>Ang, Choon Kiat Alvin</v>
      </c>
      <c r="B184" t="s">
        <v>495</v>
      </c>
      <c r="C184" t="s">
        <v>28</v>
      </c>
      <c r="D184" t="s">
        <v>496</v>
      </c>
      <c r="E184" t="s">
        <v>8</v>
      </c>
      <c r="F184" t="s">
        <v>497</v>
      </c>
      <c r="G184" t="s">
        <v>498</v>
      </c>
      <c r="H184" t="s">
        <v>498</v>
      </c>
      <c r="I184" t="s">
        <v>499</v>
      </c>
    </row>
    <row r="185" spans="1:9" x14ac:dyDescent="0.25">
      <c r="A185" s="1" t="str">
        <f t="shared" ref="A185:A192" si="1">HYPERLINK("https://lynxcrm-apac--c.eu19.visual.force.com/0011i000002Id9oAAC","Ang, Dun Yong")</f>
        <v>Ang, Dun Yong</v>
      </c>
      <c r="B185" t="s">
        <v>500</v>
      </c>
      <c r="C185" t="s">
        <v>28</v>
      </c>
      <c r="D185" t="s">
        <v>58</v>
      </c>
      <c r="E185" t="s">
        <v>8</v>
      </c>
      <c r="F185" t="s">
        <v>57</v>
      </c>
      <c r="G185" t="s">
        <v>57</v>
      </c>
      <c r="H185" t="s">
        <v>8</v>
      </c>
      <c r="I185" t="s">
        <v>59</v>
      </c>
    </row>
    <row r="186" spans="1:9" x14ac:dyDescent="0.25">
      <c r="A186" s="1" t="str">
        <f t="shared" si="1"/>
        <v>Ang, Dun Yong</v>
      </c>
      <c r="B186" t="s">
        <v>500</v>
      </c>
      <c r="C186" t="s">
        <v>28</v>
      </c>
      <c r="D186" t="s">
        <v>501</v>
      </c>
      <c r="E186" t="s">
        <v>8</v>
      </c>
      <c r="F186" t="s">
        <v>502</v>
      </c>
      <c r="G186" t="s">
        <v>502</v>
      </c>
      <c r="H186" t="s">
        <v>503</v>
      </c>
      <c r="I186" t="s">
        <v>504</v>
      </c>
    </row>
    <row r="187" spans="1:9" x14ac:dyDescent="0.25">
      <c r="A187" s="1" t="str">
        <f t="shared" si="1"/>
        <v>Ang, Dun Yong</v>
      </c>
      <c r="B187" t="s">
        <v>500</v>
      </c>
      <c r="C187" t="s">
        <v>28</v>
      </c>
      <c r="D187" t="s">
        <v>501</v>
      </c>
      <c r="E187" t="s">
        <v>8</v>
      </c>
      <c r="F187" t="s">
        <v>246</v>
      </c>
      <c r="G187" t="s">
        <v>502</v>
      </c>
      <c r="H187" t="s">
        <v>503</v>
      </c>
      <c r="I187" t="s">
        <v>504</v>
      </c>
    </row>
    <row r="188" spans="1:9" x14ac:dyDescent="0.25">
      <c r="A188" s="1" t="str">
        <f t="shared" si="1"/>
        <v>Ang, Dun Yong</v>
      </c>
      <c r="B188" t="s">
        <v>500</v>
      </c>
      <c r="C188" t="s">
        <v>28</v>
      </c>
      <c r="D188" t="s">
        <v>501</v>
      </c>
      <c r="E188" t="s">
        <v>8</v>
      </c>
      <c r="F188" t="s">
        <v>246</v>
      </c>
      <c r="G188" t="s">
        <v>502</v>
      </c>
      <c r="H188" t="s">
        <v>503</v>
      </c>
      <c r="I188" t="s">
        <v>505</v>
      </c>
    </row>
    <row r="189" spans="1:9" x14ac:dyDescent="0.25">
      <c r="A189" s="1" t="str">
        <f t="shared" si="1"/>
        <v>Ang, Dun Yong</v>
      </c>
      <c r="B189" t="s">
        <v>500</v>
      </c>
      <c r="C189" t="s">
        <v>28</v>
      </c>
      <c r="D189" t="s">
        <v>501</v>
      </c>
      <c r="E189" t="s">
        <v>8</v>
      </c>
      <c r="F189" t="s">
        <v>501</v>
      </c>
      <c r="G189" t="s">
        <v>502</v>
      </c>
      <c r="H189" t="s">
        <v>502</v>
      </c>
      <c r="I189" t="s">
        <v>506</v>
      </c>
    </row>
    <row r="190" spans="1:9" x14ac:dyDescent="0.25">
      <c r="A190" s="1" t="str">
        <f t="shared" si="1"/>
        <v>Ang, Dun Yong</v>
      </c>
      <c r="B190" t="s">
        <v>500</v>
      </c>
      <c r="C190" t="s">
        <v>28</v>
      </c>
      <c r="D190" t="s">
        <v>501</v>
      </c>
      <c r="E190" t="s">
        <v>8</v>
      </c>
      <c r="F190" t="s">
        <v>234</v>
      </c>
      <c r="G190" t="s">
        <v>502</v>
      </c>
      <c r="H190" t="s">
        <v>503</v>
      </c>
      <c r="I190" t="s">
        <v>504</v>
      </c>
    </row>
    <row r="191" spans="1:9" x14ac:dyDescent="0.25">
      <c r="A191" s="1" t="str">
        <f t="shared" si="1"/>
        <v>Ang, Dun Yong</v>
      </c>
      <c r="B191" t="s">
        <v>500</v>
      </c>
      <c r="C191" t="s">
        <v>28</v>
      </c>
      <c r="D191" t="s">
        <v>501</v>
      </c>
      <c r="E191" t="s">
        <v>8</v>
      </c>
      <c r="F191" t="s">
        <v>359</v>
      </c>
      <c r="G191" t="s">
        <v>502</v>
      </c>
      <c r="H191" t="s">
        <v>503</v>
      </c>
      <c r="I191" t="s">
        <v>506</v>
      </c>
    </row>
    <row r="192" spans="1:9" x14ac:dyDescent="0.25">
      <c r="A192" s="1" t="str">
        <f t="shared" si="1"/>
        <v>Ang, Dun Yong</v>
      </c>
      <c r="B192" t="s">
        <v>500</v>
      </c>
      <c r="C192" t="s">
        <v>28</v>
      </c>
      <c r="D192" t="s">
        <v>507</v>
      </c>
      <c r="E192" t="s">
        <v>8</v>
      </c>
      <c r="F192" t="s">
        <v>508</v>
      </c>
      <c r="G192" t="s">
        <v>509</v>
      </c>
      <c r="H192" t="s">
        <v>8</v>
      </c>
      <c r="I192" t="s">
        <v>510</v>
      </c>
    </row>
    <row r="193" spans="1:9" x14ac:dyDescent="0.25">
      <c r="A193" s="1" t="str">
        <f>HYPERLINK("https://lynxcrm-apac--c.eu19.visual.force.com/0011i000001xoFxAAI","Ang, Ee Sin")</f>
        <v>Ang, Ee Sin</v>
      </c>
      <c r="B193" t="s">
        <v>511</v>
      </c>
      <c r="C193" t="s">
        <v>28</v>
      </c>
      <c r="D193" t="s">
        <v>251</v>
      </c>
      <c r="E193" t="s">
        <v>8</v>
      </c>
      <c r="F193" t="s">
        <v>251</v>
      </c>
      <c r="G193" t="s">
        <v>252</v>
      </c>
      <c r="H193" t="s">
        <v>252</v>
      </c>
      <c r="I193" t="s">
        <v>253</v>
      </c>
    </row>
    <row r="194" spans="1:9" x14ac:dyDescent="0.25">
      <c r="A194" s="1" t="str">
        <f>HYPERLINK("https://lynxcrm-apac--c.eu19.visual.force.com/0011i000001xoFxAAI","Ang, Ee Sin")</f>
        <v>Ang, Ee Sin</v>
      </c>
      <c r="B194" t="s">
        <v>511</v>
      </c>
      <c r="C194" t="s">
        <v>28</v>
      </c>
      <c r="D194" t="s">
        <v>512</v>
      </c>
      <c r="E194" t="s">
        <v>8</v>
      </c>
      <c r="F194" t="s">
        <v>252</v>
      </c>
      <c r="G194" t="s">
        <v>251</v>
      </c>
      <c r="H194" t="s">
        <v>251</v>
      </c>
      <c r="I194" t="s">
        <v>253</v>
      </c>
    </row>
    <row r="195" spans="1:9" x14ac:dyDescent="0.25">
      <c r="A195" s="1" t="str">
        <f>HYPERLINK("https://lynxcrm-apac--c.eu19.visual.force.com/0011i000001xoRaAAI","Ang, Erik")</f>
        <v>Ang, Erik</v>
      </c>
      <c r="B195" t="s">
        <v>513</v>
      </c>
      <c r="C195" t="s">
        <v>28</v>
      </c>
      <c r="D195" t="s">
        <v>261</v>
      </c>
      <c r="E195" t="s">
        <v>8</v>
      </c>
      <c r="F195" t="s">
        <v>261</v>
      </c>
      <c r="G195" t="s">
        <v>347</v>
      </c>
      <c r="H195" t="s">
        <v>347</v>
      </c>
      <c r="I195" t="s">
        <v>260</v>
      </c>
    </row>
    <row r="196" spans="1:9" x14ac:dyDescent="0.25">
      <c r="A196" s="1" t="str">
        <f>HYPERLINK("https://lynxcrm-apac--c.eu19.visual.force.com/0011i000001xoRaAAI","Ang, Erik")</f>
        <v>Ang, Erik</v>
      </c>
      <c r="B196" t="s">
        <v>513</v>
      </c>
      <c r="C196" t="s">
        <v>28</v>
      </c>
      <c r="D196" t="s">
        <v>261</v>
      </c>
      <c r="E196" t="s">
        <v>8</v>
      </c>
      <c r="F196" t="s">
        <v>514</v>
      </c>
      <c r="G196" t="s">
        <v>258</v>
      </c>
      <c r="H196" t="s">
        <v>259</v>
      </c>
      <c r="I196" t="s">
        <v>260</v>
      </c>
    </row>
    <row r="197" spans="1:9" x14ac:dyDescent="0.25">
      <c r="A197" s="1" t="str">
        <f>HYPERLINK("https://lynxcrm-apac--c.eu19.visual.force.com/0011i000001xnkQAAQ","Ang, Gary")</f>
        <v>Ang, Gary</v>
      </c>
      <c r="B197" t="s">
        <v>515</v>
      </c>
      <c r="C197" t="s">
        <v>28</v>
      </c>
      <c r="D197" t="s">
        <v>516</v>
      </c>
      <c r="E197" t="s">
        <v>8</v>
      </c>
      <c r="F197" t="s">
        <v>517</v>
      </c>
      <c r="G197" t="s">
        <v>517</v>
      </c>
      <c r="H197" t="s">
        <v>8</v>
      </c>
      <c r="I197" t="s">
        <v>518</v>
      </c>
    </row>
    <row r="198" spans="1:9" x14ac:dyDescent="0.25">
      <c r="A198" s="1" t="str">
        <f>HYPERLINK("https://lynxcrm-apac--c.eu19.visual.force.com/0011i000001xoNAAAY","Ang, Guan Lee")</f>
        <v>Ang, Guan Lee</v>
      </c>
      <c r="B198" t="s">
        <v>519</v>
      </c>
      <c r="C198" t="s">
        <v>28</v>
      </c>
      <c r="D198" t="s">
        <v>90</v>
      </c>
      <c r="E198" t="s">
        <v>8</v>
      </c>
      <c r="F198" t="s">
        <v>90</v>
      </c>
      <c r="G198" t="s">
        <v>91</v>
      </c>
      <c r="H198" t="s">
        <v>91</v>
      </c>
      <c r="I198" t="s">
        <v>92</v>
      </c>
    </row>
    <row r="199" spans="1:9" x14ac:dyDescent="0.25">
      <c r="A199" s="1" t="str">
        <f>HYPERLINK("https://lynxcrm-apac--c.eu19.visual.force.com/0011i000001xoNAAAY","Ang, Guan Lee")</f>
        <v>Ang, Guan Lee</v>
      </c>
      <c r="B199" t="s">
        <v>519</v>
      </c>
      <c r="C199" t="s">
        <v>28</v>
      </c>
      <c r="D199" t="s">
        <v>520</v>
      </c>
      <c r="E199" t="s">
        <v>8</v>
      </c>
      <c r="F199" t="s">
        <v>90</v>
      </c>
      <c r="G199" t="s">
        <v>521</v>
      </c>
      <c r="H199" t="s">
        <v>521</v>
      </c>
      <c r="I199" t="s">
        <v>92</v>
      </c>
    </row>
    <row r="200" spans="1:9" x14ac:dyDescent="0.25">
      <c r="A200" s="1" t="str">
        <f>HYPERLINK("https://lynxcrm-apac--c.eu19.visual.force.com/0011i000001xnsiAAA","Ang, Hoon Siang")</f>
        <v>Ang, Hoon Siang</v>
      </c>
      <c r="B200" t="s">
        <v>522</v>
      </c>
      <c r="C200" t="s">
        <v>28</v>
      </c>
      <c r="D200" t="s">
        <v>523</v>
      </c>
      <c r="E200" t="s">
        <v>8</v>
      </c>
      <c r="F200" t="s">
        <v>524</v>
      </c>
      <c r="G200" t="s">
        <v>525</v>
      </c>
      <c r="H200" t="s">
        <v>526</v>
      </c>
      <c r="I200" t="s">
        <v>527</v>
      </c>
    </row>
    <row r="201" spans="1:9" x14ac:dyDescent="0.25">
      <c r="A201" s="1" t="str">
        <f>HYPERLINK("https://lynxcrm-apac--c.eu19.visual.force.com/0011i000001xoOPAAY","Ang, Hou")</f>
        <v>Ang, Hou</v>
      </c>
      <c r="B201" t="s">
        <v>528</v>
      </c>
      <c r="C201" t="s">
        <v>28</v>
      </c>
      <c r="D201" t="s">
        <v>90</v>
      </c>
      <c r="E201" t="s">
        <v>8</v>
      </c>
      <c r="F201" t="s">
        <v>90</v>
      </c>
      <c r="G201" t="s">
        <v>91</v>
      </c>
      <c r="H201" t="s">
        <v>91</v>
      </c>
      <c r="I201" t="s">
        <v>92</v>
      </c>
    </row>
    <row r="202" spans="1:9" x14ac:dyDescent="0.25">
      <c r="A202" s="1" t="str">
        <f>HYPERLINK("https://lynxcrm-apac--c.eu19.visual.force.com/0011i000001xoOPAAY","Ang, Hou")</f>
        <v>Ang, Hou</v>
      </c>
      <c r="B202" t="s">
        <v>528</v>
      </c>
      <c r="C202" t="s">
        <v>28</v>
      </c>
      <c r="D202" t="s">
        <v>520</v>
      </c>
      <c r="E202" t="s">
        <v>8</v>
      </c>
      <c r="F202" t="s">
        <v>90</v>
      </c>
      <c r="G202" t="s">
        <v>521</v>
      </c>
      <c r="H202" t="s">
        <v>521</v>
      </c>
      <c r="I202" t="s">
        <v>92</v>
      </c>
    </row>
    <row r="203" spans="1:9" x14ac:dyDescent="0.25">
      <c r="A203" s="1" t="str">
        <f>HYPERLINK("https://lynxcrm-apac--c.eu19.visual.force.com/0011i000001xoJXAAY","Ang, Huai Yan")</f>
        <v>Ang, Huai Yan</v>
      </c>
      <c r="B203" t="s">
        <v>529</v>
      </c>
      <c r="C203" t="s">
        <v>28</v>
      </c>
      <c r="D203" t="s">
        <v>530</v>
      </c>
      <c r="E203" t="s">
        <v>8</v>
      </c>
      <c r="F203" t="s">
        <v>531</v>
      </c>
      <c r="G203" t="s">
        <v>65</v>
      </c>
      <c r="H203" t="s">
        <v>532</v>
      </c>
      <c r="I203" t="s">
        <v>67</v>
      </c>
    </row>
    <row r="204" spans="1:9" x14ac:dyDescent="0.25">
      <c r="A204" s="1" t="str">
        <f>HYPERLINK("https://lynxcrm-apac--c.eu19.visual.force.com/0011i000001xoTaAAI","Ang, Hwee Ping")</f>
        <v>Ang, Hwee Ping</v>
      </c>
      <c r="B204" t="s">
        <v>533</v>
      </c>
      <c r="C204" t="s">
        <v>28</v>
      </c>
      <c r="D204" t="s">
        <v>148</v>
      </c>
      <c r="E204" t="s">
        <v>8</v>
      </c>
      <c r="F204" t="s">
        <v>147</v>
      </c>
      <c r="G204" t="s">
        <v>147</v>
      </c>
      <c r="H204" t="s">
        <v>534</v>
      </c>
      <c r="I204" t="s">
        <v>149</v>
      </c>
    </row>
    <row r="205" spans="1:9" x14ac:dyDescent="0.25">
      <c r="A205" s="1" t="str">
        <f>HYPERLINK("https://lynxcrm-apac--c.eu19.visual.force.com/0011i000001xoe0AAA","Ang, Kian Chuan")</f>
        <v>Ang, Kian Chuan</v>
      </c>
      <c r="B205" t="s">
        <v>535</v>
      </c>
      <c r="C205" t="s">
        <v>28</v>
      </c>
      <c r="D205" t="s">
        <v>536</v>
      </c>
      <c r="E205" t="s">
        <v>8</v>
      </c>
      <c r="F205" t="s">
        <v>69</v>
      </c>
      <c r="G205" t="s">
        <v>537</v>
      </c>
      <c r="H205" t="s">
        <v>538</v>
      </c>
      <c r="I205" t="s">
        <v>67</v>
      </c>
    </row>
    <row r="206" spans="1:9" x14ac:dyDescent="0.25">
      <c r="A206" s="1" t="str">
        <f>HYPERLINK("https://lynxcrm-apac--c.eu19.visual.force.com/0011i000001xniSAAQ","Ang, Krysten")</f>
        <v>Ang, Krysten</v>
      </c>
      <c r="B206" t="s">
        <v>539</v>
      </c>
      <c r="C206" t="s">
        <v>28</v>
      </c>
      <c r="D206" t="s">
        <v>540</v>
      </c>
      <c r="E206" t="s">
        <v>8</v>
      </c>
      <c r="F206" t="s">
        <v>541</v>
      </c>
      <c r="G206" t="s">
        <v>542</v>
      </c>
      <c r="H206" t="s">
        <v>542</v>
      </c>
      <c r="I206" t="s">
        <v>543</v>
      </c>
    </row>
    <row r="207" spans="1:9" x14ac:dyDescent="0.25">
      <c r="A207" s="1" t="str">
        <f>HYPERLINK("https://lynxcrm-apac--c.eu19.visual.force.com/0011i00000pb5IfAAI","Ang, Lay Teng")</f>
        <v>Ang, Lay Teng</v>
      </c>
      <c r="B207" t="s">
        <v>544</v>
      </c>
      <c r="C207" t="s">
        <v>28</v>
      </c>
      <c r="D207" t="s">
        <v>545</v>
      </c>
      <c r="E207" t="s">
        <v>8</v>
      </c>
      <c r="F207" t="s">
        <v>546</v>
      </c>
      <c r="G207" t="s">
        <v>547</v>
      </c>
      <c r="H207" t="s">
        <v>547</v>
      </c>
      <c r="I207" t="s">
        <v>548</v>
      </c>
    </row>
    <row r="208" spans="1:9" x14ac:dyDescent="0.25">
      <c r="A208" s="1" t="str">
        <f>HYPERLINK("https://lynxcrm-apac--c.eu19.visual.force.com/0011i000001xolsAAA","Ang, May Yeene")</f>
        <v>Ang, May Yeene</v>
      </c>
      <c r="B208" t="s">
        <v>549</v>
      </c>
      <c r="C208" t="s">
        <v>28</v>
      </c>
      <c r="D208" t="s">
        <v>550</v>
      </c>
      <c r="E208" t="s">
        <v>8</v>
      </c>
      <c r="F208" t="s">
        <v>551</v>
      </c>
      <c r="G208" t="s">
        <v>552</v>
      </c>
      <c r="H208" t="s">
        <v>553</v>
      </c>
      <c r="I208" t="s">
        <v>554</v>
      </c>
    </row>
    <row r="209" spans="1:9" x14ac:dyDescent="0.25">
      <c r="A209" s="1" t="str">
        <f>HYPERLINK("https://lynxcrm-apac--c.eu19.visual.force.com/0011i000001xoYoAAI","Ang, Pei Ming Samuel")</f>
        <v>Ang, Pei Ming Samuel</v>
      </c>
      <c r="B209" t="s">
        <v>555</v>
      </c>
      <c r="C209" t="s">
        <v>28</v>
      </c>
      <c r="D209" t="s">
        <v>556</v>
      </c>
      <c r="E209" t="s">
        <v>8</v>
      </c>
      <c r="F209" t="s">
        <v>557</v>
      </c>
      <c r="G209" t="s">
        <v>558</v>
      </c>
      <c r="H209" t="s">
        <v>559</v>
      </c>
      <c r="I209" t="s">
        <v>560</v>
      </c>
    </row>
    <row r="210" spans="1:9" x14ac:dyDescent="0.25">
      <c r="A210" s="1" t="str">
        <f>HYPERLINK("https://lynxcrm-apac--c.eu19.visual.force.com/0011i000001xoOFAAY","Ang, Pek San Lawrence")</f>
        <v>Ang, Pek San Lawrence</v>
      </c>
      <c r="B210" t="s">
        <v>561</v>
      </c>
      <c r="C210" t="s">
        <v>28</v>
      </c>
      <c r="D210" t="s">
        <v>562</v>
      </c>
      <c r="E210" t="s">
        <v>8</v>
      </c>
      <c r="F210" t="s">
        <v>563</v>
      </c>
      <c r="G210" t="s">
        <v>564</v>
      </c>
      <c r="H210" t="s">
        <v>564</v>
      </c>
      <c r="I210" t="s">
        <v>565</v>
      </c>
    </row>
    <row r="211" spans="1:9" x14ac:dyDescent="0.25">
      <c r="A211" s="1" t="str">
        <f>HYPERLINK("https://lynxcrm-apac--c.eu19.visual.force.com/0011i00000Xf1IVAAZ","Ang, Peter")</f>
        <v>Ang, Peter</v>
      </c>
      <c r="B211" t="s">
        <v>566</v>
      </c>
      <c r="C211" t="s">
        <v>28</v>
      </c>
      <c r="D211" t="s">
        <v>567</v>
      </c>
      <c r="E211" t="s">
        <v>8</v>
      </c>
      <c r="F211" t="s">
        <v>568</v>
      </c>
      <c r="G211" t="s">
        <v>569</v>
      </c>
      <c r="H211" t="s">
        <v>8</v>
      </c>
      <c r="I211" t="s">
        <v>344</v>
      </c>
    </row>
    <row r="212" spans="1:9" x14ac:dyDescent="0.25">
      <c r="A212" s="1" t="str">
        <f>HYPERLINK("https://lynxcrm-apac--c.eu19.visual.force.com/0011i000001xoRQAAY","Ang, Serene")</f>
        <v>Ang, Serene</v>
      </c>
      <c r="B212" t="s">
        <v>570</v>
      </c>
      <c r="C212" t="s">
        <v>28</v>
      </c>
      <c r="D212" t="s">
        <v>571</v>
      </c>
      <c r="E212" t="s">
        <v>8</v>
      </c>
      <c r="F212" t="s">
        <v>572</v>
      </c>
      <c r="G212" t="s">
        <v>573</v>
      </c>
      <c r="H212" t="s">
        <v>573</v>
      </c>
      <c r="I212" t="s">
        <v>574</v>
      </c>
    </row>
    <row r="213" spans="1:9" x14ac:dyDescent="0.25">
      <c r="A213" s="1" t="str">
        <f>HYPERLINK("https://lynxcrm-apac--c.eu19.visual.force.com/0011i000001xoFAAAY","Ang, Su Hsien Mauree")</f>
        <v>Ang, Su Hsien Mauree</v>
      </c>
      <c r="B213" t="s">
        <v>575</v>
      </c>
      <c r="C213" t="s">
        <v>28</v>
      </c>
      <c r="D213" t="s">
        <v>576</v>
      </c>
      <c r="E213" t="s">
        <v>8</v>
      </c>
      <c r="F213" t="s">
        <v>258</v>
      </c>
      <c r="G213" t="s">
        <v>261</v>
      </c>
      <c r="H213" t="s">
        <v>261</v>
      </c>
      <c r="I213" t="s">
        <v>260</v>
      </c>
    </row>
    <row r="214" spans="1:9" x14ac:dyDescent="0.25">
      <c r="A214" s="1" t="str">
        <f>HYPERLINK("https://lynxcrm-apac--c.eu19.visual.force.com/0011i000001xoFAAAY","Ang, Su Hsien Mauree")</f>
        <v>Ang, Su Hsien Mauree</v>
      </c>
      <c r="B214" t="s">
        <v>575</v>
      </c>
      <c r="C214" t="s">
        <v>28</v>
      </c>
      <c r="D214" t="s">
        <v>261</v>
      </c>
      <c r="E214" t="s">
        <v>8</v>
      </c>
      <c r="F214" t="s">
        <v>261</v>
      </c>
      <c r="G214" t="s">
        <v>347</v>
      </c>
      <c r="H214" t="s">
        <v>347</v>
      </c>
      <c r="I214" t="s">
        <v>260</v>
      </c>
    </row>
    <row r="215" spans="1:9" x14ac:dyDescent="0.25">
      <c r="A215" s="1" t="str">
        <f>HYPERLINK("https://lynxcrm-apac--c.eu19.visual.force.com/0011i000001xojYAAQ","Ang, Su Lin Vivien")</f>
        <v>Ang, Su Lin Vivien</v>
      </c>
      <c r="B215" t="s">
        <v>577</v>
      </c>
      <c r="C215" t="s">
        <v>28</v>
      </c>
      <c r="D215" t="s">
        <v>578</v>
      </c>
      <c r="E215" t="s">
        <v>8</v>
      </c>
      <c r="F215" t="s">
        <v>579</v>
      </c>
      <c r="G215" t="s">
        <v>580</v>
      </c>
      <c r="H215" t="s">
        <v>580</v>
      </c>
      <c r="I215" t="s">
        <v>581</v>
      </c>
    </row>
    <row r="216" spans="1:9" x14ac:dyDescent="0.25">
      <c r="A216" s="1" t="str">
        <f>HYPERLINK("https://lynxcrm-apac--c.eu19.visual.force.com/0011i000001xoFmAAI","Ang, Tiing Leong")</f>
        <v>Ang, Tiing Leong</v>
      </c>
      <c r="B216" t="s">
        <v>582</v>
      </c>
      <c r="C216" t="s">
        <v>28</v>
      </c>
      <c r="D216" t="s">
        <v>583</v>
      </c>
      <c r="E216" t="s">
        <v>8</v>
      </c>
      <c r="F216" t="s">
        <v>583</v>
      </c>
      <c r="G216" t="s">
        <v>584</v>
      </c>
      <c r="H216" t="s">
        <v>584</v>
      </c>
      <c r="I216" t="s">
        <v>585</v>
      </c>
    </row>
    <row r="217" spans="1:9" x14ac:dyDescent="0.25">
      <c r="A217" s="1" t="str">
        <f>HYPERLINK("https://lynxcrm-apac--c.eu19.visual.force.com/0011i000001xoFmAAI","Ang, Tiing Leong")</f>
        <v>Ang, Tiing Leong</v>
      </c>
      <c r="B217" t="s">
        <v>582</v>
      </c>
      <c r="C217" t="s">
        <v>28</v>
      </c>
      <c r="D217" t="s">
        <v>586</v>
      </c>
      <c r="E217" t="s">
        <v>8</v>
      </c>
      <c r="F217" t="s">
        <v>584</v>
      </c>
      <c r="G217" t="s">
        <v>583</v>
      </c>
      <c r="H217" t="s">
        <v>583</v>
      </c>
      <c r="I217" t="s">
        <v>585</v>
      </c>
    </row>
    <row r="218" spans="1:9" x14ac:dyDescent="0.25">
      <c r="A218" s="1" t="str">
        <f>HYPERLINK("https://lynxcrm-apac--c.eu19.visual.force.com/0011i000001xoGkAAI","Ang, Yan Hoon")</f>
        <v>Ang, Yan Hoon</v>
      </c>
      <c r="B218" t="s">
        <v>587</v>
      </c>
      <c r="C218" t="s">
        <v>28</v>
      </c>
      <c r="D218" t="s">
        <v>501</v>
      </c>
      <c r="E218" t="s">
        <v>8</v>
      </c>
      <c r="F218" t="s">
        <v>359</v>
      </c>
      <c r="G218" t="s">
        <v>502</v>
      </c>
      <c r="H218" t="s">
        <v>503</v>
      </c>
      <c r="I218" t="s">
        <v>506</v>
      </c>
    </row>
    <row r="219" spans="1:9" x14ac:dyDescent="0.25">
      <c r="A219" s="1" t="str">
        <f>HYPERLINK("https://lynxcrm-apac--c.eu19.visual.force.com/0011i00000raTHgAAM","Ang, Yi Ning Renette")</f>
        <v>Ang, Yi Ning Renette</v>
      </c>
      <c r="B219" t="s">
        <v>588</v>
      </c>
      <c r="C219" t="s">
        <v>28</v>
      </c>
      <c r="D219" t="s">
        <v>589</v>
      </c>
      <c r="E219" t="s">
        <v>8</v>
      </c>
      <c r="F219" t="s">
        <v>590</v>
      </c>
      <c r="G219" t="s">
        <v>591</v>
      </c>
      <c r="H219" t="s">
        <v>8</v>
      </c>
      <c r="I219" t="s">
        <v>592</v>
      </c>
    </row>
    <row r="220" spans="1:9" x14ac:dyDescent="0.25">
      <c r="A220" s="1" t="str">
        <f>HYPERLINK("https://lynxcrm-apac--c.eu19.visual.force.com/0011i00000Xf1HmAAJ","Ang, Yvonne")</f>
        <v>Ang, Yvonne</v>
      </c>
      <c r="B220" t="s">
        <v>593</v>
      </c>
      <c r="C220" t="s">
        <v>28</v>
      </c>
      <c r="D220" t="s">
        <v>429</v>
      </c>
      <c r="E220" t="s">
        <v>8</v>
      </c>
      <c r="F220" t="s">
        <v>594</v>
      </c>
      <c r="G220" t="s">
        <v>595</v>
      </c>
      <c r="H220" t="s">
        <v>8</v>
      </c>
      <c r="I220" t="s">
        <v>596</v>
      </c>
    </row>
    <row r="221" spans="1:9" x14ac:dyDescent="0.25">
      <c r="A221" s="1" t="str">
        <f>HYPERLINK("https://lynxcrm-apac--c.eu19.visual.force.com/0011i000001xnUuAAI","Ang &amp; Kong Behavioural Medical Clinic")</f>
        <v>Ang &amp; Kong Behavioural Medical Clinic</v>
      </c>
      <c r="B221" t="s">
        <v>597</v>
      </c>
      <c r="C221" t="s">
        <v>10</v>
      </c>
      <c r="D221" t="s">
        <v>8</v>
      </c>
      <c r="E221" t="s">
        <v>8</v>
      </c>
      <c r="F221" t="s">
        <v>377</v>
      </c>
      <c r="G221" t="s">
        <v>598</v>
      </c>
      <c r="H221" t="s">
        <v>599</v>
      </c>
      <c r="I221" t="s">
        <v>123</v>
      </c>
    </row>
    <row r="222" spans="1:9" x14ac:dyDescent="0.25">
      <c r="A222" s="1" t="str">
        <f>HYPERLINK("https://lynxcrm-apac--c.eu19.visual.force.com/0011i000001xnc0AAA","Ang Mo Kio Clinic")</f>
        <v>Ang Mo Kio Clinic</v>
      </c>
      <c r="B222" t="s">
        <v>600</v>
      </c>
      <c r="C222" t="s">
        <v>10</v>
      </c>
      <c r="D222" t="s">
        <v>8</v>
      </c>
      <c r="E222" t="s">
        <v>8</v>
      </c>
      <c r="F222" t="s">
        <v>601</v>
      </c>
      <c r="G222" t="s">
        <v>602</v>
      </c>
      <c r="H222" t="s">
        <v>602</v>
      </c>
      <c r="I222" t="s">
        <v>603</v>
      </c>
    </row>
    <row r="223" spans="1:9" x14ac:dyDescent="0.25">
      <c r="A223" s="1" t="str">
        <f>HYPERLINK("https://lynxcrm-apac--c.eu19.visual.force.com/0011i000001xnTuAAI","Ang Mo Kio Family Medicine Clinic")</f>
        <v>Ang Mo Kio Family Medicine Clinic</v>
      </c>
      <c r="B223" t="s">
        <v>604</v>
      </c>
      <c r="C223" t="s">
        <v>10</v>
      </c>
      <c r="D223" t="s">
        <v>8</v>
      </c>
      <c r="E223" t="s">
        <v>8</v>
      </c>
      <c r="F223" t="s">
        <v>605</v>
      </c>
      <c r="G223" t="s">
        <v>606</v>
      </c>
      <c r="H223" t="s">
        <v>606</v>
      </c>
      <c r="I223" t="s">
        <v>607</v>
      </c>
    </row>
    <row r="224" spans="1:9" x14ac:dyDescent="0.25">
      <c r="A224" s="1" t="str">
        <f>HYPERLINK("https://lynxcrm-apac--c.eu19.visual.force.com/0011i000001xnZ3AAI","Ang Mo Kio Hospital")</f>
        <v>Ang Mo Kio Hospital</v>
      </c>
      <c r="B224" t="s">
        <v>608</v>
      </c>
      <c r="C224" t="s">
        <v>10</v>
      </c>
      <c r="D224" t="s">
        <v>8</v>
      </c>
      <c r="E224" t="s">
        <v>8</v>
      </c>
      <c r="F224" t="s">
        <v>609</v>
      </c>
      <c r="G224" t="s">
        <v>609</v>
      </c>
      <c r="H224" t="s">
        <v>8</v>
      </c>
      <c r="I224" t="s">
        <v>610</v>
      </c>
    </row>
    <row r="225" spans="1:9" x14ac:dyDescent="0.25">
      <c r="A225" s="1" t="str">
        <f>HYPERLINK("https://lynxcrm-apac--c.eu19.visual.force.com/0011i000001xnPvAAI","Ang Mo Kio Hospital")</f>
        <v>Ang Mo Kio Hospital</v>
      </c>
      <c r="B225" t="s">
        <v>611</v>
      </c>
      <c r="C225" t="s">
        <v>10</v>
      </c>
      <c r="D225" t="s">
        <v>8</v>
      </c>
      <c r="E225" t="s">
        <v>8</v>
      </c>
      <c r="F225" t="s">
        <v>609</v>
      </c>
      <c r="G225" t="s">
        <v>609</v>
      </c>
      <c r="H225" t="s">
        <v>612</v>
      </c>
      <c r="I225" t="s">
        <v>610</v>
      </c>
    </row>
    <row r="226" spans="1:9" x14ac:dyDescent="0.25">
      <c r="A226" s="1" t="str">
        <f>HYPERLINK("https://lynxcrm-apac--c.eu19.visual.force.com/0011i000001xmjGAAQ","Ang Mo Kio Medical Centre")</f>
        <v>Ang Mo Kio Medical Centre</v>
      </c>
      <c r="B226" t="s">
        <v>613</v>
      </c>
      <c r="C226" t="s">
        <v>10</v>
      </c>
      <c r="D226" t="s">
        <v>8</v>
      </c>
      <c r="E226" t="s">
        <v>8</v>
      </c>
      <c r="F226" t="s">
        <v>614</v>
      </c>
      <c r="G226" t="s">
        <v>615</v>
      </c>
      <c r="H226" t="s">
        <v>616</v>
      </c>
      <c r="I226" t="s">
        <v>617</v>
      </c>
    </row>
    <row r="227" spans="1:9" x14ac:dyDescent="0.25">
      <c r="A227" s="1" t="str">
        <f>HYPERLINK("https://lynxcrm-apac--c.eu19.visual.force.com/0011i000001xmjGAAQ","Ang Mo Kio Medical Centre")</f>
        <v>Ang Mo Kio Medical Centre</v>
      </c>
      <c r="B227" t="s">
        <v>613</v>
      </c>
      <c r="C227" t="s">
        <v>10</v>
      </c>
      <c r="D227" t="s">
        <v>8</v>
      </c>
      <c r="E227" t="s">
        <v>8</v>
      </c>
      <c r="F227" t="s">
        <v>618</v>
      </c>
      <c r="G227" t="s">
        <v>619</v>
      </c>
      <c r="H227" t="s">
        <v>619</v>
      </c>
      <c r="I227" t="s">
        <v>617</v>
      </c>
    </row>
    <row r="228" spans="1:9" x14ac:dyDescent="0.25">
      <c r="A228" s="1" t="str">
        <f>HYPERLINK("https://lynxcrm-apac--c.eu19.visual.force.com/0011i000001xmyqAAA","Ang Mo Kio Medical Centre")</f>
        <v>Ang Mo Kio Medical Centre</v>
      </c>
      <c r="B228" t="s">
        <v>620</v>
      </c>
      <c r="C228" t="s">
        <v>10</v>
      </c>
      <c r="D228" t="s">
        <v>8</v>
      </c>
      <c r="E228" t="s">
        <v>8</v>
      </c>
      <c r="F228" t="s">
        <v>618</v>
      </c>
      <c r="G228" t="s">
        <v>615</v>
      </c>
      <c r="H228" t="s">
        <v>616</v>
      </c>
      <c r="I228" t="s">
        <v>617</v>
      </c>
    </row>
    <row r="229" spans="1:9" x14ac:dyDescent="0.25">
      <c r="A229" s="1" t="str">
        <f>HYPERLINK("https://lynxcrm-apac--c.eu19.visual.force.com/0011i000001xn08AAA","Ang Mo Kio Polyclinic")</f>
        <v>Ang Mo Kio Polyclinic</v>
      </c>
      <c r="B229" t="s">
        <v>621</v>
      </c>
      <c r="C229" t="s">
        <v>10</v>
      </c>
      <c r="D229" t="s">
        <v>8</v>
      </c>
      <c r="E229" t="s">
        <v>8</v>
      </c>
      <c r="F229" t="s">
        <v>622</v>
      </c>
      <c r="G229" t="s">
        <v>623</v>
      </c>
      <c r="H229" t="s">
        <v>623</v>
      </c>
      <c r="I229" t="s">
        <v>624</v>
      </c>
    </row>
    <row r="230" spans="1:9" x14ac:dyDescent="0.25">
      <c r="A230" s="1" t="str">
        <f>HYPERLINK("https://lynxcrm-apac--c.eu19.visual.force.com/0011i000001xnIhAAI","Ang Mo Kio Polyclinic")</f>
        <v>Ang Mo Kio Polyclinic</v>
      </c>
      <c r="B230" t="s">
        <v>625</v>
      </c>
      <c r="C230" t="s">
        <v>10</v>
      </c>
      <c r="D230" t="s">
        <v>8</v>
      </c>
      <c r="E230" t="s">
        <v>8</v>
      </c>
      <c r="F230" t="s">
        <v>622</v>
      </c>
      <c r="G230" t="s">
        <v>623</v>
      </c>
      <c r="H230" t="s">
        <v>623</v>
      </c>
      <c r="I230" t="s">
        <v>624</v>
      </c>
    </row>
    <row r="231" spans="1:9" x14ac:dyDescent="0.25">
      <c r="A231" s="1" t="str">
        <f>HYPERLINK("https://lynxcrm-apac--c.eu19.visual.force.com/0011i000001xnVgAAI","Ang Mo Kio Polyclinic")</f>
        <v>Ang Mo Kio Polyclinic</v>
      </c>
      <c r="B231" t="s">
        <v>626</v>
      </c>
      <c r="C231" t="s">
        <v>10</v>
      </c>
      <c r="D231" t="s">
        <v>8</v>
      </c>
      <c r="E231" t="s">
        <v>8</v>
      </c>
      <c r="F231" t="s">
        <v>627</v>
      </c>
      <c r="G231" t="s">
        <v>628</v>
      </c>
      <c r="H231" t="s">
        <v>628</v>
      </c>
      <c r="I231" t="s">
        <v>624</v>
      </c>
    </row>
    <row r="232" spans="1:9" x14ac:dyDescent="0.25">
      <c r="A232" s="1" t="str">
        <f>HYPERLINK("https://lynxcrm-apac--c.eu19.visual.force.com/0011i000001xnKWAAY","Ang Mo Kio Polyclinic")</f>
        <v>Ang Mo Kio Polyclinic</v>
      </c>
      <c r="B232" t="s">
        <v>629</v>
      </c>
      <c r="C232" t="s">
        <v>10</v>
      </c>
      <c r="D232" t="s">
        <v>8</v>
      </c>
      <c r="E232" t="s">
        <v>8</v>
      </c>
      <c r="F232" t="s">
        <v>622</v>
      </c>
      <c r="G232" t="s">
        <v>623</v>
      </c>
      <c r="H232" t="s">
        <v>623</v>
      </c>
      <c r="I232" t="s">
        <v>624</v>
      </c>
    </row>
    <row r="233" spans="1:9" x14ac:dyDescent="0.25">
      <c r="A233" s="1" t="str">
        <f>HYPERLINK("https://lynxcrm-apac--c.eu19.visual.force.com/0011i000001xnItAAI","Ang Mo Kio Polyclinic")</f>
        <v>Ang Mo Kio Polyclinic</v>
      </c>
      <c r="B233" t="s">
        <v>630</v>
      </c>
      <c r="C233" t="s">
        <v>10</v>
      </c>
      <c r="D233" t="s">
        <v>8</v>
      </c>
      <c r="E233" t="s">
        <v>8</v>
      </c>
      <c r="F233" t="s">
        <v>622</v>
      </c>
      <c r="G233" t="s">
        <v>623</v>
      </c>
      <c r="H233" t="s">
        <v>623</v>
      </c>
      <c r="I233" t="s">
        <v>624</v>
      </c>
    </row>
    <row r="234" spans="1:9" x14ac:dyDescent="0.25">
      <c r="A234" s="1" t="str">
        <f>HYPERLINK("https://lynxcrm-apac--c.eu19.visual.force.com/0011i000001xn8RAAQ","Ang Yong Guan Psychiatry")</f>
        <v>Ang Yong Guan Psychiatry</v>
      </c>
      <c r="B234" t="s">
        <v>631</v>
      </c>
      <c r="C234" t="s">
        <v>10</v>
      </c>
      <c r="D234" t="s">
        <v>8</v>
      </c>
      <c r="E234" t="s">
        <v>8</v>
      </c>
      <c r="F234" t="s">
        <v>317</v>
      </c>
      <c r="G234" t="s">
        <v>632</v>
      </c>
      <c r="H234" t="s">
        <v>633</v>
      </c>
      <c r="I234" t="s">
        <v>85</v>
      </c>
    </row>
    <row r="235" spans="1:9" x14ac:dyDescent="0.25">
      <c r="A235" s="1" t="str">
        <f>HYPERLINK("https://lynxcrm-apac--c.eu19.visual.force.com/0011i000001xoJoAAI","Annitha, A")</f>
        <v>Annitha, A</v>
      </c>
      <c r="B235" t="s">
        <v>634</v>
      </c>
      <c r="C235" t="s">
        <v>28</v>
      </c>
      <c r="D235" t="s">
        <v>635</v>
      </c>
      <c r="E235" t="s">
        <v>8</v>
      </c>
      <c r="F235" t="s">
        <v>584</v>
      </c>
      <c r="G235" t="s">
        <v>583</v>
      </c>
      <c r="H235" t="s">
        <v>583</v>
      </c>
      <c r="I235" t="s">
        <v>585</v>
      </c>
    </row>
    <row r="236" spans="1:9" x14ac:dyDescent="0.25">
      <c r="A236" s="1" t="str">
        <f>HYPERLINK("https://lynxcrm-apac--c.eu19.visual.force.com/0011i000001xoJoAAI","Annitha, A")</f>
        <v>Annitha, A</v>
      </c>
      <c r="B236" t="s">
        <v>634</v>
      </c>
      <c r="C236" t="s">
        <v>28</v>
      </c>
      <c r="D236" t="s">
        <v>583</v>
      </c>
      <c r="E236" t="s">
        <v>8</v>
      </c>
      <c r="F236" t="s">
        <v>583</v>
      </c>
      <c r="G236" t="s">
        <v>584</v>
      </c>
      <c r="H236" t="s">
        <v>584</v>
      </c>
      <c r="I236" t="s">
        <v>585</v>
      </c>
    </row>
    <row r="237" spans="1:9" x14ac:dyDescent="0.25">
      <c r="A237" s="1" t="str">
        <f>HYPERLINK("https://lynxcrm-apac--c.eu19.visual.force.com/0011i000001xoKbAAI","Ansari, Asha")</f>
        <v>Ansari, Asha</v>
      </c>
      <c r="B237" t="s">
        <v>636</v>
      </c>
      <c r="C237" t="s">
        <v>28</v>
      </c>
      <c r="D237" t="s">
        <v>637</v>
      </c>
      <c r="E237" t="s">
        <v>8</v>
      </c>
      <c r="F237" t="s">
        <v>638</v>
      </c>
      <c r="G237" t="s">
        <v>639</v>
      </c>
      <c r="H237" t="s">
        <v>639</v>
      </c>
      <c r="I237" t="s">
        <v>640</v>
      </c>
    </row>
    <row r="238" spans="1:9" x14ac:dyDescent="0.25">
      <c r="A238" s="1" t="str">
        <f>HYPERLINK("https://lynxcrm-apac--c.eu19.visual.force.com/0011i000001xnYRAAY","Anteh Dispensary")</f>
        <v>Anteh Dispensary</v>
      </c>
      <c r="B238" t="s">
        <v>641</v>
      </c>
      <c r="C238" t="s">
        <v>10</v>
      </c>
      <c r="D238" t="s">
        <v>8</v>
      </c>
      <c r="E238" t="s">
        <v>8</v>
      </c>
      <c r="F238" t="s">
        <v>642</v>
      </c>
      <c r="G238" t="s">
        <v>643</v>
      </c>
      <c r="H238" t="s">
        <v>644</v>
      </c>
      <c r="I238" t="s">
        <v>645</v>
      </c>
    </row>
    <row r="239" spans="1:9" x14ac:dyDescent="0.25">
      <c r="A239" s="1" t="str">
        <f>HYPERLINK("https://lynxcrm-apac--c.eu19.visual.force.com/0011i000001xnpDAAQ","Anthony, Charles Rabind")</f>
        <v>Anthony, Charles Rabind</v>
      </c>
      <c r="B239" t="s">
        <v>646</v>
      </c>
      <c r="C239" t="s">
        <v>28</v>
      </c>
      <c r="D239" t="s">
        <v>261</v>
      </c>
      <c r="E239" t="s">
        <v>8</v>
      </c>
      <c r="F239" t="s">
        <v>261</v>
      </c>
      <c r="G239" t="s">
        <v>347</v>
      </c>
      <c r="H239" t="s">
        <v>347</v>
      </c>
      <c r="I239" t="s">
        <v>260</v>
      </c>
    </row>
    <row r="240" spans="1:9" x14ac:dyDescent="0.25">
      <c r="A240" s="1" t="str">
        <f>HYPERLINK("https://lynxcrm-apac--c.eu19.visual.force.com/0011i000001xnpDAAQ","Anthony, Charles Rabind")</f>
        <v>Anthony, Charles Rabind</v>
      </c>
      <c r="B240" t="s">
        <v>646</v>
      </c>
      <c r="C240" t="s">
        <v>28</v>
      </c>
      <c r="D240" t="s">
        <v>368</v>
      </c>
      <c r="E240" t="s">
        <v>8</v>
      </c>
      <c r="F240" t="s">
        <v>258</v>
      </c>
      <c r="G240" t="s">
        <v>261</v>
      </c>
      <c r="H240" t="s">
        <v>261</v>
      </c>
      <c r="I240" t="s">
        <v>260</v>
      </c>
    </row>
    <row r="241" spans="1:9" x14ac:dyDescent="0.25">
      <c r="A241" s="1" t="str">
        <f>HYPERLINK("https://lynxcrm-apac--c.eu19.visual.force.com/0011i000001xmvFAAQ","Anthony Heng Surgery")</f>
        <v>Anthony Heng Surgery</v>
      </c>
      <c r="B241" t="s">
        <v>647</v>
      </c>
      <c r="C241" t="s">
        <v>10</v>
      </c>
      <c r="D241" t="s">
        <v>8</v>
      </c>
      <c r="E241" t="s">
        <v>8</v>
      </c>
      <c r="F241" t="s">
        <v>69</v>
      </c>
      <c r="G241" t="s">
        <v>648</v>
      </c>
      <c r="H241" t="s">
        <v>649</v>
      </c>
      <c r="I241" t="s">
        <v>67</v>
      </c>
    </row>
    <row r="242" spans="1:9" x14ac:dyDescent="0.25">
      <c r="A242" s="1" t="str">
        <f t="shared" ref="A242:A248" si="2">HYPERLINK("https://lynxcrm-apac--c.eu19.visual.force.com/0011i000001xotJAAQ","Anuradha, Negi")</f>
        <v>Anuradha, Negi</v>
      </c>
      <c r="B242" t="s">
        <v>650</v>
      </c>
      <c r="C242" t="s">
        <v>28</v>
      </c>
      <c r="D242" t="s">
        <v>501</v>
      </c>
      <c r="E242" t="s">
        <v>8</v>
      </c>
      <c r="F242" t="s">
        <v>501</v>
      </c>
      <c r="G242" t="s">
        <v>502</v>
      </c>
      <c r="H242" t="s">
        <v>502</v>
      </c>
      <c r="I242" t="s">
        <v>506</v>
      </c>
    </row>
    <row r="243" spans="1:9" x14ac:dyDescent="0.25">
      <c r="A243" s="1" t="str">
        <f t="shared" si="2"/>
        <v>Anuradha, Negi</v>
      </c>
      <c r="B243" t="s">
        <v>650</v>
      </c>
      <c r="C243" t="s">
        <v>28</v>
      </c>
      <c r="D243" t="s">
        <v>501</v>
      </c>
      <c r="E243" t="s">
        <v>8</v>
      </c>
      <c r="F243" t="s">
        <v>502</v>
      </c>
      <c r="G243" t="s">
        <v>502</v>
      </c>
      <c r="H243" t="s">
        <v>503</v>
      </c>
      <c r="I243" t="s">
        <v>504</v>
      </c>
    </row>
    <row r="244" spans="1:9" x14ac:dyDescent="0.25">
      <c r="A244" s="1" t="str">
        <f t="shared" si="2"/>
        <v>Anuradha, Negi</v>
      </c>
      <c r="B244" t="s">
        <v>650</v>
      </c>
      <c r="C244" t="s">
        <v>28</v>
      </c>
      <c r="D244" t="s">
        <v>501</v>
      </c>
      <c r="E244" t="s">
        <v>8</v>
      </c>
      <c r="F244" t="s">
        <v>246</v>
      </c>
      <c r="G244" t="s">
        <v>502</v>
      </c>
      <c r="H244" t="s">
        <v>503</v>
      </c>
      <c r="I244" t="s">
        <v>504</v>
      </c>
    </row>
    <row r="245" spans="1:9" x14ac:dyDescent="0.25">
      <c r="A245" s="1" t="str">
        <f t="shared" si="2"/>
        <v>Anuradha, Negi</v>
      </c>
      <c r="B245" t="s">
        <v>650</v>
      </c>
      <c r="C245" t="s">
        <v>28</v>
      </c>
      <c r="D245" t="s">
        <v>501</v>
      </c>
      <c r="E245" t="s">
        <v>8</v>
      </c>
      <c r="F245" t="s">
        <v>246</v>
      </c>
      <c r="G245" t="s">
        <v>502</v>
      </c>
      <c r="H245" t="s">
        <v>503</v>
      </c>
      <c r="I245" t="s">
        <v>505</v>
      </c>
    </row>
    <row r="246" spans="1:9" x14ac:dyDescent="0.25">
      <c r="A246" s="1" t="str">
        <f t="shared" si="2"/>
        <v>Anuradha, Negi</v>
      </c>
      <c r="B246" t="s">
        <v>650</v>
      </c>
      <c r="C246" t="s">
        <v>28</v>
      </c>
      <c r="D246" t="s">
        <v>501</v>
      </c>
      <c r="E246" t="s">
        <v>8</v>
      </c>
      <c r="F246" t="s">
        <v>234</v>
      </c>
      <c r="G246" t="s">
        <v>502</v>
      </c>
      <c r="H246" t="s">
        <v>503</v>
      </c>
      <c r="I246" t="s">
        <v>504</v>
      </c>
    </row>
    <row r="247" spans="1:9" x14ac:dyDescent="0.25">
      <c r="A247" s="1" t="str">
        <f t="shared" si="2"/>
        <v>Anuradha, Negi</v>
      </c>
      <c r="B247" t="s">
        <v>650</v>
      </c>
      <c r="C247" t="s">
        <v>28</v>
      </c>
      <c r="D247" t="s">
        <v>501</v>
      </c>
      <c r="E247" t="s">
        <v>8</v>
      </c>
      <c r="F247" t="s">
        <v>359</v>
      </c>
      <c r="G247" t="s">
        <v>502</v>
      </c>
      <c r="H247" t="s">
        <v>503</v>
      </c>
      <c r="I247" t="s">
        <v>506</v>
      </c>
    </row>
    <row r="248" spans="1:9" x14ac:dyDescent="0.25">
      <c r="A248" s="1" t="str">
        <f t="shared" si="2"/>
        <v>Anuradha, Negi</v>
      </c>
      <c r="B248" t="s">
        <v>650</v>
      </c>
      <c r="C248" t="s">
        <v>28</v>
      </c>
      <c r="D248" t="s">
        <v>164</v>
      </c>
      <c r="E248" t="s">
        <v>8</v>
      </c>
      <c r="F248" t="s">
        <v>651</v>
      </c>
      <c r="G248" t="s">
        <v>163</v>
      </c>
      <c r="H248" t="s">
        <v>242</v>
      </c>
      <c r="I248" t="s">
        <v>165</v>
      </c>
    </row>
    <row r="249" spans="1:9" x14ac:dyDescent="0.25">
      <c r="A249" s="1" t="str">
        <f>HYPERLINK("https://lynxcrm-apac--c.eu19.visual.force.com/0011i000001xnEoAAI","Apex Clinic &amp; Surgery")</f>
        <v>Apex Clinic &amp; Surgery</v>
      </c>
      <c r="B249" t="s">
        <v>652</v>
      </c>
      <c r="C249" t="s">
        <v>10</v>
      </c>
      <c r="D249" t="s">
        <v>8</v>
      </c>
      <c r="E249" t="s">
        <v>8</v>
      </c>
      <c r="F249" t="s">
        <v>653</v>
      </c>
      <c r="G249" t="s">
        <v>654</v>
      </c>
      <c r="H249" t="s">
        <v>655</v>
      </c>
      <c r="I249" t="s">
        <v>656</v>
      </c>
    </row>
    <row r="250" spans="1:9" x14ac:dyDescent="0.25">
      <c r="A250" s="1" t="str">
        <f>HYPERLINK("https://lynxcrm-apac--c.eu19.visual.force.com/0011i000001xncUAAQ","Apex Clinic &amp; Surgery")</f>
        <v>Apex Clinic &amp; Surgery</v>
      </c>
      <c r="B250" t="s">
        <v>657</v>
      </c>
      <c r="C250" t="s">
        <v>10</v>
      </c>
      <c r="D250" t="s">
        <v>8</v>
      </c>
      <c r="E250" t="s">
        <v>8</v>
      </c>
      <c r="F250" t="s">
        <v>658</v>
      </c>
      <c r="G250" t="s">
        <v>659</v>
      </c>
      <c r="H250" t="s">
        <v>659</v>
      </c>
      <c r="I250" t="s">
        <v>660</v>
      </c>
    </row>
    <row r="251" spans="1:9" x14ac:dyDescent="0.25">
      <c r="A251" s="1" t="str">
        <f>HYPERLINK("https://lynxcrm-apac--c.eu19.visual.force.com/0011i000001xo43AAA","Arasaratnam, Punitha")</f>
        <v>Arasaratnam, Punitha</v>
      </c>
      <c r="B251" t="s">
        <v>661</v>
      </c>
      <c r="C251" t="s">
        <v>28</v>
      </c>
      <c r="D251" t="s">
        <v>662</v>
      </c>
      <c r="E251" t="s">
        <v>8</v>
      </c>
      <c r="F251" t="s">
        <v>662</v>
      </c>
      <c r="G251" t="s">
        <v>663</v>
      </c>
      <c r="H251" t="s">
        <v>663</v>
      </c>
      <c r="I251" t="s">
        <v>664</v>
      </c>
    </row>
    <row r="252" spans="1:9" x14ac:dyDescent="0.25">
      <c r="A252" s="1" t="str">
        <f>HYPERLINK("https://lynxcrm-apac--c.eu19.visual.force.com/0011i00000TWxbVAAT","Arden JR Surgery")</f>
        <v>Arden JR Surgery</v>
      </c>
      <c r="B252" t="s">
        <v>665</v>
      </c>
      <c r="C252" t="s">
        <v>10</v>
      </c>
      <c r="D252" t="s">
        <v>8</v>
      </c>
      <c r="E252" t="s">
        <v>8</v>
      </c>
      <c r="F252" t="s">
        <v>666</v>
      </c>
      <c r="G252" t="s">
        <v>667</v>
      </c>
      <c r="H252" t="s">
        <v>8</v>
      </c>
      <c r="I252" t="s">
        <v>344</v>
      </c>
    </row>
    <row r="253" spans="1:9" x14ac:dyDescent="0.25">
      <c r="A253" s="1" t="str">
        <f>HYPERLINK("https://lynxcrm-apac--c.eu19.visual.force.com/0011i000001xniCAAQ","Arpan, R. Vidyarthi")</f>
        <v>Arpan, R. Vidyarthi</v>
      </c>
      <c r="B253" t="s">
        <v>668</v>
      </c>
      <c r="C253" t="s">
        <v>28</v>
      </c>
      <c r="D253" t="s">
        <v>429</v>
      </c>
      <c r="E253" t="s">
        <v>8</v>
      </c>
      <c r="F253" t="s">
        <v>429</v>
      </c>
      <c r="G253" t="s">
        <v>428</v>
      </c>
      <c r="H253" t="s">
        <v>428</v>
      </c>
      <c r="I253" t="s">
        <v>430</v>
      </c>
    </row>
    <row r="254" spans="1:9" x14ac:dyDescent="0.25">
      <c r="A254" s="1" t="str">
        <f>HYPERLINK("https://lynxcrm-apac--c.eu19.visual.force.com/0011i000001xniCAAQ","Arpan, R. Vidyarthi")</f>
        <v>Arpan, R. Vidyarthi</v>
      </c>
      <c r="B254" t="s">
        <v>668</v>
      </c>
      <c r="C254" t="s">
        <v>28</v>
      </c>
      <c r="D254" t="s">
        <v>429</v>
      </c>
      <c r="E254" t="s">
        <v>8</v>
      </c>
      <c r="F254" t="s">
        <v>444</v>
      </c>
      <c r="G254" t="s">
        <v>444</v>
      </c>
      <c r="H254" t="s">
        <v>8</v>
      </c>
      <c r="I254" t="s">
        <v>430</v>
      </c>
    </row>
    <row r="255" spans="1:9" x14ac:dyDescent="0.25">
      <c r="A255" s="1" t="str">
        <f>HYPERLINK("https://lynxcrm-apac--c.eu19.visual.force.com/0011i000001xniCAAQ","Arpan, R. Vidyarthi")</f>
        <v>Arpan, R. Vidyarthi</v>
      </c>
      <c r="B255" t="s">
        <v>668</v>
      </c>
      <c r="C255" t="s">
        <v>28</v>
      </c>
      <c r="D255" t="s">
        <v>429</v>
      </c>
      <c r="E255" t="s">
        <v>8</v>
      </c>
      <c r="F255" t="s">
        <v>445</v>
      </c>
      <c r="G255" t="s">
        <v>428</v>
      </c>
      <c r="H255" t="s">
        <v>428</v>
      </c>
      <c r="I255" t="s">
        <v>430</v>
      </c>
    </row>
    <row r="256" spans="1:9" x14ac:dyDescent="0.25">
      <c r="A256" s="1" t="str">
        <f>HYPERLINK("https://lynxcrm-apac--c.eu19.visual.force.com/0011i000001xniCAAQ","Arpan, R. Vidyarthi")</f>
        <v>Arpan, R. Vidyarthi</v>
      </c>
      <c r="B256" t="s">
        <v>668</v>
      </c>
      <c r="C256" t="s">
        <v>28</v>
      </c>
      <c r="D256" t="s">
        <v>429</v>
      </c>
      <c r="E256" t="s">
        <v>8</v>
      </c>
      <c r="F256" t="s">
        <v>444</v>
      </c>
      <c r="G256" t="s">
        <v>444</v>
      </c>
      <c r="H256" t="s">
        <v>8</v>
      </c>
      <c r="I256" t="s">
        <v>8</v>
      </c>
    </row>
    <row r="257" spans="1:9" x14ac:dyDescent="0.25">
      <c r="A257" s="1" t="str">
        <f>HYPERLINK("https://lynxcrm-apac--c.eu19.visual.force.com/0011i000001xnIlAAI","Ar-Raudhah Medical Clinic")</f>
        <v>Ar-Raudhah Medical Clinic</v>
      </c>
      <c r="B257" t="s">
        <v>669</v>
      </c>
      <c r="C257" t="s">
        <v>10</v>
      </c>
      <c r="D257" t="s">
        <v>8</v>
      </c>
      <c r="E257" t="s">
        <v>8</v>
      </c>
      <c r="F257" t="s">
        <v>422</v>
      </c>
      <c r="G257" t="s">
        <v>423</v>
      </c>
      <c r="H257" t="s">
        <v>424</v>
      </c>
      <c r="I257" t="s">
        <v>425</v>
      </c>
    </row>
    <row r="258" spans="1:9" x14ac:dyDescent="0.25">
      <c r="A258" s="1" t="str">
        <f>HYPERLINK("https://lynxcrm-apac--c.eu19.visual.force.com/0011i000001xoZIAAY","Arvin, Mahavijiyan")</f>
        <v>Arvin, Mahavijiyan</v>
      </c>
      <c r="B258" t="s">
        <v>670</v>
      </c>
      <c r="C258" t="s">
        <v>28</v>
      </c>
      <c r="D258" t="s">
        <v>12</v>
      </c>
      <c r="E258" t="s">
        <v>8</v>
      </c>
      <c r="F258" t="s">
        <v>11</v>
      </c>
      <c r="G258" t="s">
        <v>11</v>
      </c>
      <c r="H258" t="s">
        <v>8</v>
      </c>
      <c r="I258" t="s">
        <v>13</v>
      </c>
    </row>
    <row r="259" spans="1:9" x14ac:dyDescent="0.25">
      <c r="A259" s="1" t="str">
        <f>HYPERLINK("https://lynxcrm-apac--c.eu19.visual.force.com/0011i000001xoEcAAI","Arvind, C")</f>
        <v>Arvind, C</v>
      </c>
      <c r="B259" t="s">
        <v>671</v>
      </c>
      <c r="C259" t="s">
        <v>28</v>
      </c>
      <c r="D259" t="s">
        <v>251</v>
      </c>
      <c r="E259" t="s">
        <v>8</v>
      </c>
      <c r="F259" t="s">
        <v>241</v>
      </c>
      <c r="G259" t="s">
        <v>252</v>
      </c>
      <c r="H259" t="s">
        <v>252</v>
      </c>
      <c r="I259" t="s">
        <v>253</v>
      </c>
    </row>
    <row r="260" spans="1:9" x14ac:dyDescent="0.25">
      <c r="A260" s="1" t="str">
        <f>HYPERLINK("https://lynxcrm-apac--c.eu19.visual.force.com/0011i000001xoEcAAI","Arvind, C")</f>
        <v>Arvind, C</v>
      </c>
      <c r="B260" t="s">
        <v>671</v>
      </c>
      <c r="C260" t="s">
        <v>28</v>
      </c>
      <c r="D260" t="s">
        <v>251</v>
      </c>
      <c r="E260" t="s">
        <v>8</v>
      </c>
      <c r="F260" t="s">
        <v>251</v>
      </c>
      <c r="G260" t="s">
        <v>252</v>
      </c>
      <c r="H260" t="s">
        <v>252</v>
      </c>
      <c r="I260" t="s">
        <v>253</v>
      </c>
    </row>
    <row r="261" spans="1:9" x14ac:dyDescent="0.25">
      <c r="A261" s="1" t="str">
        <f>HYPERLINK("https://lynxcrm-apac--c.eu19.visual.force.com/0011i000001xnyZAAQ","Ashish, Anil Sule")</f>
        <v>Ashish, Anil Sule</v>
      </c>
      <c r="B261" t="s">
        <v>672</v>
      </c>
      <c r="C261" t="s">
        <v>28</v>
      </c>
      <c r="D261" t="s">
        <v>261</v>
      </c>
      <c r="E261" t="s">
        <v>8</v>
      </c>
      <c r="F261" t="s">
        <v>257</v>
      </c>
      <c r="G261" t="s">
        <v>258</v>
      </c>
      <c r="H261" t="s">
        <v>259</v>
      </c>
      <c r="I261" t="s">
        <v>260</v>
      </c>
    </row>
    <row r="262" spans="1:9" x14ac:dyDescent="0.25">
      <c r="A262" s="1" t="str">
        <f>HYPERLINK("https://lynxcrm-apac--c.eu19.visual.force.com/0011i000007FFe1AAG","Ashna, Fatima Nastar")</f>
        <v>Ashna, Fatima Nastar</v>
      </c>
      <c r="B262" t="s">
        <v>673</v>
      </c>
      <c r="C262" t="s">
        <v>28</v>
      </c>
      <c r="D262" t="s">
        <v>429</v>
      </c>
      <c r="E262" t="s">
        <v>8</v>
      </c>
      <c r="F262" t="s">
        <v>429</v>
      </c>
      <c r="G262" t="s">
        <v>428</v>
      </c>
      <c r="H262" t="s">
        <v>428</v>
      </c>
      <c r="I262" t="s">
        <v>430</v>
      </c>
    </row>
    <row r="263" spans="1:9" x14ac:dyDescent="0.25">
      <c r="A263" s="1" t="str">
        <f>HYPERLINK("https://lynxcrm-apac--c.eu19.visual.force.com/0011i000001xnH6AAI","Asia Healthpartners Wellness &amp; Aesthetics Centre")</f>
        <v>Asia Healthpartners Wellness &amp; Aesthetics Centre</v>
      </c>
      <c r="B263" t="s">
        <v>674</v>
      </c>
      <c r="C263" t="s">
        <v>10</v>
      </c>
      <c r="D263" t="s">
        <v>8</v>
      </c>
      <c r="E263" t="s">
        <v>8</v>
      </c>
      <c r="F263" t="s">
        <v>675</v>
      </c>
      <c r="G263" t="s">
        <v>676</v>
      </c>
      <c r="H263" t="s">
        <v>676</v>
      </c>
      <c r="I263" t="s">
        <v>677</v>
      </c>
    </row>
    <row r="264" spans="1:9" x14ac:dyDescent="0.25">
      <c r="A264" s="1" t="str">
        <f>HYPERLINK("https://lynxcrm-apac--c.eu19.visual.force.com/0011i000001xnCYAAY","Asiamedic Eye Centre Pte Ltd")</f>
        <v>Asiamedic Eye Centre Pte Ltd</v>
      </c>
      <c r="B264" t="s">
        <v>678</v>
      </c>
      <c r="C264" t="s">
        <v>10</v>
      </c>
      <c r="D264" t="s">
        <v>8</v>
      </c>
      <c r="E264" t="s">
        <v>8</v>
      </c>
      <c r="F264" t="s">
        <v>679</v>
      </c>
      <c r="G264" t="s">
        <v>113</v>
      </c>
      <c r="H264" t="s">
        <v>680</v>
      </c>
      <c r="I264" t="s">
        <v>115</v>
      </c>
    </row>
    <row r="265" spans="1:9" x14ac:dyDescent="0.25">
      <c r="A265" s="1" t="str">
        <f>HYPERLINK("https://lynxcrm-apac--c.eu19.visual.force.com/0011i000001xmxXAAQ","Asiamedic Limited")</f>
        <v>Asiamedic Limited</v>
      </c>
      <c r="B265" t="s">
        <v>681</v>
      </c>
      <c r="C265" t="s">
        <v>10</v>
      </c>
      <c r="D265" t="s">
        <v>8</v>
      </c>
      <c r="E265" t="s">
        <v>8</v>
      </c>
      <c r="F265" t="s">
        <v>679</v>
      </c>
      <c r="G265" t="s">
        <v>113</v>
      </c>
      <c r="H265" t="s">
        <v>682</v>
      </c>
      <c r="I265" t="s">
        <v>115</v>
      </c>
    </row>
    <row r="266" spans="1:9" x14ac:dyDescent="0.25">
      <c r="A266" s="1" t="str">
        <f>HYPERLINK("https://lynxcrm-apac--c.eu19.visual.force.com/0011i000001xn0aAAA","Asian Heart &amp; Vascular Centre")</f>
        <v>Asian Heart &amp; Vascular Centre</v>
      </c>
      <c r="B266" t="s">
        <v>683</v>
      </c>
      <c r="C266" t="s">
        <v>10</v>
      </c>
      <c r="D266" t="s">
        <v>8</v>
      </c>
      <c r="E266" t="s">
        <v>8</v>
      </c>
      <c r="F266" t="s">
        <v>684</v>
      </c>
      <c r="G266" t="s">
        <v>121</v>
      </c>
      <c r="H266" t="s">
        <v>121</v>
      </c>
      <c r="I266" t="s">
        <v>123</v>
      </c>
    </row>
    <row r="267" spans="1:9" x14ac:dyDescent="0.25">
      <c r="A267" s="1" t="str">
        <f>HYPERLINK("https://lynxcrm-apac--c.eu19.visual.force.com/0011i000001xnFiAAI","Asian Heart &amp; Vascular Centre")</f>
        <v>Asian Heart &amp; Vascular Centre</v>
      </c>
      <c r="B267" t="s">
        <v>685</v>
      </c>
      <c r="C267" t="s">
        <v>10</v>
      </c>
      <c r="D267" t="s">
        <v>8</v>
      </c>
      <c r="E267" t="s">
        <v>8</v>
      </c>
      <c r="F267" t="s">
        <v>686</v>
      </c>
      <c r="G267" t="s">
        <v>687</v>
      </c>
      <c r="H267" t="s">
        <v>687</v>
      </c>
      <c r="I267" t="s">
        <v>344</v>
      </c>
    </row>
    <row r="268" spans="1:9" x14ac:dyDescent="0.25">
      <c r="A268" s="1" t="str">
        <f>HYPERLINK("https://lynxcrm-apac--c.eu19.visual.force.com/0011i000001xmlWAAQ","Asian Heart &amp; Vascular Centre")</f>
        <v>Asian Heart &amp; Vascular Centre</v>
      </c>
      <c r="B268" t="s">
        <v>688</v>
      </c>
      <c r="C268" t="s">
        <v>10</v>
      </c>
      <c r="D268" t="s">
        <v>8</v>
      </c>
      <c r="E268" t="s">
        <v>8</v>
      </c>
      <c r="F268" t="s">
        <v>65</v>
      </c>
      <c r="G268" t="s">
        <v>689</v>
      </c>
      <c r="H268" t="s">
        <v>689</v>
      </c>
      <c r="I268" t="s">
        <v>67</v>
      </c>
    </row>
    <row r="269" spans="1:9" x14ac:dyDescent="0.25">
      <c r="A269" s="1" t="str">
        <f>HYPERLINK("https://lynxcrm-apac--c.eu19.visual.force.com/0011i000001xnAKAAY","Asian Heart &amp; Vascular Centre")</f>
        <v>Asian Heart &amp; Vascular Centre</v>
      </c>
      <c r="B269" t="s">
        <v>690</v>
      </c>
      <c r="C269" t="s">
        <v>10</v>
      </c>
      <c r="D269" t="s">
        <v>8</v>
      </c>
      <c r="E269" t="s">
        <v>8</v>
      </c>
      <c r="F269" t="s">
        <v>686</v>
      </c>
      <c r="G269" t="s">
        <v>691</v>
      </c>
      <c r="H269" t="s">
        <v>691</v>
      </c>
      <c r="I269" t="s">
        <v>692</v>
      </c>
    </row>
    <row r="270" spans="1:9" x14ac:dyDescent="0.25">
      <c r="A270" s="1" t="str">
        <f>HYPERLINK("https://lynxcrm-apac--c.eu19.visual.force.com/0011i000001xnHlAAI","Asian Heart &amp; Vascular Centre")</f>
        <v>Asian Heart &amp; Vascular Centre</v>
      </c>
      <c r="B270" t="s">
        <v>693</v>
      </c>
      <c r="C270" t="s">
        <v>10</v>
      </c>
      <c r="D270" t="s">
        <v>8</v>
      </c>
      <c r="E270" t="s">
        <v>8</v>
      </c>
      <c r="F270" t="s">
        <v>694</v>
      </c>
      <c r="G270" t="s">
        <v>65</v>
      </c>
      <c r="H270" t="s">
        <v>65</v>
      </c>
      <c r="I270" t="s">
        <v>67</v>
      </c>
    </row>
    <row r="271" spans="1:9" x14ac:dyDescent="0.25">
      <c r="A271" s="1" t="str">
        <f>HYPERLINK("https://lynxcrm-apac--c.eu19.visual.force.com/0011i000001xnHvAAI","Asian Heart &amp; Vascular Centre")</f>
        <v>Asian Heart &amp; Vascular Centre</v>
      </c>
      <c r="B271" t="s">
        <v>695</v>
      </c>
      <c r="C271" t="s">
        <v>10</v>
      </c>
      <c r="D271" t="s">
        <v>8</v>
      </c>
      <c r="E271" t="s">
        <v>8</v>
      </c>
      <c r="F271" t="s">
        <v>65</v>
      </c>
      <c r="G271" t="s">
        <v>689</v>
      </c>
      <c r="H271" t="s">
        <v>689</v>
      </c>
      <c r="I271" t="s">
        <v>67</v>
      </c>
    </row>
    <row r="272" spans="1:9" x14ac:dyDescent="0.25">
      <c r="A272" s="1" t="str">
        <f>HYPERLINK("https://lynxcrm-apac--c.eu19.visual.force.com/0011i000001xnHrAAI","Asian Heart &amp; Vascular Centre")</f>
        <v>Asian Heart &amp; Vascular Centre</v>
      </c>
      <c r="B272" t="s">
        <v>696</v>
      </c>
      <c r="C272" t="s">
        <v>10</v>
      </c>
      <c r="D272" t="s">
        <v>8</v>
      </c>
      <c r="E272" t="s">
        <v>8</v>
      </c>
      <c r="F272" t="s">
        <v>684</v>
      </c>
      <c r="G272" t="s">
        <v>121</v>
      </c>
      <c r="H272" t="s">
        <v>121</v>
      </c>
      <c r="I272" t="s">
        <v>123</v>
      </c>
    </row>
    <row r="273" spans="1:9" x14ac:dyDescent="0.25">
      <c r="A273" s="1" t="str">
        <f>HYPERLINK("https://lynxcrm-apac--c.eu19.visual.force.com/0011i000001xnFvAAI","Asian Heart &amp; Vascular Ctr")</f>
        <v>Asian Heart &amp; Vascular Ctr</v>
      </c>
      <c r="B273" t="s">
        <v>697</v>
      </c>
      <c r="C273" t="s">
        <v>10</v>
      </c>
      <c r="D273" t="s">
        <v>8</v>
      </c>
      <c r="E273" t="s">
        <v>8</v>
      </c>
      <c r="F273" t="s">
        <v>689</v>
      </c>
      <c r="G273" t="s">
        <v>65</v>
      </c>
      <c r="H273" t="s">
        <v>65</v>
      </c>
      <c r="I273" t="s">
        <v>67</v>
      </c>
    </row>
    <row r="274" spans="1:9" x14ac:dyDescent="0.25">
      <c r="A274" s="1" t="str">
        <f>HYPERLINK("https://lynxcrm-apac--c.eu19.visual.force.com/0011i00000uRlktAAC","Asokan, Rathi Devi")</f>
        <v>Asokan, Rathi Devi</v>
      </c>
      <c r="B274" t="s">
        <v>698</v>
      </c>
      <c r="C274" t="s">
        <v>28</v>
      </c>
      <c r="D274" t="s">
        <v>21</v>
      </c>
      <c r="E274" t="s">
        <v>8</v>
      </c>
      <c r="F274" t="s">
        <v>699</v>
      </c>
      <c r="G274" t="s">
        <v>699</v>
      </c>
      <c r="H274" t="s">
        <v>8</v>
      </c>
      <c r="I274" t="s">
        <v>22</v>
      </c>
    </row>
    <row r="275" spans="1:9" x14ac:dyDescent="0.25">
      <c r="A275" s="1" t="str">
        <f>HYPERLINK("https://lynxcrm-apac--c.eu19.visual.force.com/0011i000001xn7yAAA","Asst. Clinic Pharmacy Manager")</f>
        <v>Asst. Clinic Pharmacy Manager</v>
      </c>
      <c r="B275" t="s">
        <v>700</v>
      </c>
      <c r="C275" t="s">
        <v>10</v>
      </c>
      <c r="D275" t="s">
        <v>8</v>
      </c>
      <c r="E275" t="s">
        <v>8</v>
      </c>
      <c r="F275" t="s">
        <v>701</v>
      </c>
      <c r="G275" t="s">
        <v>702</v>
      </c>
      <c r="H275" t="s">
        <v>702</v>
      </c>
      <c r="I275" t="s">
        <v>703</v>
      </c>
    </row>
    <row r="276" spans="1:9" x14ac:dyDescent="0.25">
      <c r="A276" s="1" t="str">
        <f>HYPERLINK("https://lynxcrm-apac--c.eu19.visual.force.com/0011i000001xnEjAAI","Atlas Medical Clinic Pte Ltd")</f>
        <v>Atlas Medical Clinic Pte Ltd</v>
      </c>
      <c r="B276" t="s">
        <v>704</v>
      </c>
      <c r="C276" t="s">
        <v>10</v>
      </c>
      <c r="D276" t="s">
        <v>8</v>
      </c>
      <c r="E276" t="s">
        <v>8</v>
      </c>
      <c r="F276" t="s">
        <v>705</v>
      </c>
      <c r="G276" t="s">
        <v>706</v>
      </c>
      <c r="H276" t="s">
        <v>707</v>
      </c>
      <c r="I276" t="s">
        <v>543</v>
      </c>
    </row>
    <row r="277" spans="1:9" x14ac:dyDescent="0.25">
      <c r="A277" s="1" t="str">
        <f>HYPERLINK("https://lynxcrm-apac--c.eu19.visual.force.com/0011i000001xnpMAAQ","Atputharajah, Yogasarojini")</f>
        <v>Atputharajah, Yogasarojini</v>
      </c>
      <c r="B277" t="s">
        <v>708</v>
      </c>
      <c r="C277" t="s">
        <v>28</v>
      </c>
      <c r="D277" t="s">
        <v>709</v>
      </c>
      <c r="E277" t="s">
        <v>8</v>
      </c>
      <c r="F277" t="s">
        <v>710</v>
      </c>
      <c r="G277" t="s">
        <v>135</v>
      </c>
      <c r="H277" t="s">
        <v>135</v>
      </c>
      <c r="I277" t="s">
        <v>711</v>
      </c>
    </row>
    <row r="278" spans="1:9" x14ac:dyDescent="0.25">
      <c r="A278" s="1" t="str">
        <f>HYPERLINK("https://lynxcrm-apac--c.eu19.visual.force.com/0011i000001xnpMAAQ","Atputharajah, Yogasarojini")</f>
        <v>Atputharajah, Yogasarojini</v>
      </c>
      <c r="B278" t="s">
        <v>708</v>
      </c>
      <c r="C278" t="s">
        <v>28</v>
      </c>
      <c r="D278" t="s">
        <v>12</v>
      </c>
      <c r="E278" t="s">
        <v>8</v>
      </c>
      <c r="F278" t="s">
        <v>11</v>
      </c>
      <c r="G278" t="s">
        <v>11</v>
      </c>
      <c r="H278" t="s">
        <v>712</v>
      </c>
      <c r="I278" t="s">
        <v>713</v>
      </c>
    </row>
    <row r="279" spans="1:9" x14ac:dyDescent="0.25">
      <c r="A279" s="1" t="str">
        <f>HYPERLINK("https://lynxcrm-apac--c.eu19.visual.force.com/0011i000001xmceAAA","Atria Medical Associates")</f>
        <v>Atria Medical Associates</v>
      </c>
      <c r="B279" t="s">
        <v>714</v>
      </c>
      <c r="C279" t="s">
        <v>10</v>
      </c>
      <c r="D279" t="s">
        <v>8</v>
      </c>
      <c r="E279" t="s">
        <v>8</v>
      </c>
      <c r="F279" t="s">
        <v>715</v>
      </c>
      <c r="G279" t="s">
        <v>716</v>
      </c>
      <c r="H279" t="s">
        <v>716</v>
      </c>
      <c r="I279" t="s">
        <v>717</v>
      </c>
    </row>
    <row r="280" spans="1:9" x14ac:dyDescent="0.25">
      <c r="A280" s="1" t="str">
        <f>HYPERLINK("https://lynxcrm-apac--c.eu19.visual.force.com/0011i000001xnE2AAI","Atrio Family Clinic")</f>
        <v>Atrio Family Clinic</v>
      </c>
      <c r="B280" t="s">
        <v>718</v>
      </c>
      <c r="C280" t="s">
        <v>10</v>
      </c>
      <c r="D280" t="s">
        <v>8</v>
      </c>
      <c r="E280" t="s">
        <v>8</v>
      </c>
      <c r="F280" t="s">
        <v>719</v>
      </c>
      <c r="G280" t="s">
        <v>720</v>
      </c>
      <c r="H280" t="s">
        <v>720</v>
      </c>
      <c r="I280" t="s">
        <v>721</v>
      </c>
    </row>
    <row r="281" spans="1:9" x14ac:dyDescent="0.25">
      <c r="A281" s="1" t="str">
        <f>HYPERLINK("https://lynxcrm-apac--c.eu19.visual.force.com/0011i000001xnDyAAI","Atrio Family Clinic")</f>
        <v>Atrio Family Clinic</v>
      </c>
      <c r="B281" t="s">
        <v>722</v>
      </c>
      <c r="C281" t="s">
        <v>10</v>
      </c>
      <c r="D281" t="s">
        <v>8</v>
      </c>
      <c r="E281" t="s">
        <v>8</v>
      </c>
      <c r="F281" t="s">
        <v>719</v>
      </c>
      <c r="G281" t="s">
        <v>720</v>
      </c>
      <c r="H281" t="s">
        <v>720</v>
      </c>
      <c r="I281" t="s">
        <v>721</v>
      </c>
    </row>
    <row r="282" spans="1:9" x14ac:dyDescent="0.25">
      <c r="A282" s="1" t="str">
        <f>HYPERLINK("https://lynxcrm-apac--c.eu19.visual.force.com/0011i000001xnDxAAI","Atrio Family Clinic")</f>
        <v>Atrio Family Clinic</v>
      </c>
      <c r="B282" t="s">
        <v>723</v>
      </c>
      <c r="C282" t="s">
        <v>10</v>
      </c>
      <c r="D282" t="s">
        <v>8</v>
      </c>
      <c r="E282" t="s">
        <v>8</v>
      </c>
      <c r="F282" t="s">
        <v>724</v>
      </c>
      <c r="G282" t="s">
        <v>725</v>
      </c>
      <c r="H282" t="s">
        <v>725</v>
      </c>
      <c r="I282" t="s">
        <v>726</v>
      </c>
    </row>
    <row r="283" spans="1:9" x14ac:dyDescent="0.25">
      <c r="A283" s="1" t="str">
        <f>HYPERLINK("https://lynxcrm-apac--c.eu19.visual.force.com/0011i000001xohSAAQ","Atsuko, Kikui")</f>
        <v>Atsuko, Kikui</v>
      </c>
      <c r="B283" t="s">
        <v>727</v>
      </c>
      <c r="C283" t="s">
        <v>28</v>
      </c>
      <c r="D283" t="s">
        <v>728</v>
      </c>
      <c r="E283" t="s">
        <v>8</v>
      </c>
      <c r="F283" t="s">
        <v>87</v>
      </c>
      <c r="G283" t="s">
        <v>88</v>
      </c>
      <c r="H283" t="s">
        <v>88</v>
      </c>
      <c r="I283" t="s">
        <v>85</v>
      </c>
    </row>
    <row r="284" spans="1:9" x14ac:dyDescent="0.25">
      <c r="A284" s="1" t="str">
        <f>HYPERLINK("https://lynxcrm-apac--c.eu19.visual.force.com/0011i000001xoZaAAI","Au, Kah Kay")</f>
        <v>Au, Kah Kay</v>
      </c>
      <c r="B284" t="s">
        <v>729</v>
      </c>
      <c r="C284" t="s">
        <v>28</v>
      </c>
      <c r="D284" t="s">
        <v>578</v>
      </c>
      <c r="E284" t="s">
        <v>8</v>
      </c>
      <c r="F284" t="s">
        <v>730</v>
      </c>
      <c r="G284" t="s">
        <v>731</v>
      </c>
      <c r="H284" t="s">
        <v>732</v>
      </c>
      <c r="I284" t="s">
        <v>733</v>
      </c>
    </row>
    <row r="285" spans="1:9" x14ac:dyDescent="0.25">
      <c r="A285" s="1" t="str">
        <f>HYPERLINK("https://lynxcrm-apac--c.eu19.visual.force.com/0011i000001xnppAAA","Au, Shu Yi Lydia")</f>
        <v>Au, Shu Yi Lydia</v>
      </c>
      <c r="B285" t="s">
        <v>734</v>
      </c>
      <c r="C285" t="s">
        <v>28</v>
      </c>
      <c r="D285" t="s">
        <v>662</v>
      </c>
      <c r="E285" t="s">
        <v>8</v>
      </c>
      <c r="F285" t="s">
        <v>662</v>
      </c>
      <c r="G285" t="s">
        <v>663</v>
      </c>
      <c r="H285" t="s">
        <v>663</v>
      </c>
      <c r="I285" t="s">
        <v>664</v>
      </c>
    </row>
    <row r="286" spans="1:9" x14ac:dyDescent="0.25">
      <c r="A286" s="1" t="str">
        <f>HYPERLINK("https://lynxcrm-apac--c.eu19.visual.force.com/0011i000001xoWNAAY","Aung, Thien")</f>
        <v>Aung, Thien</v>
      </c>
      <c r="B286" t="s">
        <v>735</v>
      </c>
      <c r="C286" t="s">
        <v>28</v>
      </c>
      <c r="D286" t="s">
        <v>148</v>
      </c>
      <c r="E286" t="s">
        <v>8</v>
      </c>
      <c r="F286" t="s">
        <v>736</v>
      </c>
      <c r="G286" t="s">
        <v>736</v>
      </c>
      <c r="H286" t="s">
        <v>8</v>
      </c>
      <c r="I286" t="s">
        <v>149</v>
      </c>
    </row>
    <row r="287" spans="1:9" x14ac:dyDescent="0.25">
      <c r="A287" s="1" t="str">
        <f>HYPERLINK("https://lynxcrm-apac--c.eu19.visual.force.com/0011i000001xoWNAAY","Aung, Thien")</f>
        <v>Aung, Thien</v>
      </c>
      <c r="B287" t="s">
        <v>735</v>
      </c>
      <c r="C287" t="s">
        <v>28</v>
      </c>
      <c r="D287" t="s">
        <v>147</v>
      </c>
      <c r="E287" t="s">
        <v>8</v>
      </c>
      <c r="F287" t="s">
        <v>147</v>
      </c>
      <c r="G287" t="s">
        <v>148</v>
      </c>
      <c r="H287" t="s">
        <v>148</v>
      </c>
      <c r="I287" t="s">
        <v>149</v>
      </c>
    </row>
    <row r="288" spans="1:9" x14ac:dyDescent="0.25">
      <c r="A288" s="1" t="str">
        <f>HYPERLINK("https://lynxcrm-apac--c.eu19.visual.force.com/0011i000001xmsSAAQ","Australia Clinic")</f>
        <v>Australia Clinic</v>
      </c>
      <c r="B288" t="s">
        <v>737</v>
      </c>
      <c r="C288" t="s">
        <v>10</v>
      </c>
      <c r="D288" t="s">
        <v>8</v>
      </c>
      <c r="E288" t="s">
        <v>8</v>
      </c>
      <c r="F288" t="s">
        <v>738</v>
      </c>
      <c r="G288" t="s">
        <v>739</v>
      </c>
      <c r="H288" t="s">
        <v>739</v>
      </c>
      <c r="I288" t="s">
        <v>740</v>
      </c>
    </row>
    <row r="289" spans="1:9" x14ac:dyDescent="0.25">
      <c r="A289" s="1" t="str">
        <f>HYPERLINK("https://lynxcrm-apac--c.eu19.visual.force.com/0011i000001xoGwAAI","Auw, Tiang Meng @ Oh")</f>
        <v>Auw, Tiang Meng @ Oh</v>
      </c>
      <c r="B289" t="s">
        <v>741</v>
      </c>
      <c r="C289" t="s">
        <v>28</v>
      </c>
      <c r="D289" t="s">
        <v>742</v>
      </c>
      <c r="E289" t="s">
        <v>8</v>
      </c>
      <c r="F289" t="s">
        <v>743</v>
      </c>
      <c r="G289" t="s">
        <v>744</v>
      </c>
      <c r="H289" t="s">
        <v>744</v>
      </c>
      <c r="I289" t="s">
        <v>745</v>
      </c>
    </row>
    <row r="290" spans="1:9" x14ac:dyDescent="0.25">
      <c r="A290" s="1" t="str">
        <f>HYPERLINK("https://lynxcrm-apac--c.eu19.visual.force.com/0011i000001xoJ1AAI","Aw, Lee Fhoon Lily")</f>
        <v>Aw, Lee Fhoon Lily</v>
      </c>
      <c r="B290" t="s">
        <v>746</v>
      </c>
      <c r="C290" t="s">
        <v>28</v>
      </c>
      <c r="D290" t="s">
        <v>747</v>
      </c>
      <c r="E290" t="s">
        <v>8</v>
      </c>
      <c r="F290" t="s">
        <v>748</v>
      </c>
      <c r="G290" t="s">
        <v>749</v>
      </c>
      <c r="H290" t="s">
        <v>749</v>
      </c>
      <c r="I290" t="s">
        <v>750</v>
      </c>
    </row>
    <row r="291" spans="1:9" x14ac:dyDescent="0.25">
      <c r="A291" s="1" t="str">
        <f>HYPERLINK("https://lynxcrm-apac--c.eu19.visual.force.com/0011i000001xnnXAAQ","Aw, S C Cynthia")</f>
        <v>Aw, S C Cynthia</v>
      </c>
      <c r="B291" t="s">
        <v>751</v>
      </c>
      <c r="C291" t="s">
        <v>28</v>
      </c>
      <c r="D291" t="s">
        <v>752</v>
      </c>
      <c r="E291" t="s">
        <v>8</v>
      </c>
      <c r="F291" t="s">
        <v>753</v>
      </c>
      <c r="G291" t="s">
        <v>753</v>
      </c>
      <c r="H291" t="s">
        <v>8</v>
      </c>
      <c r="I291" t="s">
        <v>137</v>
      </c>
    </row>
    <row r="292" spans="1:9" x14ac:dyDescent="0.25">
      <c r="A292" s="1" t="str">
        <f>HYPERLINK("https://lynxcrm-apac--c.eu19.visual.force.com/0011i000001xnnXAAQ","Aw, S C Cynthia")</f>
        <v>Aw, S C Cynthia</v>
      </c>
      <c r="B292" t="s">
        <v>751</v>
      </c>
      <c r="C292" t="s">
        <v>28</v>
      </c>
      <c r="D292" t="s">
        <v>753</v>
      </c>
      <c r="E292" t="s">
        <v>8</v>
      </c>
      <c r="F292" t="s">
        <v>135</v>
      </c>
      <c r="G292" t="s">
        <v>136</v>
      </c>
      <c r="H292" t="s">
        <v>136</v>
      </c>
      <c r="I292" t="s">
        <v>137</v>
      </c>
    </row>
    <row r="293" spans="1:9" x14ac:dyDescent="0.25">
      <c r="A293" s="1" t="str">
        <f>HYPERLINK("https://lynxcrm-apac--c.eu19.visual.force.com/0011i000001xoFuAAI","Aw, Swee Eng")</f>
        <v>Aw, Swee Eng</v>
      </c>
      <c r="B293" t="s">
        <v>754</v>
      </c>
      <c r="C293" t="s">
        <v>28</v>
      </c>
      <c r="D293" t="s">
        <v>251</v>
      </c>
      <c r="E293" t="s">
        <v>8</v>
      </c>
      <c r="F293" t="s">
        <v>251</v>
      </c>
      <c r="G293" t="s">
        <v>252</v>
      </c>
      <c r="H293" t="s">
        <v>252</v>
      </c>
      <c r="I293" t="s">
        <v>253</v>
      </c>
    </row>
    <row r="294" spans="1:9" x14ac:dyDescent="0.25">
      <c r="A294" s="1" t="str">
        <f>HYPERLINK("https://lynxcrm-apac--c.eu19.visual.force.com/0011i000001xoFuAAI","Aw, Swee Eng")</f>
        <v>Aw, Swee Eng</v>
      </c>
      <c r="B294" t="s">
        <v>754</v>
      </c>
      <c r="C294" t="s">
        <v>28</v>
      </c>
      <c r="D294" t="s">
        <v>512</v>
      </c>
      <c r="E294" t="s">
        <v>8</v>
      </c>
      <c r="F294" t="s">
        <v>252</v>
      </c>
      <c r="G294" t="s">
        <v>251</v>
      </c>
      <c r="H294" t="s">
        <v>251</v>
      </c>
      <c r="I294" t="s">
        <v>253</v>
      </c>
    </row>
    <row r="295" spans="1:9" x14ac:dyDescent="0.25">
      <c r="A295" s="1" t="str">
        <f>HYPERLINK("https://lynxcrm-apac--c.eu19.visual.force.com/0011i000001xoKKAAY","Aw, Tuan Kiat")</f>
        <v>Aw, Tuan Kiat</v>
      </c>
      <c r="B295" t="s">
        <v>755</v>
      </c>
      <c r="C295" t="s">
        <v>28</v>
      </c>
      <c r="D295" t="s">
        <v>756</v>
      </c>
      <c r="E295" t="s">
        <v>8</v>
      </c>
      <c r="F295" t="s">
        <v>301</v>
      </c>
      <c r="G295" t="s">
        <v>302</v>
      </c>
      <c r="H295" t="s">
        <v>303</v>
      </c>
      <c r="I295" t="s">
        <v>304</v>
      </c>
    </row>
    <row r="296" spans="1:9" x14ac:dyDescent="0.25">
      <c r="A296" s="1" t="str">
        <f>HYPERLINK("https://lynxcrm-apac--c.eu19.visual.force.com/0011i000001xnzLAAQ","Aw, Tuan Soo")</f>
        <v>Aw, Tuan Soo</v>
      </c>
      <c r="B296" t="s">
        <v>757</v>
      </c>
      <c r="C296" t="s">
        <v>28</v>
      </c>
      <c r="D296" t="s">
        <v>758</v>
      </c>
      <c r="E296" t="s">
        <v>8</v>
      </c>
      <c r="F296" t="s">
        <v>759</v>
      </c>
      <c r="G296" t="s">
        <v>760</v>
      </c>
      <c r="H296" t="s">
        <v>761</v>
      </c>
      <c r="I296" t="s">
        <v>762</v>
      </c>
    </row>
    <row r="297" spans="1:9" x14ac:dyDescent="0.25">
      <c r="A297" s="1" t="str">
        <f>HYPERLINK("https://lynxcrm-apac--c.eu19.visual.force.com/0011i000001xop5AAA","Aye, Aye Mon")</f>
        <v>Aye, Aye Mon</v>
      </c>
      <c r="B297" t="s">
        <v>763</v>
      </c>
      <c r="C297" t="s">
        <v>28</v>
      </c>
      <c r="D297" t="s">
        <v>583</v>
      </c>
      <c r="E297" t="s">
        <v>8</v>
      </c>
      <c r="F297" t="s">
        <v>583</v>
      </c>
      <c r="G297" t="s">
        <v>584</v>
      </c>
      <c r="H297" t="s">
        <v>584</v>
      </c>
      <c r="I297" t="s">
        <v>585</v>
      </c>
    </row>
    <row r="298" spans="1:9" x14ac:dyDescent="0.25">
      <c r="A298" s="1" t="str">
        <f>HYPERLINK("https://lynxcrm-apac--c.eu19.visual.force.com/0011i000001xoLgAAI","Azman, Bin Oman")</f>
        <v>Azman, Bin Oman</v>
      </c>
      <c r="B298" t="s">
        <v>764</v>
      </c>
      <c r="C298" t="s">
        <v>28</v>
      </c>
      <c r="D298" t="s">
        <v>58</v>
      </c>
      <c r="E298" t="s">
        <v>8</v>
      </c>
      <c r="F298" t="s">
        <v>57</v>
      </c>
      <c r="G298" t="s">
        <v>57</v>
      </c>
      <c r="H298" t="s">
        <v>8</v>
      </c>
      <c r="I298" t="s">
        <v>59</v>
      </c>
    </row>
    <row r="299" spans="1:9" x14ac:dyDescent="0.25">
      <c r="A299" s="1" t="str">
        <f>HYPERLINK("https://lynxcrm-apac--c.eu19.visual.force.com/0011i000001xoLgAAI","Azman, Bin Oman")</f>
        <v>Azman, Bin Oman</v>
      </c>
      <c r="B299" t="s">
        <v>764</v>
      </c>
      <c r="C299" t="s">
        <v>28</v>
      </c>
      <c r="D299" t="s">
        <v>57</v>
      </c>
      <c r="E299" t="s">
        <v>8</v>
      </c>
      <c r="F299" t="s">
        <v>57</v>
      </c>
      <c r="G299" t="s">
        <v>58</v>
      </c>
      <c r="H299" t="s">
        <v>58</v>
      </c>
      <c r="I299" t="s">
        <v>59</v>
      </c>
    </row>
    <row r="300" spans="1:9" x14ac:dyDescent="0.25">
      <c r="A300" s="1" t="str">
        <f>HYPERLINK("https://lynxcrm-apac--c.eu19.visual.force.com/0011i00000uRllRAAS","Azyan, Nurul")</f>
        <v>Azyan, Nurul</v>
      </c>
      <c r="B300" t="s">
        <v>765</v>
      </c>
      <c r="C300" t="s">
        <v>28</v>
      </c>
      <c r="D300" t="s">
        <v>21</v>
      </c>
      <c r="E300" t="s">
        <v>8</v>
      </c>
      <c r="F300" t="s">
        <v>699</v>
      </c>
      <c r="G300" t="s">
        <v>699</v>
      </c>
      <c r="H300" t="s">
        <v>8</v>
      </c>
      <c r="I300" t="s">
        <v>22</v>
      </c>
    </row>
    <row r="301" spans="1:9" x14ac:dyDescent="0.25">
      <c r="A301" s="1" t="str">
        <f>HYPERLINK("https://lynxcrm-apac--c.eu19.visual.force.com/0011i000001xoOXAAY","Babu, Urmila")</f>
        <v>Babu, Urmila</v>
      </c>
      <c r="B301" t="s">
        <v>766</v>
      </c>
      <c r="C301" t="s">
        <v>28</v>
      </c>
      <c r="D301" t="s">
        <v>767</v>
      </c>
      <c r="E301" t="s">
        <v>8</v>
      </c>
      <c r="F301" t="s">
        <v>768</v>
      </c>
      <c r="G301" t="s">
        <v>769</v>
      </c>
      <c r="H301" t="s">
        <v>769</v>
      </c>
      <c r="I301" t="s">
        <v>200</v>
      </c>
    </row>
    <row r="302" spans="1:9" x14ac:dyDescent="0.25">
      <c r="A302" s="1" t="str">
        <f>HYPERLINK("https://lynxcrm-apac--c.eu19.visual.force.com/0011i000001xoRFAAY","Bahy, Jacob")</f>
        <v>Bahy, Jacob</v>
      </c>
      <c r="B302" t="s">
        <v>770</v>
      </c>
      <c r="C302" t="s">
        <v>28</v>
      </c>
      <c r="D302" t="s">
        <v>251</v>
      </c>
      <c r="E302" t="s">
        <v>8</v>
      </c>
      <c r="F302" t="s">
        <v>251</v>
      </c>
      <c r="G302" t="s">
        <v>252</v>
      </c>
      <c r="H302" t="s">
        <v>252</v>
      </c>
      <c r="I302" t="s">
        <v>253</v>
      </c>
    </row>
    <row r="303" spans="1:9" x14ac:dyDescent="0.25">
      <c r="A303" s="1" t="str">
        <f>HYPERLINK("https://lynxcrm-apac--c.eu19.visual.force.com/0011i000001xoRFAAY","Bahy, Jacob")</f>
        <v>Bahy, Jacob</v>
      </c>
      <c r="B303" t="s">
        <v>770</v>
      </c>
      <c r="C303" t="s">
        <v>28</v>
      </c>
      <c r="D303" t="s">
        <v>771</v>
      </c>
      <c r="E303" t="s">
        <v>8</v>
      </c>
      <c r="F303" t="s">
        <v>252</v>
      </c>
      <c r="G303" t="s">
        <v>251</v>
      </c>
      <c r="H303" t="s">
        <v>251</v>
      </c>
      <c r="I303" t="s">
        <v>253</v>
      </c>
    </row>
    <row r="304" spans="1:9" x14ac:dyDescent="0.25">
      <c r="A304" s="1" t="str">
        <f t="shared" ref="A304:A316" si="3">HYPERLINK("https://lynxcrm-apac--c.eu19.visual.force.com/0011i000001xonpAAA","Baladas, Haridas Ganesan")</f>
        <v>Baladas, Haridas Ganesan</v>
      </c>
      <c r="B304" t="s">
        <v>772</v>
      </c>
      <c r="C304" t="s">
        <v>28</v>
      </c>
      <c r="D304" t="s">
        <v>164</v>
      </c>
      <c r="E304" t="s">
        <v>8</v>
      </c>
      <c r="F304" t="s">
        <v>249</v>
      </c>
      <c r="G304" t="s">
        <v>163</v>
      </c>
      <c r="H304" t="s">
        <v>163</v>
      </c>
      <c r="I304" t="s">
        <v>165</v>
      </c>
    </row>
    <row r="305" spans="1:9" x14ac:dyDescent="0.25">
      <c r="A305" s="1" t="str">
        <f t="shared" si="3"/>
        <v>Baladas, Haridas Ganesan</v>
      </c>
      <c r="B305" t="s">
        <v>772</v>
      </c>
      <c r="C305" t="s">
        <v>28</v>
      </c>
      <c r="D305" t="s">
        <v>164</v>
      </c>
      <c r="E305" t="s">
        <v>8</v>
      </c>
      <c r="F305" t="s">
        <v>236</v>
      </c>
      <c r="G305" t="s">
        <v>237</v>
      </c>
      <c r="H305" t="s">
        <v>237</v>
      </c>
      <c r="I305" t="s">
        <v>165</v>
      </c>
    </row>
    <row r="306" spans="1:9" x14ac:dyDescent="0.25">
      <c r="A306" s="1" t="str">
        <f t="shared" si="3"/>
        <v>Baladas, Haridas Ganesan</v>
      </c>
      <c r="B306" t="s">
        <v>772</v>
      </c>
      <c r="C306" t="s">
        <v>28</v>
      </c>
      <c r="D306" t="s">
        <v>164</v>
      </c>
      <c r="E306" t="s">
        <v>8</v>
      </c>
      <c r="F306" t="s">
        <v>238</v>
      </c>
      <c r="G306" t="s">
        <v>163</v>
      </c>
      <c r="H306" t="s">
        <v>163</v>
      </c>
      <c r="I306" t="s">
        <v>165</v>
      </c>
    </row>
    <row r="307" spans="1:9" x14ac:dyDescent="0.25">
      <c r="A307" s="1" t="str">
        <f t="shared" si="3"/>
        <v>Baladas, Haridas Ganesan</v>
      </c>
      <c r="B307" t="s">
        <v>772</v>
      </c>
      <c r="C307" t="s">
        <v>28</v>
      </c>
      <c r="D307" t="s">
        <v>164</v>
      </c>
      <c r="E307" t="s">
        <v>8</v>
      </c>
      <c r="F307" t="s">
        <v>239</v>
      </c>
      <c r="G307" t="s">
        <v>163</v>
      </c>
      <c r="H307" t="s">
        <v>163</v>
      </c>
      <c r="I307" t="s">
        <v>165</v>
      </c>
    </row>
    <row r="308" spans="1:9" x14ac:dyDescent="0.25">
      <c r="A308" s="1" t="str">
        <f t="shared" si="3"/>
        <v>Baladas, Haridas Ganesan</v>
      </c>
      <c r="B308" t="s">
        <v>772</v>
      </c>
      <c r="C308" t="s">
        <v>28</v>
      </c>
      <c r="D308" t="s">
        <v>164</v>
      </c>
      <c r="E308" t="s">
        <v>8</v>
      </c>
      <c r="F308" t="s">
        <v>240</v>
      </c>
      <c r="G308" t="s">
        <v>163</v>
      </c>
      <c r="H308" t="s">
        <v>163</v>
      </c>
      <c r="I308" t="s">
        <v>165</v>
      </c>
    </row>
    <row r="309" spans="1:9" x14ac:dyDescent="0.25">
      <c r="A309" s="1" t="str">
        <f t="shared" si="3"/>
        <v>Baladas, Haridas Ganesan</v>
      </c>
      <c r="B309" t="s">
        <v>772</v>
      </c>
      <c r="C309" t="s">
        <v>28</v>
      </c>
      <c r="D309" t="s">
        <v>164</v>
      </c>
      <c r="E309" t="s">
        <v>8</v>
      </c>
      <c r="F309" t="s">
        <v>234</v>
      </c>
      <c r="G309" t="s">
        <v>163</v>
      </c>
      <c r="H309" t="s">
        <v>163</v>
      </c>
      <c r="I309" t="s">
        <v>235</v>
      </c>
    </row>
    <row r="310" spans="1:9" x14ac:dyDescent="0.25">
      <c r="A310" s="1" t="str">
        <f t="shared" si="3"/>
        <v>Baladas, Haridas Ganesan</v>
      </c>
      <c r="B310" t="s">
        <v>772</v>
      </c>
      <c r="C310" t="s">
        <v>28</v>
      </c>
      <c r="D310" t="s">
        <v>164</v>
      </c>
      <c r="E310" t="s">
        <v>8</v>
      </c>
      <c r="F310" t="s">
        <v>241</v>
      </c>
      <c r="G310" t="s">
        <v>163</v>
      </c>
      <c r="H310" t="s">
        <v>242</v>
      </c>
      <c r="I310" t="s">
        <v>165</v>
      </c>
    </row>
    <row r="311" spans="1:9" x14ac:dyDescent="0.25">
      <c r="A311" s="1" t="str">
        <f t="shared" si="3"/>
        <v>Baladas, Haridas Ganesan</v>
      </c>
      <c r="B311" t="s">
        <v>772</v>
      </c>
      <c r="C311" t="s">
        <v>28</v>
      </c>
      <c r="D311" t="s">
        <v>164</v>
      </c>
      <c r="E311" t="s">
        <v>8</v>
      </c>
      <c r="F311" t="s">
        <v>243</v>
      </c>
      <c r="G311" t="s">
        <v>163</v>
      </c>
      <c r="H311" t="s">
        <v>163</v>
      </c>
      <c r="I311" t="s">
        <v>244</v>
      </c>
    </row>
    <row r="312" spans="1:9" x14ac:dyDescent="0.25">
      <c r="A312" s="1" t="str">
        <f t="shared" si="3"/>
        <v>Baladas, Haridas Ganesan</v>
      </c>
      <c r="B312" t="s">
        <v>772</v>
      </c>
      <c r="C312" t="s">
        <v>28</v>
      </c>
      <c r="D312" t="s">
        <v>164</v>
      </c>
      <c r="E312" t="s">
        <v>8</v>
      </c>
      <c r="F312" t="s">
        <v>245</v>
      </c>
      <c r="G312" t="s">
        <v>163</v>
      </c>
      <c r="H312" t="s">
        <v>163</v>
      </c>
      <c r="I312" t="s">
        <v>165</v>
      </c>
    </row>
    <row r="313" spans="1:9" x14ac:dyDescent="0.25">
      <c r="A313" s="1" t="str">
        <f t="shared" si="3"/>
        <v>Baladas, Haridas Ganesan</v>
      </c>
      <c r="B313" t="s">
        <v>772</v>
      </c>
      <c r="C313" t="s">
        <v>28</v>
      </c>
      <c r="D313" t="s">
        <v>164</v>
      </c>
      <c r="E313" t="s">
        <v>8</v>
      </c>
      <c r="F313" t="s">
        <v>246</v>
      </c>
      <c r="G313" t="s">
        <v>163</v>
      </c>
      <c r="H313" t="s">
        <v>163</v>
      </c>
      <c r="I313" t="s">
        <v>244</v>
      </c>
    </row>
    <row r="314" spans="1:9" x14ac:dyDescent="0.25">
      <c r="A314" s="1" t="str">
        <f t="shared" si="3"/>
        <v>Baladas, Haridas Ganesan</v>
      </c>
      <c r="B314" t="s">
        <v>772</v>
      </c>
      <c r="C314" t="s">
        <v>28</v>
      </c>
      <c r="D314" t="s">
        <v>164</v>
      </c>
      <c r="E314" t="s">
        <v>8</v>
      </c>
      <c r="F314" t="s">
        <v>247</v>
      </c>
      <c r="G314" t="s">
        <v>163</v>
      </c>
      <c r="H314" t="s">
        <v>242</v>
      </c>
      <c r="I314" t="s">
        <v>165</v>
      </c>
    </row>
    <row r="315" spans="1:9" x14ac:dyDescent="0.25">
      <c r="A315" s="1" t="str">
        <f t="shared" si="3"/>
        <v>Baladas, Haridas Ganesan</v>
      </c>
      <c r="B315" t="s">
        <v>772</v>
      </c>
      <c r="C315" t="s">
        <v>28</v>
      </c>
      <c r="D315" t="s">
        <v>164</v>
      </c>
      <c r="E315" t="s">
        <v>8</v>
      </c>
      <c r="F315" t="s">
        <v>248</v>
      </c>
      <c r="G315" t="s">
        <v>163</v>
      </c>
      <c r="H315" t="s">
        <v>242</v>
      </c>
      <c r="I315" t="s">
        <v>165</v>
      </c>
    </row>
    <row r="316" spans="1:9" x14ac:dyDescent="0.25">
      <c r="A316" s="1" t="str">
        <f t="shared" si="3"/>
        <v>Baladas, Haridas Ganesan</v>
      </c>
      <c r="B316" t="s">
        <v>772</v>
      </c>
      <c r="C316" t="s">
        <v>28</v>
      </c>
      <c r="D316" t="s">
        <v>164</v>
      </c>
      <c r="E316" t="s">
        <v>8</v>
      </c>
      <c r="F316" t="s">
        <v>234</v>
      </c>
      <c r="G316" t="s">
        <v>163</v>
      </c>
      <c r="H316" t="s">
        <v>163</v>
      </c>
      <c r="I316" t="s">
        <v>244</v>
      </c>
    </row>
    <row r="317" spans="1:9" x14ac:dyDescent="0.25">
      <c r="A317" s="1" t="str">
        <f>HYPERLINK("https://lynxcrm-apac--c.eu19.visual.force.com/0011i000001xoNnAAI","Balbir Singh, s/o Mal Singh")</f>
        <v>Balbir Singh, s/o Mal Singh</v>
      </c>
      <c r="B317" t="s">
        <v>773</v>
      </c>
      <c r="C317" t="s">
        <v>28</v>
      </c>
      <c r="D317" t="s">
        <v>774</v>
      </c>
      <c r="E317" t="s">
        <v>8</v>
      </c>
      <c r="F317" t="s">
        <v>775</v>
      </c>
      <c r="G317" t="s">
        <v>776</v>
      </c>
      <c r="H317" t="s">
        <v>777</v>
      </c>
      <c r="I317" t="s">
        <v>778</v>
      </c>
    </row>
    <row r="318" spans="1:9" x14ac:dyDescent="0.25">
      <c r="A318" s="1" t="str">
        <f>HYPERLINK("https://lynxcrm-apac--c.eu19.visual.force.com/0011i000001xnqmAAA","Baldev, Singh")</f>
        <v>Baldev, Singh</v>
      </c>
      <c r="B318" t="s">
        <v>779</v>
      </c>
      <c r="C318" t="s">
        <v>28</v>
      </c>
      <c r="D318" t="s">
        <v>780</v>
      </c>
      <c r="E318" t="s">
        <v>8</v>
      </c>
      <c r="F318" t="s">
        <v>781</v>
      </c>
      <c r="G318" t="s">
        <v>782</v>
      </c>
      <c r="H318" t="s">
        <v>783</v>
      </c>
      <c r="I318" t="s">
        <v>784</v>
      </c>
    </row>
    <row r="319" spans="1:9" x14ac:dyDescent="0.25">
      <c r="A319" s="1" t="str">
        <f>HYPERLINK("https://lynxcrm-apac--c.eu19.visual.force.com/0011i000001xnLqAAI","Balestier Clinic &amp; Health Screening")</f>
        <v>Balestier Clinic &amp; Health Screening</v>
      </c>
      <c r="B319" t="s">
        <v>785</v>
      </c>
      <c r="C319" t="s">
        <v>10</v>
      </c>
      <c r="D319" t="s">
        <v>8</v>
      </c>
      <c r="E319" t="s">
        <v>8</v>
      </c>
      <c r="F319" t="s">
        <v>786</v>
      </c>
      <c r="G319" t="s">
        <v>787</v>
      </c>
      <c r="H319" t="s">
        <v>8</v>
      </c>
      <c r="I319" t="s">
        <v>788</v>
      </c>
    </row>
    <row r="320" spans="1:9" x14ac:dyDescent="0.25">
      <c r="A320" s="1" t="str">
        <f>HYPERLINK("https://lynxcrm-apac--c.eu19.visual.force.com/0011i000001xoOsAAI","Balkis, Bte Akbar Ali")</f>
        <v>Balkis, Bte Akbar Ali</v>
      </c>
      <c r="B320" t="s">
        <v>789</v>
      </c>
      <c r="C320" t="s">
        <v>28</v>
      </c>
      <c r="D320" t="s">
        <v>790</v>
      </c>
      <c r="E320" t="s">
        <v>8</v>
      </c>
      <c r="F320" t="s">
        <v>791</v>
      </c>
      <c r="G320" t="s">
        <v>792</v>
      </c>
      <c r="H320" t="s">
        <v>793</v>
      </c>
      <c r="I320" t="s">
        <v>794</v>
      </c>
    </row>
    <row r="321" spans="1:9" x14ac:dyDescent="0.25">
      <c r="A321" s="1" t="str">
        <f>HYPERLINK("https://lynxcrm-apac--c.eu19.visual.force.com/0011i000001xn4qAAA","Balmoral Family Clinic &amp; Surgery")</f>
        <v>Balmoral Family Clinic &amp; Surgery</v>
      </c>
      <c r="B321" t="s">
        <v>795</v>
      </c>
      <c r="C321" t="s">
        <v>10</v>
      </c>
      <c r="D321" t="s">
        <v>8</v>
      </c>
      <c r="E321" t="s">
        <v>8</v>
      </c>
      <c r="F321" t="s">
        <v>796</v>
      </c>
      <c r="G321" t="s">
        <v>797</v>
      </c>
      <c r="H321" t="s">
        <v>797</v>
      </c>
      <c r="I321" t="s">
        <v>798</v>
      </c>
    </row>
    <row r="322" spans="1:9" x14ac:dyDescent="0.25">
      <c r="A322" s="1" t="str">
        <f>HYPERLINK("https://lynxcrm-apac--c.eu19.visual.force.com/0011i000001xna0AAA","Balmoral Family Clinic &amp; Surgery")</f>
        <v>Balmoral Family Clinic &amp; Surgery</v>
      </c>
      <c r="B322" t="s">
        <v>799</v>
      </c>
      <c r="C322" t="s">
        <v>10</v>
      </c>
      <c r="D322" t="s">
        <v>8</v>
      </c>
      <c r="E322" t="s">
        <v>8</v>
      </c>
      <c r="F322" t="s">
        <v>796</v>
      </c>
      <c r="G322" t="s">
        <v>797</v>
      </c>
      <c r="H322" t="s">
        <v>800</v>
      </c>
      <c r="I322" t="s">
        <v>798</v>
      </c>
    </row>
    <row r="323" spans="1:9" x14ac:dyDescent="0.25">
      <c r="A323" s="1" t="str">
        <f>HYPERLINK("https://lynxcrm-apac--c.eu19.visual.force.com/0011i000001xnDBAAY","Ban Kok Clinic &amp; Surgery")</f>
        <v>Ban Kok Clinic &amp; Surgery</v>
      </c>
      <c r="B323" t="s">
        <v>801</v>
      </c>
      <c r="C323" t="s">
        <v>10</v>
      </c>
      <c r="D323" t="s">
        <v>8</v>
      </c>
      <c r="E323" t="s">
        <v>8</v>
      </c>
      <c r="F323" t="s">
        <v>802</v>
      </c>
      <c r="G323" t="s">
        <v>803</v>
      </c>
      <c r="H323" t="s">
        <v>803</v>
      </c>
      <c r="I323" t="s">
        <v>804</v>
      </c>
    </row>
    <row r="324" spans="1:9" x14ac:dyDescent="0.25">
      <c r="A324" s="1" t="str">
        <f>HYPERLINK("https://lynxcrm-apac--c.eu19.visual.force.com/0011i000001xnKfAAI","Banyan Clinic")</f>
        <v>Banyan Clinic</v>
      </c>
      <c r="B324" t="s">
        <v>805</v>
      </c>
      <c r="C324" t="s">
        <v>10</v>
      </c>
      <c r="D324" t="s">
        <v>8</v>
      </c>
      <c r="E324" t="s">
        <v>8</v>
      </c>
      <c r="F324" t="s">
        <v>806</v>
      </c>
      <c r="G324" t="s">
        <v>807</v>
      </c>
      <c r="H324" t="s">
        <v>808</v>
      </c>
      <c r="I324" t="s">
        <v>809</v>
      </c>
    </row>
    <row r="325" spans="1:9" x14ac:dyDescent="0.25">
      <c r="A325" s="1" t="str">
        <f>HYPERLINK("https://lynxcrm-apac--c.eu19.visual.force.com/0011i000001xnKgAAI","Banyan Clinic")</f>
        <v>Banyan Clinic</v>
      </c>
      <c r="B325" t="s">
        <v>810</v>
      </c>
      <c r="C325" t="s">
        <v>10</v>
      </c>
      <c r="D325" t="s">
        <v>8</v>
      </c>
      <c r="E325" t="s">
        <v>8</v>
      </c>
      <c r="F325" t="s">
        <v>811</v>
      </c>
      <c r="G325" t="s">
        <v>807</v>
      </c>
      <c r="H325" t="s">
        <v>808</v>
      </c>
      <c r="I325" t="s">
        <v>809</v>
      </c>
    </row>
    <row r="326" spans="1:9" x14ac:dyDescent="0.25">
      <c r="A326" s="1" t="str">
        <f t="shared" ref="A326:A331" si="4">HYPERLINK("https://lynxcrm-apac--c.eu19.visual.force.com/0011i000001xonaAAA","Baskar, Varadarajan")</f>
        <v>Baskar, Varadarajan</v>
      </c>
      <c r="B326" t="s">
        <v>812</v>
      </c>
      <c r="C326" t="s">
        <v>28</v>
      </c>
      <c r="D326" t="s">
        <v>501</v>
      </c>
      <c r="E326" t="s">
        <v>8</v>
      </c>
      <c r="F326" t="s">
        <v>501</v>
      </c>
      <c r="G326" t="s">
        <v>502</v>
      </c>
      <c r="H326" t="s">
        <v>502</v>
      </c>
      <c r="I326" t="s">
        <v>506</v>
      </c>
    </row>
    <row r="327" spans="1:9" x14ac:dyDescent="0.25">
      <c r="A327" s="1" t="str">
        <f t="shared" si="4"/>
        <v>Baskar, Varadarajan</v>
      </c>
      <c r="B327" t="s">
        <v>812</v>
      </c>
      <c r="C327" t="s">
        <v>28</v>
      </c>
      <c r="D327" t="s">
        <v>501</v>
      </c>
      <c r="E327" t="s">
        <v>8</v>
      </c>
      <c r="F327" t="s">
        <v>502</v>
      </c>
      <c r="G327" t="s">
        <v>502</v>
      </c>
      <c r="H327" t="s">
        <v>503</v>
      </c>
      <c r="I327" t="s">
        <v>504</v>
      </c>
    </row>
    <row r="328" spans="1:9" x14ac:dyDescent="0.25">
      <c r="A328" s="1" t="str">
        <f t="shared" si="4"/>
        <v>Baskar, Varadarajan</v>
      </c>
      <c r="B328" t="s">
        <v>812</v>
      </c>
      <c r="C328" t="s">
        <v>28</v>
      </c>
      <c r="D328" t="s">
        <v>501</v>
      </c>
      <c r="E328" t="s">
        <v>8</v>
      </c>
      <c r="F328" t="s">
        <v>246</v>
      </c>
      <c r="G328" t="s">
        <v>502</v>
      </c>
      <c r="H328" t="s">
        <v>503</v>
      </c>
      <c r="I328" t="s">
        <v>504</v>
      </c>
    </row>
    <row r="329" spans="1:9" x14ac:dyDescent="0.25">
      <c r="A329" s="1" t="str">
        <f t="shared" si="4"/>
        <v>Baskar, Varadarajan</v>
      </c>
      <c r="B329" t="s">
        <v>812</v>
      </c>
      <c r="C329" t="s">
        <v>28</v>
      </c>
      <c r="D329" t="s">
        <v>501</v>
      </c>
      <c r="E329" t="s">
        <v>8</v>
      </c>
      <c r="F329" t="s">
        <v>246</v>
      </c>
      <c r="G329" t="s">
        <v>502</v>
      </c>
      <c r="H329" t="s">
        <v>503</v>
      </c>
      <c r="I329" t="s">
        <v>505</v>
      </c>
    </row>
    <row r="330" spans="1:9" x14ac:dyDescent="0.25">
      <c r="A330" s="1" t="str">
        <f t="shared" si="4"/>
        <v>Baskar, Varadarajan</v>
      </c>
      <c r="B330" t="s">
        <v>812</v>
      </c>
      <c r="C330" t="s">
        <v>28</v>
      </c>
      <c r="D330" t="s">
        <v>501</v>
      </c>
      <c r="E330" t="s">
        <v>8</v>
      </c>
      <c r="F330" t="s">
        <v>234</v>
      </c>
      <c r="G330" t="s">
        <v>502</v>
      </c>
      <c r="H330" t="s">
        <v>503</v>
      </c>
      <c r="I330" t="s">
        <v>504</v>
      </c>
    </row>
    <row r="331" spans="1:9" x14ac:dyDescent="0.25">
      <c r="A331" s="1" t="str">
        <f t="shared" si="4"/>
        <v>Baskar, Varadarajan</v>
      </c>
      <c r="B331" t="s">
        <v>812</v>
      </c>
      <c r="C331" t="s">
        <v>28</v>
      </c>
      <c r="D331" t="s">
        <v>501</v>
      </c>
      <c r="E331" t="s">
        <v>8</v>
      </c>
      <c r="F331" t="s">
        <v>359</v>
      </c>
      <c r="G331" t="s">
        <v>502</v>
      </c>
      <c r="H331" t="s">
        <v>503</v>
      </c>
      <c r="I331" t="s">
        <v>506</v>
      </c>
    </row>
    <row r="332" spans="1:9" x14ac:dyDescent="0.25">
      <c r="A332" s="1" t="str">
        <f>HYPERLINK("https://lynxcrm-apac--c.eu19.visual.force.com/0011i000001xolQAAQ","Baskaran, Lohendran")</f>
        <v>Baskaran, Lohendran</v>
      </c>
      <c r="B332" t="s">
        <v>813</v>
      </c>
      <c r="C332" t="s">
        <v>28</v>
      </c>
      <c r="D332" t="s">
        <v>449</v>
      </c>
      <c r="E332" t="s">
        <v>8</v>
      </c>
      <c r="F332" t="s">
        <v>450</v>
      </c>
      <c r="G332" t="s">
        <v>449</v>
      </c>
      <c r="H332" t="s">
        <v>449</v>
      </c>
      <c r="I332" t="s">
        <v>451</v>
      </c>
    </row>
    <row r="333" spans="1:9" x14ac:dyDescent="0.25">
      <c r="A333" s="1" t="str">
        <f>HYPERLINK("https://lynxcrm-apac--c.eu19.visual.force.com/0011i000001xolQAAQ","Baskaran, Lohendran")</f>
        <v>Baskaran, Lohendran</v>
      </c>
      <c r="B333" t="s">
        <v>813</v>
      </c>
      <c r="C333" t="s">
        <v>28</v>
      </c>
      <c r="D333" t="s">
        <v>449</v>
      </c>
      <c r="E333" t="s">
        <v>8</v>
      </c>
      <c r="F333" t="s">
        <v>234</v>
      </c>
      <c r="G333" t="s">
        <v>452</v>
      </c>
      <c r="H333" t="s">
        <v>453</v>
      </c>
      <c r="I333" t="s">
        <v>454</v>
      </c>
    </row>
    <row r="334" spans="1:9" x14ac:dyDescent="0.25">
      <c r="A334" s="1" t="str">
        <f>HYPERLINK("https://lynxcrm-apac--c.eu19.visual.force.com/0011i000001xosPAAQ","Basu, Sutapa")</f>
        <v>Basu, Sutapa</v>
      </c>
      <c r="B334" t="s">
        <v>814</v>
      </c>
      <c r="C334" t="s">
        <v>28</v>
      </c>
      <c r="D334" t="s">
        <v>815</v>
      </c>
      <c r="E334" t="s">
        <v>8</v>
      </c>
      <c r="F334" t="s">
        <v>816</v>
      </c>
      <c r="G334" t="s">
        <v>815</v>
      </c>
      <c r="H334" t="s">
        <v>815</v>
      </c>
      <c r="I334" t="s">
        <v>817</v>
      </c>
    </row>
    <row r="335" spans="1:9" x14ac:dyDescent="0.25">
      <c r="A335" s="1" t="str">
        <f>HYPERLINK("https://lynxcrm-apac--c.eu19.visual.force.com/0011i000001xnlPAAQ","Bay, Ee Lin Sharon")</f>
        <v>Bay, Ee Lin Sharon</v>
      </c>
      <c r="B335" t="s">
        <v>818</v>
      </c>
      <c r="C335" t="s">
        <v>28</v>
      </c>
      <c r="D335" t="s">
        <v>819</v>
      </c>
      <c r="E335" t="s">
        <v>8</v>
      </c>
      <c r="F335" t="s">
        <v>820</v>
      </c>
      <c r="G335" t="s">
        <v>820</v>
      </c>
      <c r="H335" t="s">
        <v>821</v>
      </c>
      <c r="I335" t="s">
        <v>822</v>
      </c>
    </row>
    <row r="336" spans="1:9" x14ac:dyDescent="0.25">
      <c r="A336" s="1" t="str">
        <f>HYPERLINK("https://lynxcrm-apac--c.eu19.visual.force.com/0011i000001xoRPAAY","Bay, Marlene")</f>
        <v>Bay, Marlene</v>
      </c>
      <c r="B336" t="s">
        <v>823</v>
      </c>
      <c r="C336" t="s">
        <v>28</v>
      </c>
      <c r="D336" t="s">
        <v>824</v>
      </c>
      <c r="E336" t="s">
        <v>8</v>
      </c>
      <c r="F336" t="s">
        <v>825</v>
      </c>
      <c r="G336" t="s">
        <v>826</v>
      </c>
      <c r="H336" t="s">
        <v>826</v>
      </c>
      <c r="I336" t="s">
        <v>827</v>
      </c>
    </row>
    <row r="337" spans="1:9" x14ac:dyDescent="0.25">
      <c r="A337" s="1" t="str">
        <f>HYPERLINK("https://lynxcrm-apac--c.eu19.visual.force.com/0011i000001xn2DAAQ","Bedok Day &amp; Night Clinic")</f>
        <v>Bedok Day &amp; Night Clinic</v>
      </c>
      <c r="B337" t="s">
        <v>828</v>
      </c>
      <c r="C337" t="s">
        <v>10</v>
      </c>
      <c r="D337" t="s">
        <v>8</v>
      </c>
      <c r="E337" t="s">
        <v>8</v>
      </c>
      <c r="F337" t="s">
        <v>829</v>
      </c>
      <c r="G337" t="s">
        <v>830</v>
      </c>
      <c r="H337" t="s">
        <v>830</v>
      </c>
      <c r="I337" t="s">
        <v>226</v>
      </c>
    </row>
    <row r="338" spans="1:9" x14ac:dyDescent="0.25">
      <c r="A338" s="1" t="str">
        <f>HYPERLINK("https://lynxcrm-apac--c.eu19.visual.force.com/0011i000001xnKoAAI","Bedok Family Clinic &amp; Surgery")</f>
        <v>Bedok Family Clinic &amp; Surgery</v>
      </c>
      <c r="B338" t="s">
        <v>831</v>
      </c>
      <c r="C338" t="s">
        <v>10</v>
      </c>
      <c r="D338" t="s">
        <v>8</v>
      </c>
      <c r="E338" t="s">
        <v>8</v>
      </c>
      <c r="F338" t="s">
        <v>832</v>
      </c>
      <c r="G338" t="s">
        <v>833</v>
      </c>
      <c r="H338" t="s">
        <v>833</v>
      </c>
      <c r="I338" t="s">
        <v>834</v>
      </c>
    </row>
    <row r="339" spans="1:9" x14ac:dyDescent="0.25">
      <c r="A339" s="1" t="str">
        <f>HYPERLINK("https://lynxcrm-apac--c.eu19.visual.force.com/0011i000001xnWvAAI","Bedok Life Clinic")</f>
        <v>Bedok Life Clinic</v>
      </c>
      <c r="B339" t="s">
        <v>835</v>
      </c>
      <c r="C339" t="s">
        <v>10</v>
      </c>
      <c r="D339" t="s">
        <v>8</v>
      </c>
      <c r="E339" t="s">
        <v>8</v>
      </c>
      <c r="F339" t="s">
        <v>836</v>
      </c>
      <c r="G339" t="s">
        <v>80</v>
      </c>
      <c r="H339" t="s">
        <v>837</v>
      </c>
      <c r="I339" t="s">
        <v>838</v>
      </c>
    </row>
    <row r="340" spans="1:9" x14ac:dyDescent="0.25">
      <c r="A340" s="1" t="str">
        <f>HYPERLINK("https://lynxcrm-apac--c.eu19.visual.force.com/0011i000001xn5XAAQ","Bedok Medical Associates")</f>
        <v>Bedok Medical Associates</v>
      </c>
      <c r="B340" t="s">
        <v>839</v>
      </c>
      <c r="C340" t="s">
        <v>10</v>
      </c>
      <c r="D340" t="s">
        <v>8</v>
      </c>
      <c r="E340" t="s">
        <v>8</v>
      </c>
      <c r="F340" t="s">
        <v>840</v>
      </c>
      <c r="G340" t="s">
        <v>841</v>
      </c>
      <c r="H340" t="s">
        <v>841</v>
      </c>
      <c r="I340" t="s">
        <v>842</v>
      </c>
    </row>
    <row r="341" spans="1:9" x14ac:dyDescent="0.25">
      <c r="A341" s="1" t="str">
        <f>HYPERLINK("https://lynxcrm-apac--c.eu19.visual.force.com/0011i000001xmigAAA","Bedok Polyclinic")</f>
        <v>Bedok Polyclinic</v>
      </c>
      <c r="B341" t="s">
        <v>843</v>
      </c>
      <c r="C341" t="s">
        <v>10</v>
      </c>
      <c r="D341" t="s">
        <v>8</v>
      </c>
      <c r="E341" t="s">
        <v>8</v>
      </c>
      <c r="F341" t="s">
        <v>844</v>
      </c>
      <c r="G341" t="s">
        <v>845</v>
      </c>
      <c r="H341" t="s">
        <v>846</v>
      </c>
      <c r="I341" t="s">
        <v>847</v>
      </c>
    </row>
    <row r="342" spans="1:9" x14ac:dyDescent="0.25">
      <c r="A342" s="1" t="str">
        <f>HYPERLINK("https://lynxcrm-apac--c.eu19.visual.force.com/0011i000001xmwoAAA","Bedok Polyclinic")</f>
        <v>Bedok Polyclinic</v>
      </c>
      <c r="B342" t="s">
        <v>848</v>
      </c>
      <c r="C342" t="s">
        <v>10</v>
      </c>
      <c r="D342" t="s">
        <v>8</v>
      </c>
      <c r="E342" t="s">
        <v>8</v>
      </c>
      <c r="F342" t="s">
        <v>849</v>
      </c>
      <c r="G342" t="s">
        <v>845</v>
      </c>
      <c r="H342" t="s">
        <v>845</v>
      </c>
      <c r="I342" t="s">
        <v>847</v>
      </c>
    </row>
    <row r="343" spans="1:9" x14ac:dyDescent="0.25">
      <c r="A343" s="1" t="str">
        <f>HYPERLINK("https://lynxcrm-apac--c.eu19.visual.force.com/0011i000001xnJfAAI","Bedok Polyclinic")</f>
        <v>Bedok Polyclinic</v>
      </c>
      <c r="B343" t="s">
        <v>850</v>
      </c>
      <c r="C343" t="s">
        <v>10</v>
      </c>
      <c r="D343" t="s">
        <v>8</v>
      </c>
      <c r="E343" t="s">
        <v>8</v>
      </c>
      <c r="F343" t="s">
        <v>844</v>
      </c>
      <c r="G343" t="s">
        <v>845</v>
      </c>
      <c r="H343" t="s">
        <v>846</v>
      </c>
      <c r="I343" t="s">
        <v>847</v>
      </c>
    </row>
    <row r="344" spans="1:9" x14ac:dyDescent="0.25">
      <c r="A344" s="1" t="str">
        <f>HYPERLINK("https://lynxcrm-apac--c.eu19.visual.force.com/0011i000001xnJ9AAI","Bedok Polyclinic")</f>
        <v>Bedok Polyclinic</v>
      </c>
      <c r="B344" t="s">
        <v>851</v>
      </c>
      <c r="C344" t="s">
        <v>10</v>
      </c>
      <c r="D344" t="s">
        <v>8</v>
      </c>
      <c r="E344" t="s">
        <v>8</v>
      </c>
      <c r="F344" t="s">
        <v>844</v>
      </c>
      <c r="G344" t="s">
        <v>845</v>
      </c>
      <c r="H344" t="s">
        <v>846</v>
      </c>
      <c r="I344" t="s">
        <v>847</v>
      </c>
    </row>
    <row r="345" spans="1:9" x14ac:dyDescent="0.25">
      <c r="A345" s="1" t="str">
        <f>HYPERLINK("https://lynxcrm-apac--c.eu19.visual.force.com/0011i000001xmlfAAA","Bedok Polyclinic")</f>
        <v>Bedok Polyclinic</v>
      </c>
      <c r="B345" t="s">
        <v>852</v>
      </c>
      <c r="C345" t="s">
        <v>10</v>
      </c>
      <c r="D345" t="s">
        <v>8</v>
      </c>
      <c r="E345" t="s">
        <v>8</v>
      </c>
      <c r="F345" t="s">
        <v>844</v>
      </c>
      <c r="G345" t="s">
        <v>845</v>
      </c>
      <c r="H345" t="s">
        <v>846</v>
      </c>
      <c r="I345" t="s">
        <v>847</v>
      </c>
    </row>
    <row r="346" spans="1:9" x14ac:dyDescent="0.25">
      <c r="A346" s="1" t="str">
        <f>HYPERLINK("https://lynxcrm-apac--c.eu19.visual.force.com/0011i000001xmm7AAA","Bedok Polyclinic")</f>
        <v>Bedok Polyclinic</v>
      </c>
      <c r="B346" t="s">
        <v>853</v>
      </c>
      <c r="C346" t="s">
        <v>10</v>
      </c>
      <c r="D346" t="s">
        <v>8</v>
      </c>
      <c r="E346" t="s">
        <v>8</v>
      </c>
      <c r="F346" t="s">
        <v>844</v>
      </c>
      <c r="G346" t="s">
        <v>845</v>
      </c>
      <c r="H346" t="s">
        <v>846</v>
      </c>
      <c r="I346" t="s">
        <v>847</v>
      </c>
    </row>
    <row r="347" spans="1:9" x14ac:dyDescent="0.25">
      <c r="A347" s="1" t="str">
        <f>HYPERLINK("https://lynxcrm-apac--c.eu19.visual.force.com/0011i000001xmzVAAQ","Bedok Polyclinic")</f>
        <v>Bedok Polyclinic</v>
      </c>
      <c r="B347" t="s">
        <v>854</v>
      </c>
      <c r="C347" t="s">
        <v>10</v>
      </c>
      <c r="D347" t="s">
        <v>8</v>
      </c>
      <c r="E347" t="s">
        <v>8</v>
      </c>
      <c r="F347" t="s">
        <v>844</v>
      </c>
      <c r="G347" t="s">
        <v>845</v>
      </c>
      <c r="H347" t="s">
        <v>846</v>
      </c>
      <c r="I347" t="s">
        <v>847</v>
      </c>
    </row>
    <row r="348" spans="1:9" x14ac:dyDescent="0.25">
      <c r="A348" s="1" t="str">
        <f>HYPERLINK("https://lynxcrm-apac--c.eu19.visual.force.com/0011i000001xnJeAAI","Bedok Polyclinic")</f>
        <v>Bedok Polyclinic</v>
      </c>
      <c r="B348" t="s">
        <v>855</v>
      </c>
      <c r="C348" t="s">
        <v>10</v>
      </c>
      <c r="D348" t="s">
        <v>8</v>
      </c>
      <c r="E348" t="s">
        <v>8</v>
      </c>
      <c r="F348" t="s">
        <v>844</v>
      </c>
      <c r="G348" t="s">
        <v>845</v>
      </c>
      <c r="H348" t="s">
        <v>846</v>
      </c>
      <c r="I348" t="s">
        <v>847</v>
      </c>
    </row>
    <row r="349" spans="1:9" x14ac:dyDescent="0.25">
      <c r="A349" s="1" t="str">
        <f>HYPERLINK("https://lynxcrm-apac--c.eu19.visual.force.com/0011i000001xnVQAAY","Bedok Polyclinic")</f>
        <v>Bedok Polyclinic</v>
      </c>
      <c r="B349" t="s">
        <v>856</v>
      </c>
      <c r="C349" t="s">
        <v>10</v>
      </c>
      <c r="D349" t="s">
        <v>8</v>
      </c>
      <c r="E349" t="s">
        <v>8</v>
      </c>
      <c r="F349" t="s">
        <v>546</v>
      </c>
      <c r="G349" t="s">
        <v>547</v>
      </c>
      <c r="H349" t="s">
        <v>547</v>
      </c>
      <c r="I349" t="s">
        <v>548</v>
      </c>
    </row>
    <row r="350" spans="1:9" x14ac:dyDescent="0.25">
      <c r="A350" s="1" t="str">
        <f>HYPERLINK("https://lynxcrm-apac--c.eu19.visual.force.com/0011i000001xoVIAAY","Bee, Yong Mong")</f>
        <v>Bee, Yong Mong</v>
      </c>
      <c r="B350" t="s">
        <v>857</v>
      </c>
      <c r="C350" t="s">
        <v>28</v>
      </c>
      <c r="D350" t="s">
        <v>251</v>
      </c>
      <c r="E350" t="s">
        <v>8</v>
      </c>
      <c r="F350" t="s">
        <v>246</v>
      </c>
      <c r="G350" t="s">
        <v>252</v>
      </c>
      <c r="H350" t="s">
        <v>858</v>
      </c>
      <c r="I350" t="s">
        <v>253</v>
      </c>
    </row>
    <row r="351" spans="1:9" x14ac:dyDescent="0.25">
      <c r="A351" s="1" t="str">
        <f>HYPERLINK("https://lynxcrm-apac--c.eu19.visual.force.com/0011i000001xnzZAAQ","Beh, Suan Tiong")</f>
        <v>Beh, Suan Tiong</v>
      </c>
      <c r="B351" t="s">
        <v>859</v>
      </c>
      <c r="C351" t="s">
        <v>28</v>
      </c>
      <c r="D351" t="s">
        <v>860</v>
      </c>
      <c r="E351" t="s">
        <v>8</v>
      </c>
      <c r="F351" t="s">
        <v>263</v>
      </c>
      <c r="G351" t="s">
        <v>861</v>
      </c>
      <c r="H351" t="s">
        <v>862</v>
      </c>
      <c r="I351" t="s">
        <v>266</v>
      </c>
    </row>
    <row r="352" spans="1:9" x14ac:dyDescent="0.25">
      <c r="A352" s="1" t="str">
        <f>HYPERLINK("https://lynxcrm-apac--c.eu19.visual.force.com/0011i000001xmb4AAA","Beh's Clinic For Women Pte Ltd")</f>
        <v>Beh's Clinic For Women Pte Ltd</v>
      </c>
      <c r="B352" t="s">
        <v>863</v>
      </c>
      <c r="C352" t="s">
        <v>10</v>
      </c>
      <c r="D352" t="s">
        <v>8</v>
      </c>
      <c r="E352" t="s">
        <v>8</v>
      </c>
      <c r="F352" t="s">
        <v>263</v>
      </c>
      <c r="G352" t="s">
        <v>861</v>
      </c>
      <c r="H352" t="s">
        <v>862</v>
      </c>
      <c r="I352" t="s">
        <v>266</v>
      </c>
    </row>
    <row r="353" spans="1:9" x14ac:dyDescent="0.25">
      <c r="A353" s="1" t="str">
        <f>HYPERLINK("https://lynxcrm-apac--c.eu19.visual.force.com/0011i000001xn91AAA","Ben Neo Clinic for Women")</f>
        <v>Ben Neo Clinic for Women</v>
      </c>
      <c r="B353" t="s">
        <v>864</v>
      </c>
      <c r="C353" t="s">
        <v>10</v>
      </c>
      <c r="D353" t="s">
        <v>8</v>
      </c>
      <c r="E353" t="s">
        <v>8</v>
      </c>
      <c r="F353" t="s">
        <v>377</v>
      </c>
      <c r="G353" t="s">
        <v>384</v>
      </c>
      <c r="H353" t="s">
        <v>384</v>
      </c>
      <c r="I353" t="s">
        <v>123</v>
      </c>
    </row>
    <row r="354" spans="1:9" x14ac:dyDescent="0.25">
      <c r="A354" s="1" t="str">
        <f>HYPERLINK("https://lynxcrm-apac--c.eu19.visual.force.com/0011i000001xmdJAAQ","Beo Crescent Family Clinic &amp; Surgery")</f>
        <v>Beo Crescent Family Clinic &amp; Surgery</v>
      </c>
      <c r="B354" t="s">
        <v>865</v>
      </c>
      <c r="C354" t="s">
        <v>10</v>
      </c>
      <c r="D354" t="s">
        <v>8</v>
      </c>
      <c r="E354" t="s">
        <v>8</v>
      </c>
      <c r="F354" t="s">
        <v>866</v>
      </c>
      <c r="G354" t="s">
        <v>564</v>
      </c>
      <c r="H354" t="s">
        <v>564</v>
      </c>
      <c r="I354" t="s">
        <v>867</v>
      </c>
    </row>
    <row r="355" spans="1:9" x14ac:dyDescent="0.25">
      <c r="A355" s="1" t="str">
        <f>HYPERLINK("https://lynxcrm-apac--c.eu19.visual.force.com/0011i000001xn2wAAA","Berlin Medical Hall")</f>
        <v>Berlin Medical Hall</v>
      </c>
      <c r="B355" t="s">
        <v>868</v>
      </c>
      <c r="C355" t="s">
        <v>10</v>
      </c>
      <c r="D355" t="s">
        <v>8</v>
      </c>
      <c r="E355" t="s">
        <v>8</v>
      </c>
      <c r="F355" t="s">
        <v>869</v>
      </c>
      <c r="G355" t="s">
        <v>869</v>
      </c>
      <c r="H355" t="s">
        <v>8</v>
      </c>
      <c r="I355" t="s">
        <v>870</v>
      </c>
    </row>
    <row r="356" spans="1:9" x14ac:dyDescent="0.25">
      <c r="A356" s="1" t="str">
        <f>HYPERLINK("https://lynxcrm-apac--c.eu19.visual.force.com/0011i000001xmvKAAQ","Bernard Ee Medical Centre Pte Ltd")</f>
        <v>Bernard Ee Medical Centre Pte Ltd</v>
      </c>
      <c r="B356" t="s">
        <v>871</v>
      </c>
      <c r="C356" t="s">
        <v>10</v>
      </c>
      <c r="D356" t="s">
        <v>8</v>
      </c>
      <c r="E356" t="s">
        <v>8</v>
      </c>
      <c r="F356" t="s">
        <v>872</v>
      </c>
      <c r="G356" t="s">
        <v>873</v>
      </c>
      <c r="H356" t="s">
        <v>874</v>
      </c>
      <c r="I356" t="s">
        <v>67</v>
      </c>
    </row>
    <row r="357" spans="1:9" x14ac:dyDescent="0.25">
      <c r="A357" s="1" t="str">
        <f>HYPERLINK("https://lynxcrm-apac--c.eu19.visual.force.com/0011i000001xnYtAAI","Bernard Lim Specialist Surgery")</f>
        <v>Bernard Lim Specialist Surgery</v>
      </c>
      <c r="B357" t="s">
        <v>875</v>
      </c>
      <c r="C357" t="s">
        <v>10</v>
      </c>
      <c r="D357" t="s">
        <v>8</v>
      </c>
      <c r="E357" t="s">
        <v>8</v>
      </c>
      <c r="F357" t="s">
        <v>876</v>
      </c>
      <c r="G357" t="s">
        <v>877</v>
      </c>
      <c r="H357" t="s">
        <v>877</v>
      </c>
      <c r="I357" t="s">
        <v>344</v>
      </c>
    </row>
    <row r="358" spans="1:9" x14ac:dyDescent="0.25">
      <c r="A358" s="1" t="str">
        <f>HYPERLINK("https://lynxcrm-apac--c.eu19.visual.force.com/0011i000001xn37AAA","Bertha Woon General &amp; Breast Surgery")</f>
        <v>Bertha Woon General &amp; Breast Surgery</v>
      </c>
      <c r="B358" t="s">
        <v>878</v>
      </c>
      <c r="C358" t="s">
        <v>10</v>
      </c>
      <c r="D358" t="s">
        <v>8</v>
      </c>
      <c r="E358" t="s">
        <v>8</v>
      </c>
      <c r="F358" t="s">
        <v>879</v>
      </c>
      <c r="G358" t="s">
        <v>65</v>
      </c>
      <c r="H358" t="s">
        <v>65</v>
      </c>
      <c r="I358" t="s">
        <v>67</v>
      </c>
    </row>
    <row r="359" spans="1:9" x14ac:dyDescent="0.25">
      <c r="A359" s="1" t="str">
        <f>HYPERLINK("https://lynxcrm-apac--c.eu19.visual.force.com/0011i000001xmyrAAA","Bethesda Medical Centre Pte Ltd")</f>
        <v>Bethesda Medical Centre Pte Ltd</v>
      </c>
      <c r="B359" t="s">
        <v>880</v>
      </c>
      <c r="C359" t="s">
        <v>10</v>
      </c>
      <c r="D359" t="s">
        <v>8</v>
      </c>
      <c r="E359" t="s">
        <v>8</v>
      </c>
      <c r="F359" t="s">
        <v>881</v>
      </c>
      <c r="G359" t="s">
        <v>882</v>
      </c>
      <c r="H359" t="s">
        <v>882</v>
      </c>
      <c r="I359" t="s">
        <v>883</v>
      </c>
    </row>
    <row r="360" spans="1:9" x14ac:dyDescent="0.25">
      <c r="A360" s="1" t="str">
        <f>HYPERLINK("https://lynxcrm-apac--c.eu19.visual.force.com/0011i000001xmf1AAA","Better Life Psych Med Clinic")</f>
        <v>Better Life Psych Med Clinic</v>
      </c>
      <c r="B360" t="s">
        <v>884</v>
      </c>
      <c r="C360" t="s">
        <v>10</v>
      </c>
      <c r="D360" t="s">
        <v>8</v>
      </c>
      <c r="E360" t="s">
        <v>8</v>
      </c>
      <c r="F360" t="s">
        <v>885</v>
      </c>
      <c r="G360" t="s">
        <v>886</v>
      </c>
      <c r="H360" t="s">
        <v>886</v>
      </c>
      <c r="I360" t="s">
        <v>887</v>
      </c>
    </row>
    <row r="361" spans="1:9" x14ac:dyDescent="0.25">
      <c r="A361" s="1" t="str">
        <f>HYPERLINK("https://lynxcrm-apac--c.eu19.visual.force.com/0011i000001xojUAAQ","Bettina, Lieska")</f>
        <v>Bettina, Lieska</v>
      </c>
      <c r="B361" t="s">
        <v>888</v>
      </c>
      <c r="C361" t="s">
        <v>28</v>
      </c>
      <c r="D361" t="s">
        <v>429</v>
      </c>
      <c r="E361" t="s">
        <v>8</v>
      </c>
      <c r="F361" t="s">
        <v>429</v>
      </c>
      <c r="G361" t="s">
        <v>428</v>
      </c>
      <c r="H361" t="s">
        <v>428</v>
      </c>
      <c r="I361" t="s">
        <v>430</v>
      </c>
    </row>
    <row r="362" spans="1:9" x14ac:dyDescent="0.25">
      <c r="A362" s="1" t="str">
        <f>HYPERLINK("https://lynxcrm-apac--c.eu19.visual.force.com/0011i000001xojUAAQ","Bettina, Lieska")</f>
        <v>Bettina, Lieska</v>
      </c>
      <c r="B362" t="s">
        <v>888</v>
      </c>
      <c r="C362" t="s">
        <v>28</v>
      </c>
      <c r="D362" t="s">
        <v>429</v>
      </c>
      <c r="E362" t="s">
        <v>8</v>
      </c>
      <c r="F362" t="s">
        <v>444</v>
      </c>
      <c r="G362" t="s">
        <v>444</v>
      </c>
      <c r="H362" t="s">
        <v>8</v>
      </c>
      <c r="I362" t="s">
        <v>430</v>
      </c>
    </row>
    <row r="363" spans="1:9" x14ac:dyDescent="0.25">
      <c r="A363" s="1" t="str">
        <f>HYPERLINK("https://lynxcrm-apac--c.eu19.visual.force.com/0011i000001xojUAAQ","Bettina, Lieska")</f>
        <v>Bettina, Lieska</v>
      </c>
      <c r="B363" t="s">
        <v>888</v>
      </c>
      <c r="C363" t="s">
        <v>28</v>
      </c>
      <c r="D363" t="s">
        <v>429</v>
      </c>
      <c r="E363" t="s">
        <v>8</v>
      </c>
      <c r="F363" t="s">
        <v>445</v>
      </c>
      <c r="G363" t="s">
        <v>428</v>
      </c>
      <c r="H363" t="s">
        <v>428</v>
      </c>
      <c r="I363" t="s">
        <v>430</v>
      </c>
    </row>
    <row r="364" spans="1:9" x14ac:dyDescent="0.25">
      <c r="A364" s="1" t="str">
        <f>HYPERLINK("https://lynxcrm-apac--c.eu19.visual.force.com/0011i000001xojUAAQ","Bettina, Lieska")</f>
        <v>Bettina, Lieska</v>
      </c>
      <c r="B364" t="s">
        <v>888</v>
      </c>
      <c r="C364" t="s">
        <v>28</v>
      </c>
      <c r="D364" t="s">
        <v>429</v>
      </c>
      <c r="E364" t="s">
        <v>8</v>
      </c>
      <c r="F364" t="s">
        <v>444</v>
      </c>
      <c r="G364" t="s">
        <v>444</v>
      </c>
      <c r="H364" t="s">
        <v>8</v>
      </c>
      <c r="I364" t="s">
        <v>8</v>
      </c>
    </row>
    <row r="365" spans="1:9" x14ac:dyDescent="0.25">
      <c r="A365" s="1" t="str">
        <f>HYPERLINK("https://lynxcrm-apac--c.eu19.visual.force.com/0011i000001xoUsAAI","Bhaskaran, Nair")</f>
        <v>Bhaskaran, Nair</v>
      </c>
      <c r="B365" t="s">
        <v>889</v>
      </c>
      <c r="C365" t="s">
        <v>28</v>
      </c>
      <c r="D365" t="s">
        <v>890</v>
      </c>
      <c r="E365" t="s">
        <v>8</v>
      </c>
      <c r="F365" t="s">
        <v>891</v>
      </c>
      <c r="G365" t="s">
        <v>892</v>
      </c>
      <c r="H365" t="s">
        <v>893</v>
      </c>
      <c r="I365" t="s">
        <v>894</v>
      </c>
    </row>
    <row r="366" spans="1:9" x14ac:dyDescent="0.25">
      <c r="A366" s="1" t="str">
        <f>HYPERLINK("https://lynxcrm-apac--c.eu19.visual.force.com/0011i000001xnsmAAA","Bih, Shiou Tsang")</f>
        <v>Bih, Shiou Tsang</v>
      </c>
      <c r="B366" t="s">
        <v>895</v>
      </c>
      <c r="C366" t="s">
        <v>28</v>
      </c>
      <c r="D366" t="s">
        <v>896</v>
      </c>
      <c r="E366" t="s">
        <v>8</v>
      </c>
      <c r="F366" t="s">
        <v>897</v>
      </c>
      <c r="G366" t="s">
        <v>898</v>
      </c>
      <c r="H366" t="s">
        <v>898</v>
      </c>
      <c r="I366" t="s">
        <v>344</v>
      </c>
    </row>
    <row r="367" spans="1:9" x14ac:dyDescent="0.25">
      <c r="A367" s="1" t="str">
        <f>HYPERLINK("https://lynxcrm-apac--c.eu19.visual.force.com/0011i000001xophAAA","Birit, Broekman")</f>
        <v>Birit, Broekman</v>
      </c>
      <c r="B367" t="s">
        <v>899</v>
      </c>
      <c r="C367" t="s">
        <v>28</v>
      </c>
      <c r="D367" t="s">
        <v>429</v>
      </c>
      <c r="E367" t="s">
        <v>8</v>
      </c>
      <c r="F367" t="s">
        <v>429</v>
      </c>
      <c r="G367" t="s">
        <v>428</v>
      </c>
      <c r="H367" t="s">
        <v>428</v>
      </c>
      <c r="I367" t="s">
        <v>430</v>
      </c>
    </row>
    <row r="368" spans="1:9" x14ac:dyDescent="0.25">
      <c r="A368" s="1" t="str">
        <f>HYPERLINK("https://lynxcrm-apac--c.eu19.visual.force.com/0011i000001xophAAA","Birit, Broekman")</f>
        <v>Birit, Broekman</v>
      </c>
      <c r="B368" t="s">
        <v>899</v>
      </c>
      <c r="C368" t="s">
        <v>28</v>
      </c>
      <c r="D368" t="s">
        <v>429</v>
      </c>
      <c r="E368" t="s">
        <v>8</v>
      </c>
      <c r="F368" t="s">
        <v>444</v>
      </c>
      <c r="G368" t="s">
        <v>444</v>
      </c>
      <c r="H368" t="s">
        <v>8</v>
      </c>
      <c r="I368" t="s">
        <v>430</v>
      </c>
    </row>
    <row r="369" spans="1:9" x14ac:dyDescent="0.25">
      <c r="A369" s="1" t="str">
        <f>HYPERLINK("https://lynxcrm-apac--c.eu19.visual.force.com/0011i000001xophAAA","Birit, Broekman")</f>
        <v>Birit, Broekman</v>
      </c>
      <c r="B369" t="s">
        <v>899</v>
      </c>
      <c r="C369" t="s">
        <v>28</v>
      </c>
      <c r="D369" t="s">
        <v>429</v>
      </c>
      <c r="E369" t="s">
        <v>8</v>
      </c>
      <c r="F369" t="s">
        <v>445</v>
      </c>
      <c r="G369" t="s">
        <v>428</v>
      </c>
      <c r="H369" t="s">
        <v>428</v>
      </c>
      <c r="I369" t="s">
        <v>430</v>
      </c>
    </row>
    <row r="370" spans="1:9" x14ac:dyDescent="0.25">
      <c r="A370" s="1" t="str">
        <f>HYPERLINK("https://lynxcrm-apac--c.eu19.visual.force.com/0011i000001xophAAA","Birit, Broekman")</f>
        <v>Birit, Broekman</v>
      </c>
      <c r="B370" t="s">
        <v>899</v>
      </c>
      <c r="C370" t="s">
        <v>28</v>
      </c>
      <c r="D370" t="s">
        <v>429</v>
      </c>
      <c r="E370" t="s">
        <v>8</v>
      </c>
      <c r="F370" t="s">
        <v>444</v>
      </c>
      <c r="G370" t="s">
        <v>444</v>
      </c>
      <c r="H370" t="s">
        <v>8</v>
      </c>
      <c r="I370" t="s">
        <v>8</v>
      </c>
    </row>
    <row r="371" spans="1:9" x14ac:dyDescent="0.25">
      <c r="A371" s="1" t="str">
        <f>HYPERLINK("https://lynxcrm-apac--c.eu19.visual.force.com/0011i000001xnXuAAI","Bishan Grace Clinic")</f>
        <v>Bishan Grace Clinic</v>
      </c>
      <c r="B371" t="s">
        <v>900</v>
      </c>
      <c r="C371" t="s">
        <v>10</v>
      </c>
      <c r="D371" t="s">
        <v>8</v>
      </c>
      <c r="E371" t="s">
        <v>8</v>
      </c>
      <c r="F371" t="s">
        <v>901</v>
      </c>
      <c r="G371" t="s">
        <v>902</v>
      </c>
      <c r="H371" t="s">
        <v>903</v>
      </c>
      <c r="I371" t="s">
        <v>904</v>
      </c>
    </row>
    <row r="372" spans="1:9" x14ac:dyDescent="0.25">
      <c r="A372" s="1" t="str">
        <f>HYPERLINK("https://lynxcrm-apac--c.eu19.visual.force.com/0011i000001xn4YAAQ","Blk 212 Bedok North St 11")</f>
        <v>Blk 212 Bedok North St 11</v>
      </c>
      <c r="B372" t="s">
        <v>905</v>
      </c>
      <c r="C372" t="s">
        <v>10</v>
      </c>
      <c r="D372" t="s">
        <v>8</v>
      </c>
      <c r="E372" t="s">
        <v>8</v>
      </c>
      <c r="F372" t="s">
        <v>906</v>
      </c>
      <c r="G372" t="s">
        <v>545</v>
      </c>
      <c r="H372" t="s">
        <v>545</v>
      </c>
      <c r="I372" t="s">
        <v>847</v>
      </c>
    </row>
    <row r="373" spans="1:9" x14ac:dyDescent="0.25">
      <c r="A373" s="1" t="str">
        <f>HYPERLINK("https://lynxcrm-apac--c.eu19.visual.force.com/0011i000001xnSoAAI","Blk 212 Bedok North St 11")</f>
        <v>Blk 212 Bedok North St 11</v>
      </c>
      <c r="B373" t="s">
        <v>907</v>
      </c>
      <c r="C373" t="s">
        <v>10</v>
      </c>
      <c r="D373" t="s">
        <v>8</v>
      </c>
      <c r="E373" t="s">
        <v>8</v>
      </c>
      <c r="F373" t="s">
        <v>906</v>
      </c>
      <c r="G373" t="s">
        <v>545</v>
      </c>
      <c r="H373" t="s">
        <v>545</v>
      </c>
      <c r="I373" t="s">
        <v>847</v>
      </c>
    </row>
    <row r="374" spans="1:9" x14ac:dyDescent="0.25">
      <c r="A374" s="1" t="str">
        <f>HYPERLINK("https://lynxcrm-apac--c.eu19.visual.force.com/0011i000001xnSQAAY","Blk 212 Bedok North St 11")</f>
        <v>Blk 212 Bedok North St 11</v>
      </c>
      <c r="B374" t="s">
        <v>908</v>
      </c>
      <c r="C374" t="s">
        <v>10</v>
      </c>
      <c r="D374" t="s">
        <v>8</v>
      </c>
      <c r="E374" t="s">
        <v>8</v>
      </c>
      <c r="F374" t="s">
        <v>906</v>
      </c>
      <c r="G374" t="s">
        <v>545</v>
      </c>
      <c r="H374" t="s">
        <v>545</v>
      </c>
      <c r="I374" t="s">
        <v>847</v>
      </c>
    </row>
    <row r="375" spans="1:9" x14ac:dyDescent="0.25">
      <c r="A375" s="1" t="str">
        <f>HYPERLINK("https://lynxcrm-apac--c.eu19.visual.force.com/0011i000001xnTHAAY","Blk 328 Clementi Ave 2")</f>
        <v>Blk 328 Clementi Ave 2</v>
      </c>
      <c r="B375" t="s">
        <v>909</v>
      </c>
      <c r="C375" t="s">
        <v>10</v>
      </c>
      <c r="D375" t="s">
        <v>8</v>
      </c>
      <c r="E375" t="s">
        <v>8</v>
      </c>
      <c r="F375" t="s">
        <v>910</v>
      </c>
      <c r="G375" t="s">
        <v>911</v>
      </c>
      <c r="H375" t="s">
        <v>911</v>
      </c>
      <c r="I375" t="s">
        <v>912</v>
      </c>
    </row>
    <row r="376" spans="1:9" x14ac:dyDescent="0.25">
      <c r="A376" s="1" t="str">
        <f>HYPERLINK("https://lynxcrm-apac--c.eu19.visual.force.com/0011i000001xn2dAAA","Blk 451 Clementi Ave 3")</f>
        <v>Blk 451 Clementi Ave 3</v>
      </c>
      <c r="B376" t="s">
        <v>913</v>
      </c>
      <c r="C376" t="s">
        <v>10</v>
      </c>
      <c r="D376" t="s">
        <v>8</v>
      </c>
      <c r="E376" t="s">
        <v>8</v>
      </c>
      <c r="F376" t="s">
        <v>337</v>
      </c>
      <c r="G376" t="s">
        <v>335</v>
      </c>
      <c r="H376" t="s">
        <v>335</v>
      </c>
      <c r="I376" t="s">
        <v>338</v>
      </c>
    </row>
    <row r="377" spans="1:9" x14ac:dyDescent="0.25">
      <c r="A377" s="1" t="str">
        <f>HYPERLINK("https://lynxcrm-apac--c.eu19.visual.force.com/0011i000001xmjiAAA","Blk 451 Clementi Ave 3")</f>
        <v>Blk 451 Clementi Ave 3</v>
      </c>
      <c r="B377" t="s">
        <v>914</v>
      </c>
      <c r="C377" t="s">
        <v>10</v>
      </c>
      <c r="D377" t="s">
        <v>8</v>
      </c>
      <c r="E377" t="s">
        <v>8</v>
      </c>
      <c r="F377" t="s">
        <v>337</v>
      </c>
      <c r="G377" t="s">
        <v>335</v>
      </c>
      <c r="H377" t="s">
        <v>335</v>
      </c>
      <c r="I377" t="s">
        <v>338</v>
      </c>
    </row>
    <row r="378" spans="1:9" x14ac:dyDescent="0.25">
      <c r="A378" s="1" t="str">
        <f>HYPERLINK("https://lynxcrm-apac--c.eu19.visual.force.com/0011i000001xmkDAAQ","Blk 451 Clementi Ave 3")</f>
        <v>Blk 451 Clementi Ave 3</v>
      </c>
      <c r="B378" t="s">
        <v>915</v>
      </c>
      <c r="C378" t="s">
        <v>10</v>
      </c>
      <c r="D378" t="s">
        <v>8</v>
      </c>
      <c r="E378" t="s">
        <v>8</v>
      </c>
      <c r="F378" t="s">
        <v>337</v>
      </c>
      <c r="G378" t="s">
        <v>335</v>
      </c>
      <c r="H378" t="s">
        <v>335</v>
      </c>
      <c r="I378" t="s">
        <v>338</v>
      </c>
    </row>
    <row r="379" spans="1:9" x14ac:dyDescent="0.25">
      <c r="A379" s="1" t="str">
        <f>HYPERLINK("https://lynxcrm-apac--c.eu19.visual.force.com/0011i000001xnRHAAY","Blk 451 Clementi Ave 3")</f>
        <v>Blk 451 Clementi Ave 3</v>
      </c>
      <c r="B379" t="s">
        <v>916</v>
      </c>
      <c r="C379" t="s">
        <v>10</v>
      </c>
      <c r="D379" t="s">
        <v>8</v>
      </c>
      <c r="E379" t="s">
        <v>8</v>
      </c>
      <c r="F379" t="s">
        <v>337</v>
      </c>
      <c r="G379" t="s">
        <v>335</v>
      </c>
      <c r="H379" t="s">
        <v>335</v>
      </c>
      <c r="I379" t="s">
        <v>338</v>
      </c>
    </row>
    <row r="380" spans="1:9" x14ac:dyDescent="0.25">
      <c r="A380" s="1" t="str">
        <f>HYPERLINK("https://lynxcrm-apac--c.eu19.visual.force.com/0011i000001xnafAAA","Blk 451 Clementi Ave 3")</f>
        <v>Blk 451 Clementi Ave 3</v>
      </c>
      <c r="B380" t="s">
        <v>917</v>
      </c>
      <c r="C380" t="s">
        <v>10</v>
      </c>
      <c r="D380" t="s">
        <v>8</v>
      </c>
      <c r="E380" t="s">
        <v>8</v>
      </c>
      <c r="F380" t="s">
        <v>337</v>
      </c>
      <c r="G380" t="s">
        <v>335</v>
      </c>
      <c r="H380" t="s">
        <v>335</v>
      </c>
      <c r="I380" t="s">
        <v>338</v>
      </c>
    </row>
    <row r="381" spans="1:9" x14ac:dyDescent="0.25">
      <c r="A381" s="1" t="str">
        <f>HYPERLINK("https://lynxcrm-apac--c.eu19.visual.force.com/0011i000001xn79AAA","Blk 80 Marine Parade Central")</f>
        <v>Blk 80 Marine Parade Central</v>
      </c>
      <c r="B381" t="s">
        <v>918</v>
      </c>
      <c r="C381" t="s">
        <v>10</v>
      </c>
      <c r="D381" t="s">
        <v>8</v>
      </c>
      <c r="E381" t="s">
        <v>8</v>
      </c>
      <c r="F381" t="s">
        <v>919</v>
      </c>
      <c r="G381" t="s">
        <v>550</v>
      </c>
      <c r="H381" t="s">
        <v>550</v>
      </c>
      <c r="I381" t="s">
        <v>554</v>
      </c>
    </row>
    <row r="382" spans="1:9" x14ac:dyDescent="0.25">
      <c r="A382" s="1" t="str">
        <f>HYPERLINK("https://lynxcrm-apac--c.eu19.visual.force.com/0011i000001xnaFAAQ","Blk 80 Marine Parade Central")</f>
        <v>Blk 80 Marine Parade Central</v>
      </c>
      <c r="B382" t="s">
        <v>920</v>
      </c>
      <c r="C382" t="s">
        <v>10</v>
      </c>
      <c r="D382" t="s">
        <v>8</v>
      </c>
      <c r="E382" t="s">
        <v>8</v>
      </c>
      <c r="F382" t="s">
        <v>919</v>
      </c>
      <c r="G382" t="s">
        <v>550</v>
      </c>
      <c r="H382" t="s">
        <v>550</v>
      </c>
      <c r="I382" t="s">
        <v>554</v>
      </c>
    </row>
    <row r="383" spans="1:9" x14ac:dyDescent="0.25">
      <c r="A383" s="1" t="str">
        <f>HYPERLINK("https://lynxcrm-apac--c.eu19.visual.force.com/0011i000001xnXCAAY","Blk 80 Marine Parade Central")</f>
        <v>Blk 80 Marine Parade Central</v>
      </c>
      <c r="B383" t="s">
        <v>921</v>
      </c>
      <c r="C383" t="s">
        <v>10</v>
      </c>
      <c r="D383" t="s">
        <v>8</v>
      </c>
      <c r="E383" t="s">
        <v>8</v>
      </c>
      <c r="F383" t="s">
        <v>919</v>
      </c>
      <c r="G383" t="s">
        <v>550</v>
      </c>
      <c r="H383" t="s">
        <v>550</v>
      </c>
      <c r="I383" t="s">
        <v>554</v>
      </c>
    </row>
    <row r="384" spans="1:9" x14ac:dyDescent="0.25">
      <c r="A384" s="1" t="str">
        <f>HYPERLINK("https://lynxcrm-apac--c.eu19.visual.force.com/0011i000001xoHeAAI","Boey, Chen Chen Elaine")</f>
        <v>Boey, Chen Chen Elaine</v>
      </c>
      <c r="B384" t="s">
        <v>922</v>
      </c>
      <c r="C384" t="s">
        <v>28</v>
      </c>
      <c r="D384" t="s">
        <v>662</v>
      </c>
      <c r="E384" t="s">
        <v>8</v>
      </c>
      <c r="F384" t="s">
        <v>662</v>
      </c>
      <c r="G384" t="s">
        <v>663</v>
      </c>
      <c r="H384" t="s">
        <v>663</v>
      </c>
      <c r="I384" t="s">
        <v>664</v>
      </c>
    </row>
    <row r="385" spans="1:9" x14ac:dyDescent="0.25">
      <c r="A385" s="1" t="str">
        <f>HYPERLINK("https://lynxcrm-apac--c.eu19.visual.force.com/0011i000001xnzdAAA","Boey, Mee Leng")</f>
        <v>Boey, Mee Leng</v>
      </c>
      <c r="B385" t="s">
        <v>923</v>
      </c>
      <c r="C385" t="s">
        <v>28</v>
      </c>
      <c r="D385" t="s">
        <v>924</v>
      </c>
      <c r="E385" t="s">
        <v>8</v>
      </c>
      <c r="F385" t="s">
        <v>377</v>
      </c>
      <c r="G385" t="s">
        <v>925</v>
      </c>
      <c r="H385" t="s">
        <v>926</v>
      </c>
      <c r="I385" t="s">
        <v>123</v>
      </c>
    </row>
    <row r="386" spans="1:9" x14ac:dyDescent="0.25">
      <c r="A386" s="1" t="str">
        <f>HYPERLINK("https://lynxcrm-apac--c.eu19.visual.force.com/0011i000001xnurAAA","Boey, Weng Heng")</f>
        <v>Boey, Weng Heng</v>
      </c>
      <c r="B386" t="s">
        <v>927</v>
      </c>
      <c r="C386" t="s">
        <v>28</v>
      </c>
      <c r="D386" t="s">
        <v>928</v>
      </c>
      <c r="E386" t="s">
        <v>8</v>
      </c>
      <c r="F386" t="s">
        <v>753</v>
      </c>
      <c r="G386" t="s">
        <v>929</v>
      </c>
      <c r="H386" t="s">
        <v>139</v>
      </c>
      <c r="I386" t="s">
        <v>137</v>
      </c>
    </row>
    <row r="387" spans="1:9" x14ac:dyDescent="0.25">
      <c r="A387" s="1" t="str">
        <f>HYPERLINK("https://lynxcrm-apac--c.eu19.visual.force.com/0011i00000llqpQAAQ","Boey @ Holland V Family Clinic")</f>
        <v>Boey @ Holland V Family Clinic</v>
      </c>
      <c r="B387" t="s">
        <v>930</v>
      </c>
      <c r="C387" t="s">
        <v>10</v>
      </c>
      <c r="D387" t="s">
        <v>8</v>
      </c>
      <c r="E387" t="s">
        <v>8</v>
      </c>
      <c r="F387" t="s">
        <v>8</v>
      </c>
      <c r="G387" t="s">
        <v>8</v>
      </c>
      <c r="H387" t="s">
        <v>8</v>
      </c>
      <c r="I387" t="s">
        <v>8</v>
      </c>
    </row>
    <row r="388" spans="1:9" x14ac:dyDescent="0.25">
      <c r="A388" s="1" t="str">
        <f>HYPERLINK("https://lynxcrm-apac--c.eu19.visual.force.com/0011i000007FAmQAAW","Bong, Zhao Yuin")</f>
        <v>Bong, Zhao Yuin</v>
      </c>
      <c r="B388" t="s">
        <v>931</v>
      </c>
      <c r="C388" t="s">
        <v>28</v>
      </c>
      <c r="D388" t="s">
        <v>932</v>
      </c>
      <c r="E388" t="s">
        <v>8</v>
      </c>
      <c r="F388" t="s">
        <v>933</v>
      </c>
      <c r="G388" t="s">
        <v>564</v>
      </c>
      <c r="H388" t="s">
        <v>8</v>
      </c>
      <c r="I388" t="s">
        <v>934</v>
      </c>
    </row>
    <row r="389" spans="1:9" x14ac:dyDescent="0.25">
      <c r="A389" s="1" t="str">
        <f>HYPERLINK("https://lynxcrm-apac--c.eu19.visual.force.com/0011i000007FFb7AAG","Bong, Zhao Yuin")</f>
        <v>Bong, Zhao Yuin</v>
      </c>
      <c r="B389" t="s">
        <v>935</v>
      </c>
      <c r="C389" t="s">
        <v>28</v>
      </c>
      <c r="D389" t="s">
        <v>932</v>
      </c>
      <c r="E389" t="s">
        <v>8</v>
      </c>
      <c r="F389" t="s">
        <v>933</v>
      </c>
      <c r="G389" t="s">
        <v>564</v>
      </c>
      <c r="H389" t="s">
        <v>8</v>
      </c>
      <c r="I389" t="s">
        <v>934</v>
      </c>
    </row>
    <row r="390" spans="1:9" x14ac:dyDescent="0.25">
      <c r="A390" s="1" t="str">
        <f>HYPERLINK("https://lynxcrm-apac--c.eu19.visual.force.com/0011i000001xoiuAAA","Boon, Jia Bin")</f>
        <v>Boon, Jia Bin</v>
      </c>
      <c r="B390" t="s">
        <v>936</v>
      </c>
      <c r="C390" t="s">
        <v>28</v>
      </c>
      <c r="D390" t="s">
        <v>937</v>
      </c>
      <c r="E390" t="s">
        <v>8</v>
      </c>
      <c r="F390" t="s">
        <v>938</v>
      </c>
      <c r="G390" t="s">
        <v>939</v>
      </c>
      <c r="H390" t="s">
        <v>939</v>
      </c>
      <c r="I390" t="s">
        <v>940</v>
      </c>
    </row>
    <row r="391" spans="1:9" x14ac:dyDescent="0.25">
      <c r="A391" s="1" t="str">
        <f>HYPERLINK("https://lynxcrm-apac--c.eu19.visual.force.com/0011i000001xoUHAAY","Boon, Seng Poh")</f>
        <v>Boon, Seng Poh</v>
      </c>
      <c r="B391" t="s">
        <v>941</v>
      </c>
      <c r="C391" t="s">
        <v>28</v>
      </c>
      <c r="D391" t="s">
        <v>942</v>
      </c>
      <c r="E391" t="s">
        <v>8</v>
      </c>
      <c r="F391" t="s">
        <v>943</v>
      </c>
      <c r="G391" t="s">
        <v>944</v>
      </c>
      <c r="H391" t="s">
        <v>944</v>
      </c>
      <c r="I391" t="s">
        <v>945</v>
      </c>
    </row>
    <row r="392" spans="1:9" x14ac:dyDescent="0.25">
      <c r="A392" s="1" t="str">
        <f>HYPERLINK("https://lynxcrm-apac--c.eu19.visual.force.com/0011i000001xnWaAAI","Boon Keng Clinic &amp; Surgery")</f>
        <v>Boon Keng Clinic &amp; Surgery</v>
      </c>
      <c r="B392" t="s">
        <v>946</v>
      </c>
      <c r="C392" t="s">
        <v>10</v>
      </c>
      <c r="D392" t="s">
        <v>8</v>
      </c>
      <c r="E392" t="s">
        <v>8</v>
      </c>
      <c r="F392" t="s">
        <v>947</v>
      </c>
      <c r="G392" t="s">
        <v>948</v>
      </c>
      <c r="H392" t="s">
        <v>949</v>
      </c>
      <c r="I392" t="s">
        <v>950</v>
      </c>
    </row>
    <row r="393" spans="1:9" x14ac:dyDescent="0.25">
      <c r="A393" s="1" t="str">
        <f>HYPERLINK("https://lynxcrm-apac--c.eu19.visual.force.com/0011i000001xnNfAAI","Boon Lay Clinic &amp; Surgery")</f>
        <v>Boon Lay Clinic &amp; Surgery</v>
      </c>
      <c r="B393" t="s">
        <v>951</v>
      </c>
      <c r="C393" t="s">
        <v>10</v>
      </c>
      <c r="D393" t="s">
        <v>8</v>
      </c>
      <c r="E393" t="s">
        <v>8</v>
      </c>
      <c r="F393" t="s">
        <v>952</v>
      </c>
      <c r="G393" t="s">
        <v>953</v>
      </c>
      <c r="H393" t="s">
        <v>953</v>
      </c>
      <c r="I393" t="s">
        <v>954</v>
      </c>
    </row>
    <row r="394" spans="1:9" x14ac:dyDescent="0.25">
      <c r="A394" s="1" t="str">
        <f>HYPERLINK("https://lynxcrm-apac--c.eu19.visual.force.com/0011i000001xmxGAAQ","Bose Bone, Joint &amp; Spine Clinic")</f>
        <v>Bose Bone, Joint &amp; Spine Clinic</v>
      </c>
      <c r="B394" t="s">
        <v>955</v>
      </c>
      <c r="C394" t="s">
        <v>10</v>
      </c>
      <c r="D394" t="s">
        <v>8</v>
      </c>
      <c r="E394" t="s">
        <v>8</v>
      </c>
      <c r="F394" t="s">
        <v>377</v>
      </c>
      <c r="G394" t="s">
        <v>956</v>
      </c>
      <c r="H394" t="s">
        <v>957</v>
      </c>
      <c r="I394" t="s">
        <v>123</v>
      </c>
    </row>
    <row r="395" spans="1:9" x14ac:dyDescent="0.25">
      <c r="A395" s="1" t="str">
        <f>HYPERLINK("https://lynxcrm-apac--c.eu19.visual.force.com/0011i00000FF6yJAAT","Braddell Family Clinic")</f>
        <v>Braddell Family Clinic</v>
      </c>
      <c r="B395" t="s">
        <v>958</v>
      </c>
      <c r="C395" t="s">
        <v>10</v>
      </c>
      <c r="D395" t="s">
        <v>8</v>
      </c>
      <c r="E395" t="s">
        <v>8</v>
      </c>
      <c r="F395" t="s">
        <v>959</v>
      </c>
      <c r="G395" t="s">
        <v>960</v>
      </c>
      <c r="H395" t="s">
        <v>8</v>
      </c>
      <c r="I395" t="s">
        <v>961</v>
      </c>
    </row>
    <row r="396" spans="1:9" x14ac:dyDescent="0.25">
      <c r="A396" s="1" t="str">
        <f>HYPERLINK("https://lynxcrm-apac--c.eu19.visual.force.com/0011i000001xmtfAAA","Brenda &amp; Yvonne Clinic for Women")</f>
        <v>Brenda &amp; Yvonne Clinic for Women</v>
      </c>
      <c r="B396" t="s">
        <v>962</v>
      </c>
      <c r="C396" t="s">
        <v>10</v>
      </c>
      <c r="D396" t="s">
        <v>8</v>
      </c>
      <c r="E396" t="s">
        <v>8</v>
      </c>
      <c r="F396" t="s">
        <v>963</v>
      </c>
      <c r="G396" t="s">
        <v>964</v>
      </c>
      <c r="H396" t="s">
        <v>964</v>
      </c>
      <c r="I396" t="s">
        <v>266</v>
      </c>
    </row>
    <row r="397" spans="1:9" x14ac:dyDescent="0.25">
      <c r="A397" s="1" t="str">
        <f>HYPERLINK("https://lynxcrm-apac--c.eu19.visual.force.com/0011i000001xnOHAAY","Brenda Low Clinic for Women")</f>
        <v>Brenda Low Clinic for Women</v>
      </c>
      <c r="B397" t="s">
        <v>965</v>
      </c>
      <c r="C397" t="s">
        <v>10</v>
      </c>
      <c r="D397" t="s">
        <v>8</v>
      </c>
      <c r="E397" t="s">
        <v>8</v>
      </c>
      <c r="F397" t="s">
        <v>966</v>
      </c>
      <c r="G397" t="s">
        <v>65</v>
      </c>
      <c r="H397" t="s">
        <v>65</v>
      </c>
      <c r="I397" t="s">
        <v>67</v>
      </c>
    </row>
    <row r="398" spans="1:9" x14ac:dyDescent="0.25">
      <c r="A398" s="1" t="str">
        <f>HYPERLINK("https://lynxcrm-apac--c.eu19.visual.force.com/0011i000001xmyRAAQ","Brenda Low Clinic For Women")</f>
        <v>Brenda Low Clinic For Women</v>
      </c>
      <c r="B398" t="s">
        <v>967</v>
      </c>
      <c r="C398" t="s">
        <v>10</v>
      </c>
      <c r="D398" t="s">
        <v>8</v>
      </c>
      <c r="E398" t="s">
        <v>8</v>
      </c>
      <c r="F398" t="s">
        <v>69</v>
      </c>
      <c r="G398" t="s">
        <v>968</v>
      </c>
      <c r="H398" t="s">
        <v>969</v>
      </c>
      <c r="I398" t="s">
        <v>67</v>
      </c>
    </row>
    <row r="399" spans="1:9" x14ac:dyDescent="0.25">
      <c r="A399" s="1" t="str">
        <f>HYPERLINK("https://lynxcrm-apac--c.eu19.visual.force.com/0011i000001xmtmAAA","Brian Yeo Clinic")</f>
        <v>Brian Yeo Clinic</v>
      </c>
      <c r="B399" t="s">
        <v>970</v>
      </c>
      <c r="C399" t="s">
        <v>10</v>
      </c>
      <c r="D399" t="s">
        <v>8</v>
      </c>
      <c r="E399" t="s">
        <v>8</v>
      </c>
      <c r="F399" t="s">
        <v>373</v>
      </c>
      <c r="G399" t="s">
        <v>971</v>
      </c>
      <c r="H399" t="s">
        <v>972</v>
      </c>
      <c r="I399" t="s">
        <v>123</v>
      </c>
    </row>
    <row r="400" spans="1:9" x14ac:dyDescent="0.25">
      <c r="A400" s="1" t="str">
        <f>HYPERLINK("https://lynxcrm-apac--c.eu19.visual.force.com/0011i000001xnQ0AAI","B S Chew Clinic")</f>
        <v>B S Chew Clinic</v>
      </c>
      <c r="B400" t="s">
        <v>973</v>
      </c>
      <c r="C400" t="s">
        <v>10</v>
      </c>
      <c r="D400" t="s">
        <v>8</v>
      </c>
      <c r="E400" t="s">
        <v>8</v>
      </c>
      <c r="F400" t="s">
        <v>974</v>
      </c>
      <c r="G400" t="s">
        <v>975</v>
      </c>
      <c r="H400" t="s">
        <v>976</v>
      </c>
      <c r="I400" t="s">
        <v>977</v>
      </c>
    </row>
    <row r="401" spans="1:9" x14ac:dyDescent="0.25">
      <c r="A401" s="1" t="str">
        <f>HYPERLINK("https://lynxcrm-apac--c.eu19.visual.force.com/0011i000001xnFsAAI","B S Ooi Colorectal, General &amp; Laparoscopic Surgery Centre")</f>
        <v>B S Ooi Colorectal, General &amp; Laparoscopic Surgery Centre</v>
      </c>
      <c r="B401" t="s">
        <v>978</v>
      </c>
      <c r="C401" t="s">
        <v>10</v>
      </c>
      <c r="D401" t="s">
        <v>8</v>
      </c>
      <c r="E401" t="s">
        <v>8</v>
      </c>
      <c r="F401" t="s">
        <v>377</v>
      </c>
      <c r="G401" t="s">
        <v>979</v>
      </c>
      <c r="H401" t="s">
        <v>979</v>
      </c>
      <c r="I401" t="s">
        <v>123</v>
      </c>
    </row>
    <row r="402" spans="1:9" x14ac:dyDescent="0.25">
      <c r="A402" s="1" t="str">
        <f>HYPERLINK("https://lynxcrm-apac--c.eu19.visual.force.com/0011i000001xmsrAAA","B T Lee Surgery")</f>
        <v>B T Lee Surgery</v>
      </c>
      <c r="B402" t="s">
        <v>980</v>
      </c>
      <c r="C402" t="s">
        <v>10</v>
      </c>
      <c r="D402" t="s">
        <v>8</v>
      </c>
      <c r="E402" t="s">
        <v>8</v>
      </c>
      <c r="F402" t="s">
        <v>121</v>
      </c>
      <c r="G402" t="s">
        <v>981</v>
      </c>
      <c r="H402" t="s">
        <v>982</v>
      </c>
      <c r="I402" t="s">
        <v>123</v>
      </c>
    </row>
    <row r="403" spans="1:9" x14ac:dyDescent="0.25">
      <c r="A403" s="1" t="str">
        <f>HYPERLINK("https://lynxcrm-apac--c.eu19.visual.force.com/0011i000001xn9OAAQ","Bukit Batok Medical Clinic")</f>
        <v>Bukit Batok Medical Clinic</v>
      </c>
      <c r="B403" t="s">
        <v>983</v>
      </c>
      <c r="C403" t="s">
        <v>10</v>
      </c>
      <c r="D403" t="s">
        <v>8</v>
      </c>
      <c r="E403" t="s">
        <v>8</v>
      </c>
      <c r="F403" t="s">
        <v>984</v>
      </c>
      <c r="G403" t="s">
        <v>985</v>
      </c>
      <c r="H403" t="s">
        <v>986</v>
      </c>
      <c r="I403" t="s">
        <v>987</v>
      </c>
    </row>
    <row r="404" spans="1:9" x14ac:dyDescent="0.25">
      <c r="A404" s="1" t="str">
        <f>HYPERLINK("https://lynxcrm-apac--c.eu19.visual.force.com/0011i000001xmsLAAQ","Bukit Batok Polyclinic")</f>
        <v>Bukit Batok Polyclinic</v>
      </c>
      <c r="B404" t="s">
        <v>988</v>
      </c>
      <c r="C404" t="s">
        <v>10</v>
      </c>
      <c r="D404" t="s">
        <v>8</v>
      </c>
      <c r="E404" t="s">
        <v>8</v>
      </c>
      <c r="F404" t="s">
        <v>147</v>
      </c>
      <c r="G404" t="s">
        <v>147</v>
      </c>
      <c r="H404" t="s">
        <v>534</v>
      </c>
      <c r="I404" t="s">
        <v>149</v>
      </c>
    </row>
    <row r="405" spans="1:9" x14ac:dyDescent="0.25">
      <c r="A405" s="1" t="str">
        <f>HYPERLINK("https://lynxcrm-apac--c.eu19.visual.force.com/0011i000001xnZsAAI","Bukit Merah Clinic")</f>
        <v>Bukit Merah Clinic</v>
      </c>
      <c r="B405" t="s">
        <v>989</v>
      </c>
      <c r="C405" t="s">
        <v>10</v>
      </c>
      <c r="D405" t="s">
        <v>8</v>
      </c>
      <c r="E405" t="s">
        <v>8</v>
      </c>
      <c r="F405" t="s">
        <v>990</v>
      </c>
      <c r="G405" t="s">
        <v>991</v>
      </c>
      <c r="H405" t="s">
        <v>991</v>
      </c>
      <c r="I405" t="s">
        <v>992</v>
      </c>
    </row>
    <row r="406" spans="1:9" x14ac:dyDescent="0.25">
      <c r="A406" s="1" t="str">
        <f>HYPERLINK("https://lynxcrm-apac--c.eu19.visual.force.com/0011i000001xnJCAAY","Bukit Merah Polyclinic")</f>
        <v>Bukit Merah Polyclinic</v>
      </c>
      <c r="B406" t="s">
        <v>993</v>
      </c>
      <c r="C406" t="s">
        <v>10</v>
      </c>
      <c r="D406" t="s">
        <v>8</v>
      </c>
      <c r="E406" t="s">
        <v>8</v>
      </c>
      <c r="F406" t="s">
        <v>994</v>
      </c>
      <c r="G406" t="s">
        <v>995</v>
      </c>
      <c r="H406" t="s">
        <v>995</v>
      </c>
      <c r="I406" t="s">
        <v>996</v>
      </c>
    </row>
    <row r="407" spans="1:9" x14ac:dyDescent="0.25">
      <c r="A407" s="1" t="str">
        <f>HYPERLINK("https://lynxcrm-apac--c.eu19.visual.force.com/0011i000001xmloAAA","Bukit Merah Polyclinic")</f>
        <v>Bukit Merah Polyclinic</v>
      </c>
      <c r="B407" t="s">
        <v>997</v>
      </c>
      <c r="C407" t="s">
        <v>10</v>
      </c>
      <c r="D407" t="s">
        <v>8</v>
      </c>
      <c r="E407" t="s">
        <v>8</v>
      </c>
      <c r="F407" t="s">
        <v>994</v>
      </c>
      <c r="G407" t="s">
        <v>995</v>
      </c>
      <c r="H407" t="s">
        <v>998</v>
      </c>
      <c r="I407" t="s">
        <v>996</v>
      </c>
    </row>
    <row r="408" spans="1:9" x14ac:dyDescent="0.25">
      <c r="A408" s="1" t="str">
        <f>HYPERLINK("https://lynxcrm-apac--c.eu19.visual.force.com/0011i000001xmu5AAA","Bukit Merah Polyclinic")</f>
        <v>Bukit Merah Polyclinic</v>
      </c>
      <c r="B408" t="s">
        <v>999</v>
      </c>
      <c r="C408" t="s">
        <v>10</v>
      </c>
      <c r="D408" t="s">
        <v>8</v>
      </c>
      <c r="E408" t="s">
        <v>8</v>
      </c>
      <c r="F408" t="s">
        <v>994</v>
      </c>
      <c r="G408" t="s">
        <v>995</v>
      </c>
      <c r="H408" t="s">
        <v>998</v>
      </c>
      <c r="I408" t="s">
        <v>996</v>
      </c>
    </row>
    <row r="409" spans="1:9" x14ac:dyDescent="0.25">
      <c r="A409" s="1" t="str">
        <f>HYPERLINK("https://lynxcrm-apac--c.eu19.visual.force.com/0011i000001xmzkAAA","Bukit Merah Polyclinic")</f>
        <v>Bukit Merah Polyclinic</v>
      </c>
      <c r="B409" t="s">
        <v>1000</v>
      </c>
      <c r="C409" t="s">
        <v>10</v>
      </c>
      <c r="D409" t="s">
        <v>8</v>
      </c>
      <c r="E409" t="s">
        <v>8</v>
      </c>
      <c r="F409" t="s">
        <v>994</v>
      </c>
      <c r="G409" t="s">
        <v>995</v>
      </c>
      <c r="H409" t="s">
        <v>995</v>
      </c>
      <c r="I409" t="s">
        <v>996</v>
      </c>
    </row>
    <row r="410" spans="1:9" x14ac:dyDescent="0.25">
      <c r="A410" s="1" t="str">
        <f>HYPERLINK("https://lynxcrm-apac--c.eu19.visual.force.com/0011i000001xmzmAAA","Bukit Merah Polyclinic")</f>
        <v>Bukit Merah Polyclinic</v>
      </c>
      <c r="B410" t="s">
        <v>1001</v>
      </c>
      <c r="C410" t="s">
        <v>10</v>
      </c>
      <c r="D410" t="s">
        <v>8</v>
      </c>
      <c r="E410" t="s">
        <v>8</v>
      </c>
      <c r="F410" t="s">
        <v>994</v>
      </c>
      <c r="G410" t="s">
        <v>995</v>
      </c>
      <c r="H410" t="s">
        <v>995</v>
      </c>
      <c r="I410" t="s">
        <v>996</v>
      </c>
    </row>
    <row r="411" spans="1:9" x14ac:dyDescent="0.25">
      <c r="A411" s="1" t="str">
        <f>HYPERLINK("https://lynxcrm-apac--c.eu19.visual.force.com/0011i000001xn9hAAA","Bukit Timah Clinic")</f>
        <v>Bukit Timah Clinic</v>
      </c>
      <c r="B411" t="s">
        <v>1002</v>
      </c>
      <c r="C411" t="s">
        <v>10</v>
      </c>
      <c r="D411" t="s">
        <v>8</v>
      </c>
      <c r="E411" t="s">
        <v>8</v>
      </c>
      <c r="F411" t="s">
        <v>183</v>
      </c>
      <c r="G411" t="s">
        <v>183</v>
      </c>
      <c r="H411" t="s">
        <v>1003</v>
      </c>
      <c r="I411" t="s">
        <v>185</v>
      </c>
    </row>
    <row r="412" spans="1:9" x14ac:dyDescent="0.25">
      <c r="A412" s="1" t="str">
        <f>HYPERLINK("https://lynxcrm-apac--c.eu19.visual.force.com/0011i000001xmuQAAQ","Bukit Timah Family Clinic")</f>
        <v>Bukit Timah Family Clinic</v>
      </c>
      <c r="B412" t="s">
        <v>1004</v>
      </c>
      <c r="C412" t="s">
        <v>10</v>
      </c>
      <c r="D412" t="s">
        <v>8</v>
      </c>
      <c r="E412" t="s">
        <v>8</v>
      </c>
      <c r="F412" t="s">
        <v>825</v>
      </c>
      <c r="G412" t="s">
        <v>826</v>
      </c>
      <c r="H412" t="s">
        <v>826</v>
      </c>
      <c r="I412" t="s">
        <v>1005</v>
      </c>
    </row>
    <row r="413" spans="1:9" x14ac:dyDescent="0.25">
      <c r="A413" s="1" t="str">
        <f>HYPERLINK("https://lynxcrm-apac--c.eu19.visual.force.com/0011i000001xn5dAAA","Bukit Timah Family Clinic")</f>
        <v>Bukit Timah Family Clinic</v>
      </c>
      <c r="B413" t="s">
        <v>1006</v>
      </c>
      <c r="C413" t="s">
        <v>10</v>
      </c>
      <c r="D413" t="s">
        <v>8</v>
      </c>
      <c r="E413" t="s">
        <v>8</v>
      </c>
      <c r="F413" t="s">
        <v>825</v>
      </c>
      <c r="G413" t="s">
        <v>826</v>
      </c>
      <c r="H413" t="s">
        <v>826</v>
      </c>
      <c r="I413" t="s">
        <v>827</v>
      </c>
    </row>
    <row r="414" spans="1:9" x14ac:dyDescent="0.25">
      <c r="A414" s="1" t="str">
        <f>HYPERLINK("https://lynxcrm-apac--c.eu19.visual.force.com/0011i000001xn2jAAA","C &amp; K Family Clinic")</f>
        <v>C &amp; K Family Clinic</v>
      </c>
      <c r="B414" t="s">
        <v>1007</v>
      </c>
      <c r="C414" t="s">
        <v>10</v>
      </c>
      <c r="D414" t="s">
        <v>8</v>
      </c>
      <c r="E414" t="s">
        <v>8</v>
      </c>
      <c r="F414" t="s">
        <v>1008</v>
      </c>
      <c r="G414" t="s">
        <v>1008</v>
      </c>
      <c r="H414" t="s">
        <v>8</v>
      </c>
      <c r="I414" t="s">
        <v>1009</v>
      </c>
    </row>
    <row r="415" spans="1:9" x14ac:dyDescent="0.25">
      <c r="A415" s="1" t="str">
        <f>HYPERLINK("https://lynxcrm-apac--c.eu19.visual.force.com/0011i000001xoSCAAY","Cai, Chang Ping")</f>
        <v>Cai, Chang Ping</v>
      </c>
      <c r="B415" t="s">
        <v>1010</v>
      </c>
      <c r="C415" t="s">
        <v>28</v>
      </c>
      <c r="D415" t="s">
        <v>514</v>
      </c>
      <c r="E415" t="s">
        <v>8</v>
      </c>
      <c r="F415" t="s">
        <v>258</v>
      </c>
      <c r="G415" t="s">
        <v>261</v>
      </c>
      <c r="H415" t="s">
        <v>261</v>
      </c>
      <c r="I415" t="s">
        <v>260</v>
      </c>
    </row>
    <row r="416" spans="1:9" x14ac:dyDescent="0.25">
      <c r="A416" s="1" t="str">
        <f>HYPERLINK("https://lynxcrm-apac--c.eu19.visual.force.com/0011i000001xoSCAAY","Cai, Chang Ping")</f>
        <v>Cai, Chang Ping</v>
      </c>
      <c r="B416" t="s">
        <v>1010</v>
      </c>
      <c r="C416" t="s">
        <v>28</v>
      </c>
      <c r="D416" t="s">
        <v>261</v>
      </c>
      <c r="E416" t="s">
        <v>8</v>
      </c>
      <c r="F416" t="s">
        <v>261</v>
      </c>
      <c r="G416" t="s">
        <v>347</v>
      </c>
      <c r="H416" t="s">
        <v>347</v>
      </c>
      <c r="I416" t="s">
        <v>260</v>
      </c>
    </row>
    <row r="417" spans="1:9" x14ac:dyDescent="0.25">
      <c r="A417" s="1" t="str">
        <f>HYPERLINK("https://lynxcrm-apac--c.eu19.visual.force.com/0011i000001xnzeAAA","Cai, Yiming")</f>
        <v>Cai, Yiming</v>
      </c>
      <c r="B417" t="s">
        <v>1011</v>
      </c>
      <c r="C417" t="s">
        <v>28</v>
      </c>
      <c r="D417" t="s">
        <v>752</v>
      </c>
      <c r="E417" t="s">
        <v>8</v>
      </c>
      <c r="F417" t="s">
        <v>753</v>
      </c>
      <c r="G417" t="s">
        <v>753</v>
      </c>
      <c r="H417" t="s">
        <v>8</v>
      </c>
      <c r="I417" t="s">
        <v>137</v>
      </c>
    </row>
    <row r="418" spans="1:9" x14ac:dyDescent="0.25">
      <c r="A418" s="1" t="str">
        <f>HYPERLINK("https://lynxcrm-apac--c.eu19.visual.force.com/0011i000001xnzeAAA","Cai, Yiming")</f>
        <v>Cai, Yiming</v>
      </c>
      <c r="B418" t="s">
        <v>1011</v>
      </c>
      <c r="C418" t="s">
        <v>28</v>
      </c>
      <c r="D418" t="s">
        <v>753</v>
      </c>
      <c r="E418" t="s">
        <v>8</v>
      </c>
      <c r="F418" t="s">
        <v>135</v>
      </c>
      <c r="G418" t="s">
        <v>136</v>
      </c>
      <c r="H418" t="s">
        <v>136</v>
      </c>
      <c r="I418" t="s">
        <v>137</v>
      </c>
    </row>
    <row r="419" spans="1:9" x14ac:dyDescent="0.25">
      <c r="A419" s="1" t="str">
        <f>HYPERLINK("https://lynxcrm-apac--c.eu19.visual.force.com/0011i000001xnkFAAQ","Cai, Zheng Yang")</f>
        <v>Cai, Zheng Yang</v>
      </c>
      <c r="B419" t="s">
        <v>1012</v>
      </c>
      <c r="C419" t="s">
        <v>28</v>
      </c>
      <c r="D419" t="s">
        <v>937</v>
      </c>
      <c r="E419" t="s">
        <v>8</v>
      </c>
      <c r="F419" t="s">
        <v>1013</v>
      </c>
      <c r="G419" t="s">
        <v>1013</v>
      </c>
      <c r="H419" t="s">
        <v>8</v>
      </c>
      <c r="I419" t="s">
        <v>1014</v>
      </c>
    </row>
    <row r="420" spans="1:9" x14ac:dyDescent="0.25">
      <c r="A420" s="1" t="str">
        <f>HYPERLINK("https://lynxcrm-apac--c.eu19.visual.force.com/0011i000001xmsUAAQ","Calvin Chan Aesthetic &amp; Laser Clinic")</f>
        <v>Calvin Chan Aesthetic &amp; Laser Clinic</v>
      </c>
      <c r="B420" t="s">
        <v>1015</v>
      </c>
      <c r="C420" t="s">
        <v>10</v>
      </c>
      <c r="D420" t="s">
        <v>8</v>
      </c>
      <c r="E420" t="s">
        <v>8</v>
      </c>
      <c r="F420" t="s">
        <v>1016</v>
      </c>
      <c r="G420" t="s">
        <v>1017</v>
      </c>
      <c r="H420" t="s">
        <v>1018</v>
      </c>
      <c r="I420" t="s">
        <v>1019</v>
      </c>
    </row>
    <row r="421" spans="1:9" x14ac:dyDescent="0.25">
      <c r="A421" s="1" t="str">
        <f>HYPERLINK("https://lynxcrm-apac--c.eu19.visual.force.com/0011i000001xmweAAA","Cambridge Clinic")</f>
        <v>Cambridge Clinic</v>
      </c>
      <c r="B421" t="s">
        <v>1020</v>
      </c>
      <c r="C421" t="s">
        <v>10</v>
      </c>
      <c r="D421" t="s">
        <v>8</v>
      </c>
      <c r="E421" t="s">
        <v>8</v>
      </c>
      <c r="F421" t="s">
        <v>1021</v>
      </c>
      <c r="G421" t="s">
        <v>1022</v>
      </c>
      <c r="H421" t="s">
        <v>1023</v>
      </c>
      <c r="I421" t="s">
        <v>1024</v>
      </c>
    </row>
    <row r="422" spans="1:9" x14ac:dyDescent="0.25">
      <c r="A422" s="1" t="str">
        <f>HYPERLINK("https://lynxcrm-apac--c.eu19.visual.force.com/0011i000001xmd2AAA","Camry Medical Centre")</f>
        <v>Camry Medical Centre</v>
      </c>
      <c r="B422" t="s">
        <v>1025</v>
      </c>
      <c r="C422" t="s">
        <v>10</v>
      </c>
      <c r="D422" t="s">
        <v>8</v>
      </c>
      <c r="E422" t="s">
        <v>8</v>
      </c>
      <c r="F422" t="s">
        <v>1026</v>
      </c>
      <c r="G422" t="s">
        <v>1027</v>
      </c>
      <c r="H422" t="s">
        <v>1027</v>
      </c>
      <c r="I422" t="s">
        <v>1028</v>
      </c>
    </row>
    <row r="423" spans="1:9" x14ac:dyDescent="0.25">
      <c r="A423" s="1" t="str">
        <f>HYPERLINK("https://lynxcrm-apac--c.eu19.visual.force.com/0011i000001xn5HAAQ","Camry Medical Centre")</f>
        <v>Camry Medical Centre</v>
      </c>
      <c r="B423" t="s">
        <v>1029</v>
      </c>
      <c r="C423" t="s">
        <v>10</v>
      </c>
      <c r="D423" t="s">
        <v>8</v>
      </c>
      <c r="E423" t="s">
        <v>8</v>
      </c>
      <c r="F423" t="s">
        <v>1030</v>
      </c>
      <c r="G423" t="s">
        <v>1027</v>
      </c>
      <c r="H423" t="s">
        <v>1031</v>
      </c>
      <c r="I423" t="s">
        <v>1028</v>
      </c>
    </row>
    <row r="424" spans="1:9" x14ac:dyDescent="0.25">
      <c r="A424" s="1" t="str">
        <f>HYPERLINK("https://lynxcrm-apac--c.eu19.visual.force.com/0011i000001xnKkAAI","Canterbury Medical Centre")</f>
        <v>Canterbury Medical Centre</v>
      </c>
      <c r="B424" t="s">
        <v>1032</v>
      </c>
      <c r="C424" t="s">
        <v>10</v>
      </c>
      <c r="D424" t="s">
        <v>8</v>
      </c>
      <c r="E424" t="s">
        <v>8</v>
      </c>
      <c r="F424" t="s">
        <v>1033</v>
      </c>
      <c r="G424" t="s">
        <v>1034</v>
      </c>
      <c r="H424" t="s">
        <v>1035</v>
      </c>
      <c r="I424" t="s">
        <v>912</v>
      </c>
    </row>
    <row r="425" spans="1:9" x14ac:dyDescent="0.25">
      <c r="A425" s="1" t="str">
        <f>HYPERLINK("https://lynxcrm-apac--c.eu19.visual.force.com/0011i00000pbjlrAAA","Capernaum Neurology")</f>
        <v>Capernaum Neurology</v>
      </c>
      <c r="B425" t="s">
        <v>1036</v>
      </c>
      <c r="C425" t="s">
        <v>10</v>
      </c>
      <c r="D425" t="s">
        <v>8</v>
      </c>
      <c r="E425" t="s">
        <v>8</v>
      </c>
      <c r="F425" t="s">
        <v>377</v>
      </c>
      <c r="G425" t="s">
        <v>1037</v>
      </c>
      <c r="H425" t="s">
        <v>8</v>
      </c>
      <c r="I425" t="s">
        <v>123</v>
      </c>
    </row>
    <row r="426" spans="1:9" x14ac:dyDescent="0.25">
      <c r="A426" s="1" t="str">
        <f>HYPERLINK("https://lynxcrm-apac--c.eu19.visual.force.com/0011i00000XhmXCAAZ","Capital Mindhealth Clinic")</f>
        <v>Capital Mindhealth Clinic</v>
      </c>
      <c r="B426" t="s">
        <v>1038</v>
      </c>
      <c r="C426" t="s">
        <v>10</v>
      </c>
      <c r="D426" t="s">
        <v>1039</v>
      </c>
      <c r="E426" t="s">
        <v>8</v>
      </c>
      <c r="F426" t="s">
        <v>69</v>
      </c>
      <c r="G426" t="s">
        <v>1040</v>
      </c>
      <c r="H426" t="s">
        <v>1040</v>
      </c>
      <c r="I426" t="s">
        <v>67</v>
      </c>
    </row>
    <row r="427" spans="1:9" x14ac:dyDescent="0.25">
      <c r="A427" s="1" t="str">
        <f>HYPERLINK("https://lynxcrm-apac--c.eu19.visual.force.com/0011i000001xnASAAY","Cardiac Centre International")</f>
        <v>Cardiac Centre International</v>
      </c>
      <c r="B427" t="s">
        <v>1041</v>
      </c>
      <c r="C427" t="s">
        <v>10</v>
      </c>
      <c r="D427" t="s">
        <v>8</v>
      </c>
      <c r="E427" t="s">
        <v>8</v>
      </c>
      <c r="F427" t="s">
        <v>1042</v>
      </c>
      <c r="G427" t="s">
        <v>388</v>
      </c>
      <c r="H427" t="s">
        <v>388</v>
      </c>
      <c r="I427" t="s">
        <v>123</v>
      </c>
    </row>
    <row r="428" spans="1:9" x14ac:dyDescent="0.25">
      <c r="A428" s="1" t="str">
        <f>HYPERLINK("https://lynxcrm-apac--c.eu19.visual.force.com/0011i000001xnReAAI","Cardiac Specailist Centre")</f>
        <v>Cardiac Specailist Centre</v>
      </c>
      <c r="B428" t="s">
        <v>1043</v>
      </c>
      <c r="C428" t="s">
        <v>10</v>
      </c>
      <c r="D428" t="s">
        <v>8</v>
      </c>
      <c r="E428" t="s">
        <v>8</v>
      </c>
      <c r="F428" t="s">
        <v>1044</v>
      </c>
      <c r="G428" t="s">
        <v>388</v>
      </c>
      <c r="H428" t="s">
        <v>388</v>
      </c>
      <c r="I428" t="s">
        <v>123</v>
      </c>
    </row>
    <row r="429" spans="1:9" x14ac:dyDescent="0.25">
      <c r="A429" s="1" t="str">
        <f>HYPERLINK("https://lynxcrm-apac--c.eu19.visual.force.com/0011i000001xn8eAAA","Cardio-Care Pte Ltd")</f>
        <v>Cardio-Care Pte Ltd</v>
      </c>
      <c r="B429" t="s">
        <v>1045</v>
      </c>
      <c r="C429" t="s">
        <v>10</v>
      </c>
      <c r="D429" t="s">
        <v>8</v>
      </c>
      <c r="E429" t="s">
        <v>8</v>
      </c>
      <c r="F429" t="s">
        <v>1046</v>
      </c>
      <c r="G429" t="s">
        <v>87</v>
      </c>
      <c r="H429" t="s">
        <v>1047</v>
      </c>
      <c r="I429" t="s">
        <v>717</v>
      </c>
    </row>
    <row r="430" spans="1:9" x14ac:dyDescent="0.25">
      <c r="A430" s="1" t="str">
        <f>HYPERLINK("https://lynxcrm-apac--c.eu19.visual.force.com/0011i000001xnDsAAI","Cardio-Care Pte Ltd")</f>
        <v>Cardio-Care Pte Ltd</v>
      </c>
      <c r="B430" t="s">
        <v>1048</v>
      </c>
      <c r="C430" t="s">
        <v>10</v>
      </c>
      <c r="D430" t="s">
        <v>8</v>
      </c>
      <c r="E430" t="s">
        <v>8</v>
      </c>
      <c r="F430" t="s">
        <v>1046</v>
      </c>
      <c r="G430" t="s">
        <v>87</v>
      </c>
      <c r="H430" t="s">
        <v>87</v>
      </c>
      <c r="I430" t="s">
        <v>717</v>
      </c>
    </row>
    <row r="431" spans="1:9" x14ac:dyDescent="0.25">
      <c r="A431" s="1" t="str">
        <f>HYPERLINK("https://lynxcrm-apac--c.eu19.visual.force.com/0011i000001xnczAAA","Cardiology Clinic Pte Ltd")</f>
        <v>Cardiology Clinic Pte Ltd</v>
      </c>
      <c r="B431" t="s">
        <v>1049</v>
      </c>
      <c r="C431" t="s">
        <v>10</v>
      </c>
      <c r="D431" t="s">
        <v>8</v>
      </c>
      <c r="E431" t="s">
        <v>8</v>
      </c>
      <c r="F431" t="s">
        <v>377</v>
      </c>
      <c r="G431" t="s">
        <v>1050</v>
      </c>
      <c r="H431" t="s">
        <v>1051</v>
      </c>
      <c r="I431" t="s">
        <v>123</v>
      </c>
    </row>
    <row r="432" spans="1:9" x14ac:dyDescent="0.25">
      <c r="A432" s="1" t="str">
        <f>HYPERLINK("https://lynxcrm-apac--c.eu19.visual.force.com/0011i000001xmqEAAQ","Cardiothoracic Surgical Ctr Spore")</f>
        <v>Cardiothoracic Surgical Ctr Spore</v>
      </c>
      <c r="B432" t="s">
        <v>1052</v>
      </c>
      <c r="C432" t="s">
        <v>10</v>
      </c>
      <c r="D432" t="s">
        <v>8</v>
      </c>
      <c r="E432" t="s">
        <v>8</v>
      </c>
      <c r="F432" t="s">
        <v>377</v>
      </c>
      <c r="G432" t="s">
        <v>1053</v>
      </c>
      <c r="H432" t="s">
        <v>1053</v>
      </c>
      <c r="I432" t="s">
        <v>123</v>
      </c>
    </row>
    <row r="433" spans="1:9" x14ac:dyDescent="0.25">
      <c r="A433" s="1" t="str">
        <f>HYPERLINK("https://lynxcrm-apac--c.eu19.visual.force.com/0011i000001xmi4AAA","Cardiovascular Surgery")</f>
        <v>Cardiovascular Surgery</v>
      </c>
      <c r="B433" t="s">
        <v>1054</v>
      </c>
      <c r="C433" t="s">
        <v>10</v>
      </c>
      <c r="D433" t="s">
        <v>8</v>
      </c>
      <c r="E433" t="s">
        <v>8</v>
      </c>
      <c r="F433" t="s">
        <v>69</v>
      </c>
      <c r="G433" t="s">
        <v>1055</v>
      </c>
      <c r="H433" t="s">
        <v>1056</v>
      </c>
      <c r="I433" t="s">
        <v>67</v>
      </c>
    </row>
    <row r="434" spans="1:9" x14ac:dyDescent="0.25">
      <c r="A434" s="1" t="str">
        <f>HYPERLINK("https://lynxcrm-apac--c.eu19.visual.force.com/0011i000001xnBNAAY","Care Medical Clinic")</f>
        <v>Care Medical Clinic</v>
      </c>
      <c r="B434" t="s">
        <v>1057</v>
      </c>
      <c r="C434" t="s">
        <v>10</v>
      </c>
      <c r="D434" t="s">
        <v>8</v>
      </c>
      <c r="E434" t="s">
        <v>8</v>
      </c>
      <c r="F434" t="s">
        <v>1058</v>
      </c>
      <c r="G434" t="s">
        <v>1059</v>
      </c>
      <c r="H434" t="s">
        <v>1060</v>
      </c>
      <c r="I434" t="s">
        <v>1061</v>
      </c>
    </row>
    <row r="435" spans="1:9" x14ac:dyDescent="0.25">
      <c r="A435" s="1" t="str">
        <f>HYPERLINK("https://lynxcrm-apac--c.eu19.visual.force.com/0011i000001xmgqAAA","Caritas Clinic")</f>
        <v>Caritas Clinic</v>
      </c>
      <c r="B435" t="s">
        <v>1062</v>
      </c>
      <c r="C435" t="s">
        <v>10</v>
      </c>
      <c r="D435" t="s">
        <v>8</v>
      </c>
      <c r="E435" t="s">
        <v>8</v>
      </c>
      <c r="F435" t="s">
        <v>1063</v>
      </c>
      <c r="G435" t="s">
        <v>1064</v>
      </c>
      <c r="H435" t="s">
        <v>1064</v>
      </c>
      <c r="I435" t="s">
        <v>1065</v>
      </c>
    </row>
    <row r="436" spans="1:9" x14ac:dyDescent="0.25">
      <c r="A436" s="1" t="str">
        <f>HYPERLINK("https://lynxcrm-apac--c.eu19.visual.force.com/0011i000001xnXlAAI","Cassia Clinic &amp; Surgery")</f>
        <v>Cassia Clinic &amp; Surgery</v>
      </c>
      <c r="B436" t="s">
        <v>1066</v>
      </c>
      <c r="C436" t="s">
        <v>10</v>
      </c>
      <c r="D436" t="s">
        <v>8</v>
      </c>
      <c r="E436" t="s">
        <v>8</v>
      </c>
      <c r="F436" t="s">
        <v>1067</v>
      </c>
      <c r="G436" t="s">
        <v>1068</v>
      </c>
      <c r="H436" t="s">
        <v>1068</v>
      </c>
      <c r="I436" t="s">
        <v>1069</v>
      </c>
    </row>
    <row r="437" spans="1:9" x14ac:dyDescent="0.25">
      <c r="A437" s="1" t="str">
        <f>HYPERLINK("https://lynxcrm-apac--c.eu19.visual.force.com/0011i000001xnNiAAI","Cassia Medical Centre")</f>
        <v>Cassia Medical Centre</v>
      </c>
      <c r="B437" t="s">
        <v>1070</v>
      </c>
      <c r="C437" t="s">
        <v>10</v>
      </c>
      <c r="D437" t="s">
        <v>8</v>
      </c>
      <c r="E437" t="s">
        <v>8</v>
      </c>
      <c r="F437" t="s">
        <v>1067</v>
      </c>
      <c r="G437" t="s">
        <v>1068</v>
      </c>
      <c r="H437" t="s">
        <v>1068</v>
      </c>
      <c r="I437" t="s">
        <v>1069</v>
      </c>
    </row>
    <row r="438" spans="1:9" x14ac:dyDescent="0.25">
      <c r="A438" s="1" t="str">
        <f>HYPERLINK("https://lynxcrm-apac--c.eu19.visual.force.com/0011i000001xmwjAAA","Causeway Clinic")</f>
        <v>Causeway Clinic</v>
      </c>
      <c r="B438" t="s">
        <v>1071</v>
      </c>
      <c r="C438" t="s">
        <v>10</v>
      </c>
      <c r="D438" t="s">
        <v>8</v>
      </c>
      <c r="E438" t="s">
        <v>8</v>
      </c>
      <c r="F438" t="s">
        <v>1072</v>
      </c>
      <c r="G438" t="s">
        <v>1073</v>
      </c>
      <c r="H438" t="s">
        <v>1074</v>
      </c>
      <c r="I438" t="s">
        <v>1075</v>
      </c>
    </row>
    <row r="439" spans="1:9" x14ac:dyDescent="0.25">
      <c r="A439" s="1" t="str">
        <f>HYPERLINK("https://lynxcrm-apac--c.eu19.visual.force.com/0011i000001xnCMAAY","CCK 24 Hour Family Clinic")</f>
        <v>CCK 24 Hour Family Clinic</v>
      </c>
      <c r="B439" t="s">
        <v>1076</v>
      </c>
      <c r="C439" t="s">
        <v>10</v>
      </c>
      <c r="D439" t="s">
        <v>8</v>
      </c>
      <c r="E439" t="s">
        <v>8</v>
      </c>
      <c r="F439" t="s">
        <v>1077</v>
      </c>
      <c r="G439" t="s">
        <v>1078</v>
      </c>
      <c r="H439" t="s">
        <v>1079</v>
      </c>
      <c r="I439" t="s">
        <v>1080</v>
      </c>
    </row>
    <row r="440" spans="1:9" x14ac:dyDescent="0.25">
      <c r="A440" s="1" t="str">
        <f>HYPERLINK("https://lynxcrm-apac--c.eu19.visual.force.com/0011i000001xnHIAAY","Cecilia Family Clinic &amp; Surgery")</f>
        <v>Cecilia Family Clinic &amp; Surgery</v>
      </c>
      <c r="B440" t="s">
        <v>1081</v>
      </c>
      <c r="C440" t="s">
        <v>10</v>
      </c>
      <c r="D440" t="s">
        <v>8</v>
      </c>
      <c r="E440" t="s">
        <v>8</v>
      </c>
      <c r="F440" t="s">
        <v>1082</v>
      </c>
      <c r="G440" t="s">
        <v>1083</v>
      </c>
      <c r="H440" t="s">
        <v>1083</v>
      </c>
      <c r="I440" t="s">
        <v>1084</v>
      </c>
    </row>
    <row r="441" spans="1:9" x14ac:dyDescent="0.25">
      <c r="A441" s="1" t="str">
        <f>HYPERLINK("https://lynxcrm-apac--c.eu19.visual.force.com/0011i000001xn7rAAA","Central Medical Group")</f>
        <v>Central Medical Group</v>
      </c>
      <c r="B441" t="s">
        <v>1085</v>
      </c>
      <c r="C441" t="s">
        <v>10</v>
      </c>
      <c r="D441" t="s">
        <v>8</v>
      </c>
      <c r="E441" t="s">
        <v>8</v>
      </c>
      <c r="F441" t="s">
        <v>1086</v>
      </c>
      <c r="G441" t="s">
        <v>1087</v>
      </c>
      <c r="H441" t="s">
        <v>1088</v>
      </c>
      <c r="I441" t="s">
        <v>1089</v>
      </c>
    </row>
    <row r="442" spans="1:9" x14ac:dyDescent="0.25">
      <c r="A442" s="1" t="str">
        <f>HYPERLINK("https://lynxcrm-apac--c.eu19.visual.force.com/0011i000001xmnHAAQ","Centre For Advanced Orthopaedics Pte Ltd")</f>
        <v>Centre For Advanced Orthopaedics Pte Ltd</v>
      </c>
      <c r="B442" t="s">
        <v>1090</v>
      </c>
      <c r="C442" t="s">
        <v>10</v>
      </c>
      <c r="D442" t="s">
        <v>8</v>
      </c>
      <c r="E442" t="s">
        <v>8</v>
      </c>
      <c r="F442" t="s">
        <v>377</v>
      </c>
      <c r="G442" t="s">
        <v>1091</v>
      </c>
      <c r="H442" t="s">
        <v>1092</v>
      </c>
      <c r="I442" t="s">
        <v>123</v>
      </c>
    </row>
    <row r="443" spans="1:9" x14ac:dyDescent="0.25">
      <c r="A443" s="1" t="str">
        <f>HYPERLINK("https://lynxcrm-apac--c.eu19.visual.force.com/0011i000001xnFNAAY","Centre for Kidney Disease")</f>
        <v>Centre for Kidney Disease</v>
      </c>
      <c r="B443" t="s">
        <v>1093</v>
      </c>
      <c r="C443" t="s">
        <v>10</v>
      </c>
      <c r="D443" t="s">
        <v>8</v>
      </c>
      <c r="E443" t="s">
        <v>8</v>
      </c>
      <c r="F443" t="s">
        <v>1094</v>
      </c>
      <c r="G443" t="s">
        <v>1095</v>
      </c>
      <c r="H443" t="s">
        <v>1095</v>
      </c>
      <c r="I443" t="s">
        <v>677</v>
      </c>
    </row>
    <row r="444" spans="1:9" x14ac:dyDescent="0.25">
      <c r="A444" s="1" t="str">
        <f>HYPERLINK("https://lynxcrm-apac--c.eu19.visual.force.com/0011i000001xnZkAAI","Centre For Kidney Diseases Pte Ltd")</f>
        <v>Centre For Kidney Diseases Pte Ltd</v>
      </c>
      <c r="B444" t="s">
        <v>1096</v>
      </c>
      <c r="C444" t="s">
        <v>10</v>
      </c>
      <c r="D444" t="s">
        <v>8</v>
      </c>
      <c r="E444" t="s">
        <v>8</v>
      </c>
      <c r="F444" t="s">
        <v>1094</v>
      </c>
      <c r="G444" t="s">
        <v>1095</v>
      </c>
      <c r="H444" t="s">
        <v>1097</v>
      </c>
      <c r="I444" t="s">
        <v>677</v>
      </c>
    </row>
    <row r="445" spans="1:9" x14ac:dyDescent="0.25">
      <c r="A445" s="1" t="str">
        <f>HYPERLINK("https://lynxcrm-apac--c.eu19.visual.force.com/0011i000001xn9jAAA","Centre For Orthopaedics And Hip And Knee Surgery")</f>
        <v>Centre For Orthopaedics And Hip And Knee Surgery</v>
      </c>
      <c r="B445" t="s">
        <v>1098</v>
      </c>
      <c r="C445" t="s">
        <v>10</v>
      </c>
      <c r="D445" t="s">
        <v>8</v>
      </c>
      <c r="E445" t="s">
        <v>8</v>
      </c>
      <c r="F445" t="s">
        <v>1099</v>
      </c>
      <c r="G445" t="s">
        <v>121</v>
      </c>
      <c r="H445" t="s">
        <v>1100</v>
      </c>
      <c r="I445" t="s">
        <v>123</v>
      </c>
    </row>
    <row r="446" spans="1:9" x14ac:dyDescent="0.25">
      <c r="A446" s="1" t="str">
        <f>HYPERLINK("https://lynxcrm-apac--c.eu19.visual.force.com/0011i000001xnIWAAY","Centre For Orthopaedics And Hip And Knee Surgery")</f>
        <v>Centre For Orthopaedics And Hip And Knee Surgery</v>
      </c>
      <c r="B446" t="s">
        <v>1101</v>
      </c>
      <c r="C446" t="s">
        <v>10</v>
      </c>
      <c r="D446" t="s">
        <v>8</v>
      </c>
      <c r="E446" t="s">
        <v>8</v>
      </c>
      <c r="F446" t="s">
        <v>1102</v>
      </c>
      <c r="G446" t="s">
        <v>121</v>
      </c>
      <c r="H446" t="s">
        <v>121</v>
      </c>
      <c r="I446" t="s">
        <v>123</v>
      </c>
    </row>
    <row r="447" spans="1:9" x14ac:dyDescent="0.25">
      <c r="A447" s="1" t="str">
        <f>HYPERLINK("https://lynxcrm-apac--c.eu19.visual.force.com/0011i000001xnIoAAI","Centre For Orthopaedics And Hip And Knee Surgery")</f>
        <v>Centre For Orthopaedics And Hip And Knee Surgery</v>
      </c>
      <c r="B447" t="s">
        <v>1103</v>
      </c>
      <c r="C447" t="s">
        <v>10</v>
      </c>
      <c r="D447" t="s">
        <v>8</v>
      </c>
      <c r="E447" t="s">
        <v>8</v>
      </c>
      <c r="F447" t="s">
        <v>1102</v>
      </c>
      <c r="G447" t="s">
        <v>121</v>
      </c>
      <c r="H447" t="s">
        <v>121</v>
      </c>
      <c r="I447" t="s">
        <v>123</v>
      </c>
    </row>
    <row r="448" spans="1:9" x14ac:dyDescent="0.25">
      <c r="A448" s="1" t="str">
        <f>HYPERLINK("https://lynxcrm-apac--c.eu19.visual.force.com/0011i000001xnIJAAY","Centre Orthopaedic &amp; HIP")</f>
        <v>Centre Orthopaedic &amp; HIP</v>
      </c>
      <c r="B448" t="s">
        <v>1104</v>
      </c>
      <c r="C448" t="s">
        <v>10</v>
      </c>
      <c r="D448" t="s">
        <v>8</v>
      </c>
      <c r="E448" t="s">
        <v>8</v>
      </c>
      <c r="F448" t="s">
        <v>1102</v>
      </c>
      <c r="G448" t="s">
        <v>1105</v>
      </c>
      <c r="H448" t="s">
        <v>1105</v>
      </c>
      <c r="I448" t="s">
        <v>123</v>
      </c>
    </row>
    <row r="449" spans="1:9" x14ac:dyDescent="0.25">
      <c r="A449" s="1" t="str">
        <f>HYPERLINK("https://lynxcrm-apac--c.eu19.visual.force.com/0011i00000nIBENAA4","Cesar, Benedict")</f>
        <v>Cesar, Benedict</v>
      </c>
      <c r="B449" t="s">
        <v>1106</v>
      </c>
      <c r="C449" t="s">
        <v>28</v>
      </c>
      <c r="D449" t="s">
        <v>8</v>
      </c>
      <c r="E449" t="s">
        <v>8</v>
      </c>
      <c r="F449" t="s">
        <v>257</v>
      </c>
      <c r="G449" t="s">
        <v>258</v>
      </c>
      <c r="H449" t="s">
        <v>259</v>
      </c>
      <c r="I449" t="s">
        <v>260</v>
      </c>
    </row>
    <row r="450" spans="1:9" x14ac:dyDescent="0.25">
      <c r="A450" s="1" t="str">
        <f>HYPERLINK("https://lynxcrm-apac--c.eu19.visual.force.com/0011i00000nIBENAA4","Cesar, Benedict")</f>
        <v>Cesar, Benedict</v>
      </c>
      <c r="B450" t="s">
        <v>1106</v>
      </c>
      <c r="C450" t="s">
        <v>28</v>
      </c>
      <c r="D450" t="s">
        <v>261</v>
      </c>
      <c r="E450" t="s">
        <v>8</v>
      </c>
      <c r="F450" t="s">
        <v>257</v>
      </c>
      <c r="G450" t="s">
        <v>258</v>
      </c>
      <c r="H450" t="s">
        <v>259</v>
      </c>
      <c r="I450" t="s">
        <v>260</v>
      </c>
    </row>
    <row r="451" spans="1:9" x14ac:dyDescent="0.25">
      <c r="A451" s="1" t="str">
        <f>HYPERLINK("https://lynxcrm-apac--c.eu19.visual.force.com/0011i000001xnQSAAY","C F Koh Women's Clinic &amp; Gynae-Oncology Surgery")</f>
        <v>C F Koh Women's Clinic &amp; Gynae-Oncology Surgery</v>
      </c>
      <c r="B451" t="s">
        <v>1107</v>
      </c>
      <c r="C451" t="s">
        <v>10</v>
      </c>
      <c r="D451" t="s">
        <v>8</v>
      </c>
      <c r="E451" t="s">
        <v>8</v>
      </c>
      <c r="F451" t="s">
        <v>373</v>
      </c>
      <c r="G451" t="s">
        <v>1108</v>
      </c>
      <c r="H451" t="s">
        <v>1109</v>
      </c>
      <c r="I451" t="s">
        <v>123</v>
      </c>
    </row>
    <row r="452" spans="1:9" x14ac:dyDescent="0.25">
      <c r="A452" s="1" t="str">
        <f>HYPERLINK("https://lynxcrm-apac--c.eu19.visual.force.com/0011i000001xobTAAQ","Cha, Yan Virabhak")</f>
        <v>Cha, Yan Virabhak</v>
      </c>
      <c r="B452" t="s">
        <v>1110</v>
      </c>
      <c r="C452" t="s">
        <v>28</v>
      </c>
      <c r="D452" t="s">
        <v>1111</v>
      </c>
      <c r="E452" t="s">
        <v>8</v>
      </c>
      <c r="F452" t="s">
        <v>1112</v>
      </c>
      <c r="G452" t="s">
        <v>1113</v>
      </c>
      <c r="H452" t="s">
        <v>1114</v>
      </c>
      <c r="I452" t="s">
        <v>1115</v>
      </c>
    </row>
    <row r="453" spans="1:9" x14ac:dyDescent="0.25">
      <c r="A453" s="1" t="str">
        <f>HYPERLINK("https://lynxcrm-apac--c.eu19.visual.force.com/0011i000001xoodAAA","Chai, Chung Cheen")</f>
        <v>Chai, Chung Cheen</v>
      </c>
      <c r="B453" t="s">
        <v>1116</v>
      </c>
      <c r="C453" t="s">
        <v>28</v>
      </c>
      <c r="D453" t="s">
        <v>429</v>
      </c>
      <c r="E453" t="s">
        <v>8</v>
      </c>
      <c r="F453" t="s">
        <v>429</v>
      </c>
      <c r="G453" t="s">
        <v>428</v>
      </c>
      <c r="H453" t="s">
        <v>428</v>
      </c>
      <c r="I453" t="s">
        <v>430</v>
      </c>
    </row>
    <row r="454" spans="1:9" x14ac:dyDescent="0.25">
      <c r="A454" s="1" t="str">
        <f>HYPERLINK("https://lynxcrm-apac--c.eu19.visual.force.com/0011i000001xoodAAA","Chai, Chung Cheen")</f>
        <v>Chai, Chung Cheen</v>
      </c>
      <c r="B454" t="s">
        <v>1116</v>
      </c>
      <c r="C454" t="s">
        <v>28</v>
      </c>
      <c r="D454" t="s">
        <v>429</v>
      </c>
      <c r="E454" t="s">
        <v>8</v>
      </c>
      <c r="F454" t="s">
        <v>444</v>
      </c>
      <c r="G454" t="s">
        <v>444</v>
      </c>
      <c r="H454" t="s">
        <v>8</v>
      </c>
      <c r="I454" t="s">
        <v>430</v>
      </c>
    </row>
    <row r="455" spans="1:9" x14ac:dyDescent="0.25">
      <c r="A455" s="1" t="str">
        <f>HYPERLINK("https://lynxcrm-apac--c.eu19.visual.force.com/0011i000001xoodAAA","Chai, Chung Cheen")</f>
        <v>Chai, Chung Cheen</v>
      </c>
      <c r="B455" t="s">
        <v>1116</v>
      </c>
      <c r="C455" t="s">
        <v>28</v>
      </c>
      <c r="D455" t="s">
        <v>429</v>
      </c>
      <c r="E455" t="s">
        <v>8</v>
      </c>
      <c r="F455" t="s">
        <v>445</v>
      </c>
      <c r="G455" t="s">
        <v>428</v>
      </c>
      <c r="H455" t="s">
        <v>428</v>
      </c>
      <c r="I455" t="s">
        <v>430</v>
      </c>
    </row>
    <row r="456" spans="1:9" x14ac:dyDescent="0.25">
      <c r="A456" s="1" t="str">
        <f>HYPERLINK("https://lynxcrm-apac--c.eu19.visual.force.com/0011i000001xoodAAA","Chai, Chung Cheen")</f>
        <v>Chai, Chung Cheen</v>
      </c>
      <c r="B456" t="s">
        <v>1116</v>
      </c>
      <c r="C456" t="s">
        <v>28</v>
      </c>
      <c r="D456" t="s">
        <v>429</v>
      </c>
      <c r="E456" t="s">
        <v>8</v>
      </c>
      <c r="F456" t="s">
        <v>444</v>
      </c>
      <c r="G456" t="s">
        <v>444</v>
      </c>
      <c r="H456" t="s">
        <v>8</v>
      </c>
      <c r="I456" t="s">
        <v>8</v>
      </c>
    </row>
    <row r="457" spans="1:9" x14ac:dyDescent="0.25">
      <c r="A457" s="1" t="str">
        <f>HYPERLINK("https://lynxcrm-apac--c.eu19.visual.force.com/0011i000001xogCAAQ","Chai, Chwan")</f>
        <v>Chai, Chwan</v>
      </c>
      <c r="B457" t="s">
        <v>1117</v>
      </c>
      <c r="C457" t="s">
        <v>28</v>
      </c>
      <c r="D457" t="s">
        <v>1118</v>
      </c>
      <c r="E457" t="s">
        <v>8</v>
      </c>
      <c r="F457" t="s">
        <v>1119</v>
      </c>
      <c r="G457" t="s">
        <v>1120</v>
      </c>
      <c r="H457" t="s">
        <v>1120</v>
      </c>
      <c r="I457" t="s">
        <v>1121</v>
      </c>
    </row>
    <row r="458" spans="1:9" x14ac:dyDescent="0.25">
      <c r="A458" s="1" t="str">
        <f>HYPERLINK("https://lynxcrm-apac--c.eu19.visual.force.com/0011i00000ugBCSAA2","Chai, Hui Min")</f>
        <v>Chai, Hui Min</v>
      </c>
      <c r="B458" t="s">
        <v>1122</v>
      </c>
      <c r="C458" t="s">
        <v>28</v>
      </c>
      <c r="D458" t="s">
        <v>8</v>
      </c>
      <c r="E458" t="s">
        <v>8</v>
      </c>
      <c r="F458" t="s">
        <v>1123</v>
      </c>
      <c r="G458" t="s">
        <v>1123</v>
      </c>
      <c r="H458" t="s">
        <v>1124</v>
      </c>
      <c r="I458" t="s">
        <v>703</v>
      </c>
    </row>
    <row r="459" spans="1:9" x14ac:dyDescent="0.25">
      <c r="A459" s="1" t="str">
        <f>HYPERLINK("https://lynxcrm-apac--c.eu19.visual.force.com/0011i00000ugBCSAA2","Chai, Hui Min")</f>
        <v>Chai, Hui Min</v>
      </c>
      <c r="B459" t="s">
        <v>1122</v>
      </c>
      <c r="C459" t="s">
        <v>28</v>
      </c>
      <c r="D459" t="s">
        <v>701</v>
      </c>
      <c r="E459" t="s">
        <v>8</v>
      </c>
      <c r="F459" t="s">
        <v>1123</v>
      </c>
      <c r="G459" t="s">
        <v>1123</v>
      </c>
      <c r="H459" t="s">
        <v>1124</v>
      </c>
      <c r="I459" t="s">
        <v>703</v>
      </c>
    </row>
    <row r="460" spans="1:9" x14ac:dyDescent="0.25">
      <c r="A460" s="1" t="str">
        <f>HYPERLINK("https://lynxcrm-apac--c.eu19.visual.force.com/0011i000001xnm8AAA","Chai, Joon Yi")</f>
        <v>Chai, Joon Yi</v>
      </c>
      <c r="B460" t="s">
        <v>1125</v>
      </c>
      <c r="C460" t="s">
        <v>28</v>
      </c>
      <c r="D460" t="s">
        <v>1126</v>
      </c>
      <c r="E460" t="s">
        <v>8</v>
      </c>
      <c r="F460" t="s">
        <v>1127</v>
      </c>
      <c r="G460" t="s">
        <v>1128</v>
      </c>
      <c r="H460" t="s">
        <v>1128</v>
      </c>
      <c r="I460" t="s">
        <v>996</v>
      </c>
    </row>
    <row r="461" spans="1:9" x14ac:dyDescent="0.25">
      <c r="A461" s="1" t="str">
        <f>HYPERLINK("https://lynxcrm-apac--c.eu19.visual.force.com/0011i000001xoGoAAI","Chai, Ping")</f>
        <v>Chai, Ping</v>
      </c>
      <c r="B461" t="s">
        <v>1129</v>
      </c>
      <c r="C461" t="s">
        <v>28</v>
      </c>
      <c r="D461" t="s">
        <v>429</v>
      </c>
      <c r="E461" t="s">
        <v>8</v>
      </c>
      <c r="F461" t="s">
        <v>234</v>
      </c>
      <c r="G461" t="s">
        <v>428</v>
      </c>
      <c r="H461" t="s">
        <v>428</v>
      </c>
      <c r="I461" t="s">
        <v>430</v>
      </c>
    </row>
    <row r="462" spans="1:9" x14ac:dyDescent="0.25">
      <c r="A462" s="1" t="str">
        <f>HYPERLINK("https://lynxcrm-apac--c.eu19.visual.force.com/0011i000001xoGoAAI","Chai, Ping")</f>
        <v>Chai, Ping</v>
      </c>
      <c r="B462" t="s">
        <v>1129</v>
      </c>
      <c r="C462" t="s">
        <v>28</v>
      </c>
      <c r="D462" t="s">
        <v>429</v>
      </c>
      <c r="E462" t="s">
        <v>8</v>
      </c>
      <c r="F462" t="s">
        <v>429</v>
      </c>
      <c r="G462" t="s">
        <v>428</v>
      </c>
      <c r="H462" t="s">
        <v>428</v>
      </c>
      <c r="I462" t="s">
        <v>430</v>
      </c>
    </row>
    <row r="463" spans="1:9" x14ac:dyDescent="0.25">
      <c r="A463" s="1" t="str">
        <f>HYPERLINK("https://lynxcrm-apac--c.eu19.visual.force.com/0011i000001xmuvAAA","Chaim Clinic")</f>
        <v>Chaim Clinic</v>
      </c>
      <c r="B463" t="s">
        <v>1130</v>
      </c>
      <c r="C463" t="s">
        <v>10</v>
      </c>
      <c r="D463" t="s">
        <v>8</v>
      </c>
      <c r="E463" t="s">
        <v>8</v>
      </c>
      <c r="F463" t="s">
        <v>1131</v>
      </c>
      <c r="G463" t="s">
        <v>1132</v>
      </c>
      <c r="H463" t="s">
        <v>1133</v>
      </c>
      <c r="I463" t="s">
        <v>1134</v>
      </c>
    </row>
    <row r="464" spans="1:9" x14ac:dyDescent="0.25">
      <c r="A464" s="1" t="str">
        <f>HYPERLINK("https://lynxcrm-apac--c.eu19.visual.force.com/0011i000001xodlAAA","Chan, Beng Kuen")</f>
        <v>Chan, Beng Kuen</v>
      </c>
      <c r="B464" t="s">
        <v>1135</v>
      </c>
      <c r="C464" t="s">
        <v>28</v>
      </c>
      <c r="D464" t="s">
        <v>1136</v>
      </c>
      <c r="E464" t="s">
        <v>8</v>
      </c>
      <c r="F464" t="s">
        <v>1137</v>
      </c>
      <c r="G464" t="s">
        <v>1138</v>
      </c>
      <c r="H464" t="s">
        <v>1139</v>
      </c>
      <c r="I464" t="s">
        <v>1140</v>
      </c>
    </row>
    <row r="465" spans="1:9" x14ac:dyDescent="0.25">
      <c r="A465" s="1" t="str">
        <f>HYPERLINK("https://lynxcrm-apac--c.eu19.visual.force.com/0011i000001xoSKAAY","Chan, Catherine")</f>
        <v>Chan, Catherine</v>
      </c>
      <c r="B465" t="s">
        <v>1141</v>
      </c>
      <c r="C465" t="s">
        <v>28</v>
      </c>
      <c r="D465" t="s">
        <v>516</v>
      </c>
      <c r="E465" t="s">
        <v>8</v>
      </c>
      <c r="F465" t="s">
        <v>517</v>
      </c>
      <c r="G465" t="s">
        <v>517</v>
      </c>
      <c r="H465" t="s">
        <v>8</v>
      </c>
      <c r="I465" t="s">
        <v>518</v>
      </c>
    </row>
    <row r="466" spans="1:9" x14ac:dyDescent="0.25">
      <c r="A466" s="1" t="str">
        <f>HYPERLINK("https://lynxcrm-apac--c.eu19.visual.force.com/0011i000001xoaGAAQ","Chan, Cathryn")</f>
        <v>Chan, Cathryn</v>
      </c>
      <c r="B466" t="s">
        <v>1142</v>
      </c>
      <c r="C466" t="s">
        <v>28</v>
      </c>
      <c r="D466" t="s">
        <v>1143</v>
      </c>
      <c r="E466" t="s">
        <v>8</v>
      </c>
      <c r="F466" t="s">
        <v>1144</v>
      </c>
      <c r="G466" t="s">
        <v>1145</v>
      </c>
      <c r="H466" t="s">
        <v>1145</v>
      </c>
      <c r="I466" t="s">
        <v>1146</v>
      </c>
    </row>
    <row r="467" spans="1:9" x14ac:dyDescent="0.25">
      <c r="A467" s="1" t="str">
        <f>HYPERLINK("https://lynxcrm-apac--c.eu19.visual.force.com/0011i000001xodKAAQ","Chan, Cheh Miun")</f>
        <v>Chan, Cheh Miun</v>
      </c>
      <c r="B467" t="s">
        <v>1147</v>
      </c>
      <c r="C467" t="s">
        <v>28</v>
      </c>
      <c r="D467" t="s">
        <v>1148</v>
      </c>
      <c r="E467" t="s">
        <v>8</v>
      </c>
      <c r="F467" t="s">
        <v>1149</v>
      </c>
      <c r="G467" t="s">
        <v>1150</v>
      </c>
      <c r="H467" t="s">
        <v>1150</v>
      </c>
      <c r="I467" t="s">
        <v>1151</v>
      </c>
    </row>
    <row r="468" spans="1:9" x14ac:dyDescent="0.25">
      <c r="A468" s="1" t="str">
        <f>HYPERLINK("https://lynxcrm-apac--c.eu19.visual.force.com/0011i000001xoijAAA","Chan, Cheow Ju")</f>
        <v>Chan, Cheow Ju</v>
      </c>
      <c r="B468" t="s">
        <v>1152</v>
      </c>
      <c r="C468" t="s">
        <v>28</v>
      </c>
      <c r="D468" t="s">
        <v>1153</v>
      </c>
      <c r="E468" t="s">
        <v>8</v>
      </c>
      <c r="F468" t="s">
        <v>1063</v>
      </c>
      <c r="G468" t="s">
        <v>1064</v>
      </c>
      <c r="H468" t="s">
        <v>1064</v>
      </c>
      <c r="I468" t="s">
        <v>1065</v>
      </c>
    </row>
    <row r="469" spans="1:9" x14ac:dyDescent="0.25">
      <c r="A469" s="1" t="str">
        <f>HYPERLINK("https://lynxcrm-apac--c.eu19.visual.force.com/0011i000001xoj3AAA","Chan, Chew Lang Charles")</f>
        <v>Chan, Chew Lang Charles</v>
      </c>
      <c r="B469" t="s">
        <v>1154</v>
      </c>
      <c r="C469" t="s">
        <v>28</v>
      </c>
      <c r="D469" t="s">
        <v>1155</v>
      </c>
      <c r="E469" t="s">
        <v>8</v>
      </c>
      <c r="F469" t="s">
        <v>1156</v>
      </c>
      <c r="G469" t="s">
        <v>1157</v>
      </c>
      <c r="H469" t="s">
        <v>1157</v>
      </c>
      <c r="I469" t="s">
        <v>1158</v>
      </c>
    </row>
    <row r="470" spans="1:9" x14ac:dyDescent="0.25">
      <c r="A470" s="1" t="str">
        <f>HYPERLINK("https://lynxcrm-apac--c.eu19.visual.force.com/0011i000001xoabAAA","Chan, Ching Wan")</f>
        <v>Chan, Ching Wan</v>
      </c>
      <c r="B470" t="s">
        <v>1159</v>
      </c>
      <c r="C470" t="s">
        <v>28</v>
      </c>
      <c r="D470" t="s">
        <v>366</v>
      </c>
      <c r="E470" t="s">
        <v>8</v>
      </c>
      <c r="F470" t="s">
        <v>252</v>
      </c>
      <c r="G470" t="s">
        <v>251</v>
      </c>
      <c r="H470" t="s">
        <v>251</v>
      </c>
      <c r="I470" t="s">
        <v>253</v>
      </c>
    </row>
    <row r="471" spans="1:9" x14ac:dyDescent="0.25">
      <c r="A471" s="1" t="str">
        <f>HYPERLINK("https://lynxcrm-apac--c.eu19.visual.force.com/0011i000001xoabAAA","Chan, Ching Wan")</f>
        <v>Chan, Ching Wan</v>
      </c>
      <c r="B471" t="s">
        <v>1159</v>
      </c>
      <c r="C471" t="s">
        <v>28</v>
      </c>
      <c r="D471" t="s">
        <v>251</v>
      </c>
      <c r="E471" t="s">
        <v>8</v>
      </c>
      <c r="F471" t="s">
        <v>251</v>
      </c>
      <c r="G471" t="s">
        <v>252</v>
      </c>
      <c r="H471" t="s">
        <v>252</v>
      </c>
      <c r="I471" t="s">
        <v>253</v>
      </c>
    </row>
    <row r="472" spans="1:9" x14ac:dyDescent="0.25">
      <c r="A472" s="1" t="str">
        <f>HYPERLINK("https://lynxcrm-apac--c.eu19.visual.force.com/0011i00000Xf1IgAAJ","Chan, Daniel")</f>
        <v>Chan, Daniel</v>
      </c>
      <c r="B472" t="s">
        <v>1160</v>
      </c>
      <c r="C472" t="s">
        <v>28</v>
      </c>
      <c r="D472" t="s">
        <v>1161</v>
      </c>
      <c r="E472" t="s">
        <v>8</v>
      </c>
      <c r="F472" t="s">
        <v>1162</v>
      </c>
      <c r="G472" t="s">
        <v>388</v>
      </c>
      <c r="H472" t="s">
        <v>8</v>
      </c>
      <c r="I472" t="s">
        <v>123</v>
      </c>
    </row>
    <row r="473" spans="1:9" x14ac:dyDescent="0.25">
      <c r="A473" s="1" t="str">
        <f>HYPERLINK("https://lynxcrm-apac--c.eu19.visual.force.com/0011i00000oXwBTAA0","Chan, Elizabeth")</f>
        <v>Chan, Elizabeth</v>
      </c>
      <c r="B473" t="s">
        <v>1163</v>
      </c>
      <c r="C473" t="s">
        <v>28</v>
      </c>
      <c r="D473" t="s">
        <v>1164</v>
      </c>
      <c r="E473" t="s">
        <v>8</v>
      </c>
      <c r="F473" t="s">
        <v>1165</v>
      </c>
      <c r="G473" t="s">
        <v>1166</v>
      </c>
      <c r="H473" t="s">
        <v>1166</v>
      </c>
      <c r="I473" t="s">
        <v>1167</v>
      </c>
    </row>
    <row r="474" spans="1:9" x14ac:dyDescent="0.25">
      <c r="A474" s="1" t="str">
        <f>HYPERLINK("https://lynxcrm-apac--c.eu19.visual.force.com/0011i00000vHmZFAA0","Chan, Eric")</f>
        <v>Chan, Eric</v>
      </c>
      <c r="B474" t="s">
        <v>1168</v>
      </c>
      <c r="C474" t="s">
        <v>28</v>
      </c>
      <c r="D474" t="s">
        <v>8</v>
      </c>
      <c r="E474" t="s">
        <v>8</v>
      </c>
      <c r="F474" t="s">
        <v>393</v>
      </c>
      <c r="G474" t="s">
        <v>394</v>
      </c>
      <c r="H474" t="s">
        <v>395</v>
      </c>
      <c r="I474" t="s">
        <v>396</v>
      </c>
    </row>
    <row r="475" spans="1:9" x14ac:dyDescent="0.25">
      <c r="A475" s="1" t="str">
        <f>HYPERLINK("https://lynxcrm-apac--c.eu19.visual.force.com/0011i00000vHmZFAA0","Chan, Eric")</f>
        <v>Chan, Eric</v>
      </c>
      <c r="B475" t="s">
        <v>1168</v>
      </c>
      <c r="C475" t="s">
        <v>28</v>
      </c>
      <c r="D475" t="s">
        <v>392</v>
      </c>
      <c r="E475" t="s">
        <v>8</v>
      </c>
      <c r="F475" t="s">
        <v>393</v>
      </c>
      <c r="G475" t="s">
        <v>394</v>
      </c>
      <c r="H475" t="s">
        <v>395</v>
      </c>
      <c r="I475" t="s">
        <v>396</v>
      </c>
    </row>
    <row r="476" spans="1:9" x14ac:dyDescent="0.25">
      <c r="A476" s="1" t="str">
        <f>HYPERLINK("https://lynxcrm-apac--c.eu19.visual.force.com/0011i000001xojJAAQ","Chan, Foong Lien Elaine")</f>
        <v>Chan, Foong Lien Elaine</v>
      </c>
      <c r="B476" t="s">
        <v>1169</v>
      </c>
      <c r="C476" t="s">
        <v>28</v>
      </c>
      <c r="D476" t="s">
        <v>1170</v>
      </c>
      <c r="E476" t="s">
        <v>8</v>
      </c>
      <c r="F476" t="s">
        <v>1171</v>
      </c>
      <c r="G476" t="s">
        <v>1172</v>
      </c>
      <c r="H476" t="s">
        <v>1172</v>
      </c>
      <c r="I476" t="s">
        <v>1173</v>
      </c>
    </row>
    <row r="477" spans="1:9" x14ac:dyDescent="0.25">
      <c r="A477" s="1" t="str">
        <f>HYPERLINK("https://lynxcrm-apac--c.eu19.visual.force.com/0011i000001xnzgAAA","Chan, Gek Suan Yvonne")</f>
        <v>Chan, Gek Suan Yvonne</v>
      </c>
      <c r="B477" t="s">
        <v>1174</v>
      </c>
      <c r="C477" t="s">
        <v>28</v>
      </c>
      <c r="D477" t="s">
        <v>1175</v>
      </c>
      <c r="E477" t="s">
        <v>8</v>
      </c>
      <c r="F477" t="s">
        <v>263</v>
      </c>
      <c r="G477" t="s">
        <v>1176</v>
      </c>
      <c r="H477" t="s">
        <v>1177</v>
      </c>
      <c r="I477" t="s">
        <v>266</v>
      </c>
    </row>
    <row r="478" spans="1:9" x14ac:dyDescent="0.25">
      <c r="A478" s="1" t="str">
        <f>HYPERLINK("https://lynxcrm-apac--c.eu19.visual.force.com/0011i000001xoC2AAI","Chan, Heang Kng Calvin")</f>
        <v>Chan, Heang Kng Calvin</v>
      </c>
      <c r="B478" t="s">
        <v>1178</v>
      </c>
      <c r="C478" t="s">
        <v>28</v>
      </c>
      <c r="D478" t="s">
        <v>1179</v>
      </c>
      <c r="E478" t="s">
        <v>8</v>
      </c>
      <c r="F478" t="s">
        <v>1016</v>
      </c>
      <c r="G478" t="s">
        <v>1017</v>
      </c>
      <c r="H478" t="s">
        <v>1018</v>
      </c>
      <c r="I478" t="s">
        <v>1019</v>
      </c>
    </row>
    <row r="479" spans="1:9" x14ac:dyDescent="0.25">
      <c r="A479" s="1" t="str">
        <f>HYPERLINK("https://lynxcrm-apac--c.eu19.visual.force.com/0011i00000XhmYVAAZ","Chan, Herng Nieng")</f>
        <v>Chan, Herng Nieng</v>
      </c>
      <c r="B479" t="s">
        <v>1180</v>
      </c>
      <c r="C479" t="s">
        <v>28</v>
      </c>
      <c r="D479" t="s">
        <v>251</v>
      </c>
      <c r="E479" t="s">
        <v>8</v>
      </c>
      <c r="F479" t="s">
        <v>251</v>
      </c>
      <c r="G479" t="s">
        <v>252</v>
      </c>
      <c r="H479" t="s">
        <v>252</v>
      </c>
      <c r="I479" t="s">
        <v>253</v>
      </c>
    </row>
    <row r="480" spans="1:9" x14ac:dyDescent="0.25">
      <c r="A480" s="1" t="str">
        <f>HYPERLINK("https://lynxcrm-apac--c.eu19.visual.force.com/0011i00000XhmYVAAZ","Chan, Herng Nieng")</f>
        <v>Chan, Herng Nieng</v>
      </c>
      <c r="B480" t="s">
        <v>1180</v>
      </c>
      <c r="C480" t="s">
        <v>28</v>
      </c>
      <c r="D480" t="s">
        <v>1181</v>
      </c>
      <c r="E480" t="s">
        <v>8</v>
      </c>
      <c r="F480" t="s">
        <v>69</v>
      </c>
      <c r="G480" t="s">
        <v>1040</v>
      </c>
      <c r="H480" t="s">
        <v>1040</v>
      </c>
      <c r="I480" t="s">
        <v>67</v>
      </c>
    </row>
    <row r="481" spans="1:9" x14ac:dyDescent="0.25">
      <c r="A481" s="1" t="str">
        <f>HYPERLINK("https://lynxcrm-apac--c.eu19.visual.force.com/0011i000001xnzlAAA","Chan, Hsiang Sui")</f>
        <v>Chan, Hsiang Sui</v>
      </c>
      <c r="B481" t="s">
        <v>1182</v>
      </c>
      <c r="C481" t="s">
        <v>28</v>
      </c>
      <c r="D481" t="s">
        <v>1183</v>
      </c>
      <c r="E481" t="s">
        <v>8</v>
      </c>
      <c r="F481" t="s">
        <v>469</v>
      </c>
      <c r="G481" t="s">
        <v>1184</v>
      </c>
      <c r="H481" t="s">
        <v>466</v>
      </c>
      <c r="I481" t="s">
        <v>466</v>
      </c>
    </row>
    <row r="482" spans="1:9" x14ac:dyDescent="0.25">
      <c r="A482" s="1" t="str">
        <f>HYPERLINK("https://lynxcrm-apac--c.eu19.visual.force.com/0011i000001xnzlAAA","Chan, Hsiang Sui")</f>
        <v>Chan, Hsiang Sui</v>
      </c>
      <c r="B482" t="s">
        <v>1182</v>
      </c>
      <c r="C482" t="s">
        <v>28</v>
      </c>
      <c r="D482" t="s">
        <v>8</v>
      </c>
      <c r="E482" t="s">
        <v>8</v>
      </c>
      <c r="F482" t="s">
        <v>469</v>
      </c>
      <c r="G482" t="s">
        <v>1185</v>
      </c>
      <c r="H482" t="s">
        <v>466</v>
      </c>
      <c r="I482" t="s">
        <v>466</v>
      </c>
    </row>
    <row r="483" spans="1:9" x14ac:dyDescent="0.25">
      <c r="A483" s="1" t="str">
        <f>HYPERLINK("https://lynxcrm-apac--c.eu19.visual.force.com/0011i000001xoklAAA","Chan, Hsiu Mei")</f>
        <v>Chan, Hsiu Mei</v>
      </c>
      <c r="B483" t="s">
        <v>1186</v>
      </c>
      <c r="C483" t="s">
        <v>28</v>
      </c>
      <c r="D483" t="s">
        <v>1187</v>
      </c>
      <c r="E483" t="s">
        <v>8</v>
      </c>
      <c r="F483" t="s">
        <v>1188</v>
      </c>
      <c r="G483" t="s">
        <v>1189</v>
      </c>
      <c r="H483" t="s">
        <v>1190</v>
      </c>
      <c r="I483" t="s">
        <v>1191</v>
      </c>
    </row>
    <row r="484" spans="1:9" x14ac:dyDescent="0.25">
      <c r="A484" s="1" t="str">
        <f>HYPERLINK("https://lynxcrm-apac--c.eu19.visual.force.com/0011i000001xoZMAAY","Chan, Hui Kwan Diana")</f>
        <v>Chan, Hui Kwan Diana</v>
      </c>
      <c r="B484" t="s">
        <v>1192</v>
      </c>
      <c r="C484" t="s">
        <v>28</v>
      </c>
      <c r="D484" t="s">
        <v>701</v>
      </c>
      <c r="E484" t="s">
        <v>8</v>
      </c>
      <c r="F484" t="s">
        <v>1123</v>
      </c>
      <c r="G484" t="s">
        <v>1123</v>
      </c>
      <c r="H484" t="s">
        <v>1124</v>
      </c>
      <c r="I484" t="s">
        <v>703</v>
      </c>
    </row>
    <row r="485" spans="1:9" x14ac:dyDescent="0.25">
      <c r="A485" s="1" t="str">
        <f>HYPERLINK("https://lynxcrm-apac--c.eu19.visual.force.com/0011i000001xoZMAAY","Chan, Hui Kwan Diana")</f>
        <v>Chan, Hui Kwan Diana</v>
      </c>
      <c r="B485" t="s">
        <v>1192</v>
      </c>
      <c r="C485" t="s">
        <v>28</v>
      </c>
      <c r="D485" t="s">
        <v>701</v>
      </c>
      <c r="E485" t="s">
        <v>8</v>
      </c>
      <c r="F485" t="s">
        <v>1123</v>
      </c>
      <c r="G485" t="s">
        <v>1123</v>
      </c>
      <c r="H485" t="s">
        <v>8</v>
      </c>
      <c r="I485" t="s">
        <v>703</v>
      </c>
    </row>
    <row r="486" spans="1:9" x14ac:dyDescent="0.25">
      <c r="A486" s="1" t="str">
        <f>HYPERLINK("https://lynxcrm-apac--c.eu19.visual.force.com/0011i000001xnkcAAA","Chan, Ivan")</f>
        <v>Chan, Ivan</v>
      </c>
      <c r="B486" t="s">
        <v>1193</v>
      </c>
      <c r="C486" t="s">
        <v>28</v>
      </c>
      <c r="D486" t="s">
        <v>1194</v>
      </c>
      <c r="E486" t="s">
        <v>8</v>
      </c>
      <c r="F486" t="s">
        <v>1195</v>
      </c>
      <c r="G486" t="s">
        <v>1196</v>
      </c>
      <c r="H486" t="s">
        <v>1196</v>
      </c>
      <c r="I486" t="s">
        <v>1197</v>
      </c>
    </row>
    <row r="487" spans="1:9" x14ac:dyDescent="0.25">
      <c r="A487" s="1" t="str">
        <f>HYPERLINK("https://lynxcrm-apac--c.eu19.visual.force.com/0011i000001xomaAAA","Chan, Kay Heem")</f>
        <v>Chan, Kay Heem</v>
      </c>
      <c r="B487" t="s">
        <v>1198</v>
      </c>
      <c r="C487" t="s">
        <v>28</v>
      </c>
      <c r="D487" t="s">
        <v>1199</v>
      </c>
      <c r="E487" t="s">
        <v>8</v>
      </c>
      <c r="F487" t="s">
        <v>1200</v>
      </c>
      <c r="G487" t="s">
        <v>1201</v>
      </c>
      <c r="H487" t="s">
        <v>1201</v>
      </c>
      <c r="I487" t="s">
        <v>1202</v>
      </c>
    </row>
    <row r="488" spans="1:9" x14ac:dyDescent="0.25">
      <c r="A488" s="1" t="str">
        <f>HYPERLINK("https://lynxcrm-apac--c.eu19.visual.force.com/0011i000001xomsAAA","Chan, Khye Meng")</f>
        <v>Chan, Khye Meng</v>
      </c>
      <c r="B488" t="s">
        <v>1203</v>
      </c>
      <c r="C488" t="s">
        <v>28</v>
      </c>
      <c r="D488" t="s">
        <v>1204</v>
      </c>
      <c r="E488" t="s">
        <v>8</v>
      </c>
      <c r="F488" t="s">
        <v>1205</v>
      </c>
      <c r="G488" t="s">
        <v>1206</v>
      </c>
      <c r="H488" t="s">
        <v>1207</v>
      </c>
      <c r="I488" t="s">
        <v>1208</v>
      </c>
    </row>
    <row r="489" spans="1:9" x14ac:dyDescent="0.25">
      <c r="A489" s="1" t="str">
        <f>HYPERLINK("https://lynxcrm-apac--c.eu19.visual.force.com/0011i000001xnzoAAA","Chan, Kin Ming")</f>
        <v>Chan, Kin Ming</v>
      </c>
      <c r="B489" t="s">
        <v>1209</v>
      </c>
      <c r="C489" t="s">
        <v>28</v>
      </c>
      <c r="D489" t="s">
        <v>1210</v>
      </c>
      <c r="E489" t="s">
        <v>8</v>
      </c>
      <c r="F489" t="s">
        <v>69</v>
      </c>
      <c r="G489" t="s">
        <v>1211</v>
      </c>
      <c r="H489" t="s">
        <v>1212</v>
      </c>
      <c r="I489" t="s">
        <v>67</v>
      </c>
    </row>
    <row r="490" spans="1:9" x14ac:dyDescent="0.25">
      <c r="A490" s="1" t="str">
        <f>HYPERLINK("https://lynxcrm-apac--c.eu19.visual.force.com/0011i000001xnvFAAQ","Chan, Kok Weng")</f>
        <v>Chan, Kok Weng</v>
      </c>
      <c r="B490" t="s">
        <v>1213</v>
      </c>
      <c r="C490" t="s">
        <v>28</v>
      </c>
      <c r="D490" t="s">
        <v>1214</v>
      </c>
      <c r="E490" t="s">
        <v>8</v>
      </c>
      <c r="F490" t="s">
        <v>1215</v>
      </c>
      <c r="G490" t="s">
        <v>1216</v>
      </c>
      <c r="H490" t="s">
        <v>1216</v>
      </c>
      <c r="I490" t="s">
        <v>1217</v>
      </c>
    </row>
    <row r="491" spans="1:9" x14ac:dyDescent="0.25">
      <c r="A491" s="1" t="str">
        <f>HYPERLINK("https://lynxcrm-apac--c.eu19.visual.force.com/0011i000001xontAAA","Chan, Kok Yew")</f>
        <v>Chan, Kok Yew</v>
      </c>
      <c r="B491" t="s">
        <v>1218</v>
      </c>
      <c r="C491" t="s">
        <v>28</v>
      </c>
      <c r="D491" t="s">
        <v>1219</v>
      </c>
      <c r="E491" t="s">
        <v>8</v>
      </c>
      <c r="F491" t="s">
        <v>1220</v>
      </c>
      <c r="G491" t="s">
        <v>1221</v>
      </c>
      <c r="H491" t="s">
        <v>1221</v>
      </c>
      <c r="I491" t="s">
        <v>1222</v>
      </c>
    </row>
    <row r="492" spans="1:9" x14ac:dyDescent="0.25">
      <c r="A492" s="1" t="str">
        <f>HYPERLINK("https://lynxcrm-apac--c.eu19.visual.force.com/0011i000001xoI0AAI","Chan, Koo Hui")</f>
        <v>Chan, Koo Hui</v>
      </c>
      <c r="B492" t="s">
        <v>1223</v>
      </c>
      <c r="C492" t="s">
        <v>28</v>
      </c>
      <c r="D492" t="s">
        <v>429</v>
      </c>
      <c r="E492" t="s">
        <v>8</v>
      </c>
      <c r="F492" t="s">
        <v>429</v>
      </c>
      <c r="G492" t="s">
        <v>428</v>
      </c>
      <c r="H492" t="s">
        <v>428</v>
      </c>
      <c r="I492" t="s">
        <v>430</v>
      </c>
    </row>
    <row r="493" spans="1:9" x14ac:dyDescent="0.25">
      <c r="A493" s="1" t="str">
        <f>HYPERLINK("https://lynxcrm-apac--c.eu19.visual.force.com/0011i000001xoI0AAI","Chan, Koo Hui")</f>
        <v>Chan, Koo Hui</v>
      </c>
      <c r="B493" t="s">
        <v>1223</v>
      </c>
      <c r="C493" t="s">
        <v>28</v>
      </c>
      <c r="D493" t="s">
        <v>429</v>
      </c>
      <c r="E493" t="s">
        <v>8</v>
      </c>
      <c r="F493" t="s">
        <v>444</v>
      </c>
      <c r="G493" t="s">
        <v>444</v>
      </c>
      <c r="H493" t="s">
        <v>8</v>
      </c>
      <c r="I493" t="s">
        <v>430</v>
      </c>
    </row>
    <row r="494" spans="1:9" x14ac:dyDescent="0.25">
      <c r="A494" s="1" t="str">
        <f>HYPERLINK("https://lynxcrm-apac--c.eu19.visual.force.com/0011i000001xoI0AAI","Chan, Koo Hui")</f>
        <v>Chan, Koo Hui</v>
      </c>
      <c r="B494" t="s">
        <v>1223</v>
      </c>
      <c r="C494" t="s">
        <v>28</v>
      </c>
      <c r="D494" t="s">
        <v>429</v>
      </c>
      <c r="E494" t="s">
        <v>8</v>
      </c>
      <c r="F494" t="s">
        <v>445</v>
      </c>
      <c r="G494" t="s">
        <v>428</v>
      </c>
      <c r="H494" t="s">
        <v>428</v>
      </c>
      <c r="I494" t="s">
        <v>430</v>
      </c>
    </row>
    <row r="495" spans="1:9" x14ac:dyDescent="0.25">
      <c r="A495" s="1" t="str">
        <f>HYPERLINK("https://lynxcrm-apac--c.eu19.visual.force.com/0011i000001xoI0AAI","Chan, Koo Hui")</f>
        <v>Chan, Koo Hui</v>
      </c>
      <c r="B495" t="s">
        <v>1223</v>
      </c>
      <c r="C495" t="s">
        <v>28</v>
      </c>
      <c r="D495" t="s">
        <v>429</v>
      </c>
      <c r="E495" t="s">
        <v>8</v>
      </c>
      <c r="F495" t="s">
        <v>444</v>
      </c>
      <c r="G495" t="s">
        <v>444</v>
      </c>
      <c r="H495" t="s">
        <v>8</v>
      </c>
      <c r="I495" t="s">
        <v>8</v>
      </c>
    </row>
    <row r="496" spans="1:9" x14ac:dyDescent="0.25">
      <c r="A496" s="1" t="str">
        <f>HYPERLINK("https://lynxcrm-apac--c.eu19.visual.force.com/0011i000001xoooAAA","Chan, Kum Khung")</f>
        <v>Chan, Kum Khung</v>
      </c>
      <c r="B496" t="s">
        <v>1224</v>
      </c>
      <c r="C496" t="s">
        <v>28</v>
      </c>
      <c r="D496" t="s">
        <v>54</v>
      </c>
      <c r="E496" t="s">
        <v>8</v>
      </c>
      <c r="F496" t="s">
        <v>1225</v>
      </c>
      <c r="G496" t="s">
        <v>1225</v>
      </c>
      <c r="H496" t="s">
        <v>8</v>
      </c>
      <c r="I496" t="s">
        <v>55</v>
      </c>
    </row>
    <row r="497" spans="1:9" x14ac:dyDescent="0.25">
      <c r="A497" s="1" t="str">
        <f>HYPERLINK("https://lynxcrm-apac--c.eu19.visual.force.com/0011i000001xoooAAA","Chan, Kum Khung")</f>
        <v>Chan, Kum Khung</v>
      </c>
      <c r="B497" t="s">
        <v>1224</v>
      </c>
      <c r="C497" t="s">
        <v>28</v>
      </c>
      <c r="D497" t="s">
        <v>54</v>
      </c>
      <c r="E497" t="s">
        <v>8</v>
      </c>
      <c r="F497" t="s">
        <v>1225</v>
      </c>
      <c r="G497" t="s">
        <v>1225</v>
      </c>
      <c r="H497" t="s">
        <v>1226</v>
      </c>
      <c r="I497" t="s">
        <v>55</v>
      </c>
    </row>
    <row r="498" spans="1:9" x14ac:dyDescent="0.25">
      <c r="A498" s="1" t="str">
        <f>HYPERLINK("https://lynxcrm-apac--c.eu19.visual.force.com/0011i000001xnhNAAQ","Chan, Lai Gwen")</f>
        <v>Chan, Lai Gwen</v>
      </c>
      <c r="B498" t="s">
        <v>1227</v>
      </c>
      <c r="C498" t="s">
        <v>28</v>
      </c>
      <c r="D498" t="s">
        <v>261</v>
      </c>
      <c r="E498" t="s">
        <v>8</v>
      </c>
      <c r="F498" t="s">
        <v>261</v>
      </c>
      <c r="G498" t="s">
        <v>347</v>
      </c>
      <c r="H498" t="s">
        <v>347</v>
      </c>
      <c r="I498" t="s">
        <v>260</v>
      </c>
    </row>
    <row r="499" spans="1:9" x14ac:dyDescent="0.25">
      <c r="A499" s="1" t="str">
        <f>HYPERLINK("https://lynxcrm-apac--c.eu19.visual.force.com/0011i000001xolKAAQ","Chan, Megan")</f>
        <v>Chan, Megan</v>
      </c>
      <c r="B499" t="s">
        <v>1228</v>
      </c>
      <c r="C499" t="s">
        <v>28</v>
      </c>
      <c r="D499" t="s">
        <v>261</v>
      </c>
      <c r="E499" t="s">
        <v>8</v>
      </c>
      <c r="F499" t="s">
        <v>261</v>
      </c>
      <c r="G499" t="s">
        <v>347</v>
      </c>
      <c r="H499" t="s">
        <v>347</v>
      </c>
      <c r="I499" t="s">
        <v>260</v>
      </c>
    </row>
    <row r="500" spans="1:9" x14ac:dyDescent="0.25">
      <c r="A500" s="1" t="str">
        <f>HYPERLINK("https://lynxcrm-apac--c.eu19.visual.force.com/0011i000001xosfAAA","Chan, Meng Huey Jason")</f>
        <v>Chan, Meng Huey Jason</v>
      </c>
      <c r="B500" t="s">
        <v>1229</v>
      </c>
      <c r="C500" t="s">
        <v>28</v>
      </c>
      <c r="D500" t="s">
        <v>58</v>
      </c>
      <c r="E500" t="s">
        <v>8</v>
      </c>
      <c r="F500" t="s">
        <v>57</v>
      </c>
      <c r="G500" t="s">
        <v>57</v>
      </c>
      <c r="H500" t="s">
        <v>8</v>
      </c>
      <c r="I500" t="s">
        <v>59</v>
      </c>
    </row>
    <row r="501" spans="1:9" x14ac:dyDescent="0.25">
      <c r="A501" s="1" t="str">
        <f>HYPERLINK("https://lynxcrm-apac--c.eu19.visual.force.com/0011i000001xorXAAQ","Chan, Ming Jonathan")</f>
        <v>Chan, Ming Jonathan</v>
      </c>
      <c r="B501" t="s">
        <v>1230</v>
      </c>
      <c r="C501" t="s">
        <v>28</v>
      </c>
      <c r="D501" t="s">
        <v>1231</v>
      </c>
      <c r="E501" t="s">
        <v>8</v>
      </c>
      <c r="F501" t="s">
        <v>1232</v>
      </c>
      <c r="G501" t="s">
        <v>1233</v>
      </c>
      <c r="H501" t="s">
        <v>1234</v>
      </c>
      <c r="I501" t="s">
        <v>1235</v>
      </c>
    </row>
    <row r="502" spans="1:9" x14ac:dyDescent="0.25">
      <c r="A502" s="1" t="str">
        <f>HYPERLINK("https://lynxcrm-apac--c.eu19.visual.force.com/0011i000001xobAAAQ","Chan, Miow Swan")</f>
        <v>Chan, Miow Swan</v>
      </c>
      <c r="B502" t="s">
        <v>1236</v>
      </c>
      <c r="C502" t="s">
        <v>28</v>
      </c>
      <c r="D502" t="s">
        <v>1237</v>
      </c>
      <c r="E502" t="s">
        <v>8</v>
      </c>
      <c r="F502" t="s">
        <v>1238</v>
      </c>
      <c r="G502" t="s">
        <v>1239</v>
      </c>
      <c r="H502" t="s">
        <v>1239</v>
      </c>
      <c r="I502" t="s">
        <v>1240</v>
      </c>
    </row>
    <row r="503" spans="1:9" x14ac:dyDescent="0.25">
      <c r="A503" s="1" t="str">
        <f>HYPERLINK("https://lynxcrm-apac--c.eu19.visual.force.com/0011i000001xnzsAAA","Chan, Mun Yew Patrick")</f>
        <v>Chan, Mun Yew Patrick</v>
      </c>
      <c r="B503" t="s">
        <v>1241</v>
      </c>
      <c r="C503" t="s">
        <v>28</v>
      </c>
      <c r="D503" t="s">
        <v>261</v>
      </c>
      <c r="E503" t="s">
        <v>8</v>
      </c>
      <c r="F503" t="s">
        <v>261</v>
      </c>
      <c r="G503" t="s">
        <v>347</v>
      </c>
      <c r="H503" t="s">
        <v>347</v>
      </c>
      <c r="I503" t="s">
        <v>260</v>
      </c>
    </row>
    <row r="504" spans="1:9" x14ac:dyDescent="0.25">
      <c r="A504" s="1" t="str">
        <f>HYPERLINK("https://lynxcrm-apac--c.eu19.visual.force.com/0011i000001xnzsAAA","Chan, Mun Yew Patrick")</f>
        <v>Chan, Mun Yew Patrick</v>
      </c>
      <c r="B504" t="s">
        <v>1241</v>
      </c>
      <c r="C504" t="s">
        <v>28</v>
      </c>
      <c r="D504" t="s">
        <v>1242</v>
      </c>
      <c r="E504" t="s">
        <v>8</v>
      </c>
      <c r="F504" t="s">
        <v>258</v>
      </c>
      <c r="G504" t="s">
        <v>261</v>
      </c>
      <c r="H504" t="s">
        <v>261</v>
      </c>
      <c r="I504" t="s">
        <v>260</v>
      </c>
    </row>
    <row r="505" spans="1:9" x14ac:dyDescent="0.25">
      <c r="A505" s="1" t="str">
        <f>HYPERLINK("https://lynxcrm-apac--c.eu19.visual.force.com/0011i000001xoIeAAI","Chan, Nang Fong")</f>
        <v>Chan, Nang Fong</v>
      </c>
      <c r="B505" t="s">
        <v>1243</v>
      </c>
      <c r="C505" t="s">
        <v>28</v>
      </c>
      <c r="D505" t="s">
        <v>1244</v>
      </c>
      <c r="E505" t="s">
        <v>8</v>
      </c>
      <c r="F505" t="s">
        <v>1245</v>
      </c>
      <c r="G505" t="s">
        <v>1246</v>
      </c>
      <c r="H505" t="s">
        <v>1246</v>
      </c>
      <c r="I505" t="s">
        <v>1247</v>
      </c>
    </row>
    <row r="506" spans="1:9" x14ac:dyDescent="0.25">
      <c r="A506" s="1" t="str">
        <f>HYPERLINK("https://lynxcrm-apac--c.eu19.visual.force.com/0011i000001xnwTAAQ","Chan, Nien Shen Charles")</f>
        <v>Chan, Nien Shen Charles</v>
      </c>
      <c r="B506" t="s">
        <v>1248</v>
      </c>
      <c r="C506" t="s">
        <v>28</v>
      </c>
      <c r="D506" t="s">
        <v>1249</v>
      </c>
      <c r="E506" t="s">
        <v>8</v>
      </c>
      <c r="F506" t="s">
        <v>69</v>
      </c>
      <c r="G506" t="s">
        <v>1250</v>
      </c>
      <c r="H506" t="s">
        <v>1250</v>
      </c>
      <c r="I506" t="s">
        <v>67</v>
      </c>
    </row>
    <row r="507" spans="1:9" x14ac:dyDescent="0.25">
      <c r="A507" s="1" t="str">
        <f>HYPERLINK("https://lynxcrm-apac--c.eu19.visual.force.com/0011i000001xntXAAQ","Chan, Oi Mei Angelina")</f>
        <v>Chan, Oi Mei Angelina</v>
      </c>
      <c r="B507" t="s">
        <v>1251</v>
      </c>
      <c r="C507" t="s">
        <v>28</v>
      </c>
      <c r="D507" t="s">
        <v>583</v>
      </c>
      <c r="E507" t="s">
        <v>8</v>
      </c>
      <c r="F507" t="s">
        <v>583</v>
      </c>
      <c r="G507" t="s">
        <v>584</v>
      </c>
      <c r="H507" t="s">
        <v>584</v>
      </c>
      <c r="I507" t="s">
        <v>585</v>
      </c>
    </row>
    <row r="508" spans="1:9" x14ac:dyDescent="0.25">
      <c r="A508" s="1" t="str">
        <f>HYPERLINK("https://lynxcrm-apac--c.eu19.visual.force.com/0011i000001xnvOAAQ","Chan, Pai Ling David")</f>
        <v>Chan, Pai Ling David</v>
      </c>
      <c r="B508" t="s">
        <v>1252</v>
      </c>
      <c r="C508" t="s">
        <v>28</v>
      </c>
      <c r="D508" t="s">
        <v>368</v>
      </c>
      <c r="E508" t="s">
        <v>8</v>
      </c>
      <c r="F508" t="s">
        <v>360</v>
      </c>
      <c r="G508" t="s">
        <v>1253</v>
      </c>
      <c r="H508" t="s">
        <v>1253</v>
      </c>
      <c r="I508" t="s">
        <v>362</v>
      </c>
    </row>
    <row r="509" spans="1:9" x14ac:dyDescent="0.25">
      <c r="A509" s="1" t="str">
        <f>HYPERLINK("https://lynxcrm-apac--c.eu19.visual.force.com/0011i000001xofAAAQ","Chan, Peng Chew Mark")</f>
        <v>Chan, Peng Chew Mark</v>
      </c>
      <c r="B509" t="s">
        <v>1254</v>
      </c>
      <c r="C509" t="s">
        <v>28</v>
      </c>
      <c r="D509" t="s">
        <v>261</v>
      </c>
      <c r="E509" t="s">
        <v>8</v>
      </c>
      <c r="F509" t="s">
        <v>248</v>
      </c>
      <c r="G509" t="s">
        <v>258</v>
      </c>
      <c r="H509" t="s">
        <v>259</v>
      </c>
      <c r="I509" t="s">
        <v>260</v>
      </c>
    </row>
    <row r="510" spans="1:9" x14ac:dyDescent="0.25">
      <c r="A510" s="1" t="str">
        <f>HYPERLINK("https://lynxcrm-apac--c.eu19.visual.force.com/0011i000001xos1AAA","Chan, Peng Mun")</f>
        <v>Chan, Peng Mun</v>
      </c>
      <c r="B510" t="s">
        <v>1255</v>
      </c>
      <c r="C510" t="s">
        <v>28</v>
      </c>
      <c r="D510" t="s">
        <v>1256</v>
      </c>
      <c r="E510" t="s">
        <v>8</v>
      </c>
      <c r="F510" t="s">
        <v>1257</v>
      </c>
      <c r="G510" t="s">
        <v>1258</v>
      </c>
      <c r="H510" t="s">
        <v>1259</v>
      </c>
      <c r="I510" t="s">
        <v>1260</v>
      </c>
    </row>
    <row r="511" spans="1:9" x14ac:dyDescent="0.25">
      <c r="A511" s="1" t="str">
        <f>HYPERLINK("https://lynxcrm-apac--c.eu19.visual.force.com/0011i000001xoHvAAI","Chan, Po Fun")</f>
        <v>Chan, Po Fun</v>
      </c>
      <c r="B511" t="s">
        <v>1261</v>
      </c>
      <c r="C511" t="s">
        <v>28</v>
      </c>
      <c r="D511" t="s">
        <v>662</v>
      </c>
      <c r="E511" t="s">
        <v>8</v>
      </c>
      <c r="F511" t="s">
        <v>662</v>
      </c>
      <c r="G511" t="s">
        <v>663</v>
      </c>
      <c r="H511" t="s">
        <v>663</v>
      </c>
      <c r="I511" t="s">
        <v>664</v>
      </c>
    </row>
    <row r="512" spans="1:9" x14ac:dyDescent="0.25">
      <c r="A512" s="1" t="str">
        <f>HYPERLINK("https://lynxcrm-apac--c.eu19.visual.force.com/0011i000001xoLFAAY","Chan, Poon Lap Bernard")</f>
        <v>Chan, Poon Lap Bernard</v>
      </c>
      <c r="B512" t="s">
        <v>1262</v>
      </c>
      <c r="C512" t="s">
        <v>28</v>
      </c>
      <c r="D512" t="s">
        <v>429</v>
      </c>
      <c r="E512" t="s">
        <v>8</v>
      </c>
      <c r="F512" t="s">
        <v>1263</v>
      </c>
      <c r="G512" t="s">
        <v>428</v>
      </c>
      <c r="H512" t="s">
        <v>428</v>
      </c>
      <c r="I512" t="s">
        <v>430</v>
      </c>
    </row>
    <row r="513" spans="1:9" x14ac:dyDescent="0.25">
      <c r="A513" s="1" t="str">
        <f>HYPERLINK("https://lynxcrm-apac--c.eu19.visual.force.com/0011i000001xoZPAAY","Chan, Rick")</f>
        <v>Chan, Rick</v>
      </c>
      <c r="B513" t="s">
        <v>1264</v>
      </c>
      <c r="C513" t="s">
        <v>28</v>
      </c>
      <c r="D513" t="s">
        <v>1265</v>
      </c>
      <c r="E513" t="s">
        <v>8</v>
      </c>
      <c r="F513" t="s">
        <v>1266</v>
      </c>
      <c r="G513" t="s">
        <v>1267</v>
      </c>
      <c r="H513" t="s">
        <v>1267</v>
      </c>
      <c r="I513" t="s">
        <v>1268</v>
      </c>
    </row>
    <row r="514" spans="1:9" x14ac:dyDescent="0.25">
      <c r="A514" s="1" t="str">
        <f>HYPERLINK("https://lynxcrm-apac--c.eu19.visual.force.com/0011i000001xno1AAA","Chan, Shijie")</f>
        <v>Chan, Shijie</v>
      </c>
      <c r="B514" t="s">
        <v>1269</v>
      </c>
      <c r="C514" t="s">
        <v>28</v>
      </c>
      <c r="D514" t="s">
        <v>545</v>
      </c>
      <c r="E514" t="s">
        <v>8</v>
      </c>
      <c r="F514" t="s">
        <v>844</v>
      </c>
      <c r="G514" t="s">
        <v>845</v>
      </c>
      <c r="H514" t="s">
        <v>846</v>
      </c>
      <c r="I514" t="s">
        <v>847</v>
      </c>
    </row>
    <row r="515" spans="1:9" x14ac:dyDescent="0.25">
      <c r="A515" s="1" t="str">
        <f>HYPERLINK("https://lynxcrm-apac--c.eu19.visual.force.com/0011i00000X8u7qAAB","Chan, Siew Khim Roy")</f>
        <v>Chan, Siew Khim Roy</v>
      </c>
      <c r="B515" t="s">
        <v>1270</v>
      </c>
      <c r="C515" t="s">
        <v>28</v>
      </c>
      <c r="D515" t="s">
        <v>449</v>
      </c>
      <c r="E515" t="s">
        <v>8</v>
      </c>
      <c r="F515" t="s">
        <v>450</v>
      </c>
      <c r="G515" t="s">
        <v>449</v>
      </c>
      <c r="H515" t="s">
        <v>449</v>
      </c>
      <c r="I515" t="s">
        <v>451</v>
      </c>
    </row>
    <row r="516" spans="1:9" x14ac:dyDescent="0.25">
      <c r="A516" s="1" t="str">
        <f>HYPERLINK("https://lynxcrm-apac--c.eu19.visual.force.com/0011i00000X8u7qAAB","Chan, Siew Khim Roy")</f>
        <v>Chan, Siew Khim Roy</v>
      </c>
      <c r="B516" t="s">
        <v>1270</v>
      </c>
      <c r="C516" t="s">
        <v>28</v>
      </c>
      <c r="D516" t="s">
        <v>449</v>
      </c>
      <c r="E516" t="s">
        <v>8</v>
      </c>
      <c r="F516" t="s">
        <v>234</v>
      </c>
      <c r="G516" t="s">
        <v>452</v>
      </c>
      <c r="H516" t="s">
        <v>453</v>
      </c>
      <c r="I516" t="s">
        <v>454</v>
      </c>
    </row>
    <row r="517" spans="1:9" x14ac:dyDescent="0.25">
      <c r="A517" s="1" t="str">
        <f>HYPERLINK("https://lynxcrm-apac--c.eu19.visual.force.com/0011i000001xosdAAA","Chan, Siew Ling Pamela")</f>
        <v>Chan, Siew Ling Pamela</v>
      </c>
      <c r="B517" t="s">
        <v>1271</v>
      </c>
      <c r="C517" t="s">
        <v>28</v>
      </c>
      <c r="D517" t="s">
        <v>1272</v>
      </c>
      <c r="E517" t="s">
        <v>8</v>
      </c>
      <c r="F517" t="s">
        <v>377</v>
      </c>
      <c r="G517" t="s">
        <v>598</v>
      </c>
      <c r="H517" t="s">
        <v>599</v>
      </c>
      <c r="I517" t="s">
        <v>123</v>
      </c>
    </row>
    <row r="518" spans="1:9" x14ac:dyDescent="0.25">
      <c r="A518" s="1" t="str">
        <f>HYPERLINK("https://lynxcrm-apac--c.eu19.visual.force.com/0011i000001xoTDAAY","Chan, Siu Hung")</f>
        <v>Chan, Siu Hung</v>
      </c>
      <c r="B518" t="s">
        <v>1273</v>
      </c>
      <c r="C518" t="s">
        <v>28</v>
      </c>
      <c r="D518" t="s">
        <v>58</v>
      </c>
      <c r="E518" t="s">
        <v>8</v>
      </c>
      <c r="F518" t="s">
        <v>57</v>
      </c>
      <c r="G518" t="s">
        <v>57</v>
      </c>
      <c r="H518" t="s">
        <v>8</v>
      </c>
      <c r="I518" t="s">
        <v>59</v>
      </c>
    </row>
    <row r="519" spans="1:9" x14ac:dyDescent="0.25">
      <c r="A519" s="1" t="str">
        <f>HYPERLINK("https://lynxcrm-apac--c.eu19.visual.force.com/0011i000001xoTDAAY","Chan, Siu Hung")</f>
        <v>Chan, Siu Hung</v>
      </c>
      <c r="B519" t="s">
        <v>1273</v>
      </c>
      <c r="C519" t="s">
        <v>28</v>
      </c>
      <c r="D519" t="s">
        <v>58</v>
      </c>
      <c r="E519" t="s">
        <v>8</v>
      </c>
      <c r="F519" t="s">
        <v>1274</v>
      </c>
      <c r="G519" t="s">
        <v>57</v>
      </c>
      <c r="H519" t="s">
        <v>1275</v>
      </c>
      <c r="I519" t="s">
        <v>59</v>
      </c>
    </row>
    <row r="520" spans="1:9" x14ac:dyDescent="0.25">
      <c r="A520" s="1" t="str">
        <f>HYPERLINK("https://lynxcrm-apac--c.eu19.visual.force.com/0011i000001xotWAAQ","Chan, Suan Meng")</f>
        <v>Chan, Suan Meng</v>
      </c>
      <c r="B520" t="s">
        <v>1276</v>
      </c>
      <c r="C520" t="s">
        <v>28</v>
      </c>
      <c r="D520" t="s">
        <v>1277</v>
      </c>
      <c r="E520" t="s">
        <v>8</v>
      </c>
      <c r="F520" t="s">
        <v>1278</v>
      </c>
      <c r="G520" t="s">
        <v>1279</v>
      </c>
      <c r="H520" t="s">
        <v>1280</v>
      </c>
      <c r="I520" t="s">
        <v>1281</v>
      </c>
    </row>
    <row r="521" spans="1:9" x14ac:dyDescent="0.25">
      <c r="A521" s="1" t="str">
        <f>HYPERLINK("https://lynxcrm-apac--c.eu19.visual.force.com/0011i000001xnfgAAA","Chan, Tan Lai Tanny")</f>
        <v>Chan, Tan Lai Tanny</v>
      </c>
      <c r="B521" t="s">
        <v>1282</v>
      </c>
      <c r="C521" t="s">
        <v>28</v>
      </c>
      <c r="D521" t="s">
        <v>1283</v>
      </c>
      <c r="E521" t="s">
        <v>8</v>
      </c>
      <c r="F521" t="s">
        <v>69</v>
      </c>
      <c r="G521" t="s">
        <v>1284</v>
      </c>
      <c r="H521" t="s">
        <v>1285</v>
      </c>
      <c r="I521" t="s">
        <v>67</v>
      </c>
    </row>
    <row r="522" spans="1:9" x14ac:dyDescent="0.25">
      <c r="A522" s="1" t="str">
        <f>HYPERLINK("https://lynxcrm-apac--c.eu19.visual.force.com/0011i000001xoITAAY","Chan, Teng Mui Tammy")</f>
        <v>Chan, Teng Mui Tammy</v>
      </c>
      <c r="B522" t="s">
        <v>1286</v>
      </c>
      <c r="C522" t="s">
        <v>28</v>
      </c>
      <c r="D522" t="s">
        <v>1287</v>
      </c>
      <c r="E522" t="s">
        <v>8</v>
      </c>
      <c r="F522" t="s">
        <v>1288</v>
      </c>
      <c r="G522" t="s">
        <v>1289</v>
      </c>
      <c r="H522" t="s">
        <v>1290</v>
      </c>
      <c r="I522" t="s">
        <v>1291</v>
      </c>
    </row>
    <row r="523" spans="1:9" x14ac:dyDescent="0.25">
      <c r="A523" s="1" t="str">
        <f>HYPERLINK("https://lynxcrm-apac--c.eu19.visual.force.com/0011i000001xoRmAAI","Chan, Theresa")</f>
        <v>Chan, Theresa</v>
      </c>
      <c r="B523" t="s">
        <v>1292</v>
      </c>
      <c r="C523" t="s">
        <v>28</v>
      </c>
      <c r="D523" t="s">
        <v>709</v>
      </c>
      <c r="E523" t="s">
        <v>8</v>
      </c>
      <c r="F523" t="s">
        <v>710</v>
      </c>
      <c r="G523" t="s">
        <v>135</v>
      </c>
      <c r="H523" t="s">
        <v>135</v>
      </c>
      <c r="I523" t="s">
        <v>711</v>
      </c>
    </row>
    <row r="524" spans="1:9" x14ac:dyDescent="0.25">
      <c r="A524" s="1" t="str">
        <f>HYPERLINK("https://lynxcrm-apac--c.eu19.visual.force.com/0011i000001xoRmAAI","Chan, Theresa")</f>
        <v>Chan, Theresa</v>
      </c>
      <c r="B524" t="s">
        <v>1292</v>
      </c>
      <c r="C524" t="s">
        <v>28</v>
      </c>
      <c r="D524" t="s">
        <v>709</v>
      </c>
      <c r="E524" t="s">
        <v>8</v>
      </c>
      <c r="F524" t="s">
        <v>1293</v>
      </c>
      <c r="G524" t="s">
        <v>135</v>
      </c>
      <c r="H524" t="s">
        <v>135</v>
      </c>
      <c r="I524" t="s">
        <v>711</v>
      </c>
    </row>
    <row r="525" spans="1:9" x14ac:dyDescent="0.25">
      <c r="A525" s="1" t="str">
        <f>HYPERLINK("https://lynxcrm-apac--c.eu19.visual.force.com/0011i000001xnfQAAQ","Chan, Tiong Beng")</f>
        <v>Chan, Tiong Beng</v>
      </c>
      <c r="B525" t="s">
        <v>1294</v>
      </c>
      <c r="C525" t="s">
        <v>28</v>
      </c>
      <c r="D525" t="s">
        <v>1295</v>
      </c>
      <c r="E525" t="s">
        <v>8</v>
      </c>
      <c r="F525" t="s">
        <v>373</v>
      </c>
      <c r="G525" t="s">
        <v>1296</v>
      </c>
      <c r="H525" t="s">
        <v>1297</v>
      </c>
      <c r="I525" t="s">
        <v>123</v>
      </c>
    </row>
    <row r="526" spans="1:9" x14ac:dyDescent="0.25">
      <c r="A526" s="1" t="str">
        <f>HYPERLINK("https://lynxcrm-apac--c.eu19.visual.force.com/0011i000001xnidAAA","Chan, Wah Mei")</f>
        <v>Chan, Wah Mei</v>
      </c>
      <c r="B526" t="s">
        <v>1298</v>
      </c>
      <c r="C526" t="s">
        <v>28</v>
      </c>
      <c r="D526" t="s">
        <v>1299</v>
      </c>
      <c r="E526" t="s">
        <v>8</v>
      </c>
      <c r="F526" t="s">
        <v>1300</v>
      </c>
      <c r="G526" t="s">
        <v>1301</v>
      </c>
      <c r="H526" t="s">
        <v>1301</v>
      </c>
      <c r="I526" t="s">
        <v>1302</v>
      </c>
    </row>
    <row r="527" spans="1:9" x14ac:dyDescent="0.25">
      <c r="A527" s="1" t="str">
        <f>HYPERLINK("https://lynxcrm-apac--c.eu19.visual.force.com/0011i000001xo41AAA","Chan, Wai Ho")</f>
        <v>Chan, Wai Ho</v>
      </c>
      <c r="B527" t="s">
        <v>1303</v>
      </c>
      <c r="C527" t="s">
        <v>28</v>
      </c>
      <c r="D527" t="s">
        <v>54</v>
      </c>
      <c r="E527" t="s">
        <v>8</v>
      </c>
      <c r="F527" t="s">
        <v>1225</v>
      </c>
      <c r="G527" t="s">
        <v>1225</v>
      </c>
      <c r="H527" t="s">
        <v>1226</v>
      </c>
      <c r="I527" t="s">
        <v>55</v>
      </c>
    </row>
    <row r="528" spans="1:9" x14ac:dyDescent="0.25">
      <c r="A528" s="1" t="str">
        <f>HYPERLINK("https://lynxcrm-apac--c.eu19.visual.force.com/0011i000001xo41AAA","Chan, Wai Ho")</f>
        <v>Chan, Wai Ho</v>
      </c>
      <c r="B528" t="s">
        <v>1303</v>
      </c>
      <c r="C528" t="s">
        <v>28</v>
      </c>
      <c r="D528" t="s">
        <v>54</v>
      </c>
      <c r="E528" t="s">
        <v>8</v>
      </c>
      <c r="F528" t="s">
        <v>1225</v>
      </c>
      <c r="G528" t="s">
        <v>1225</v>
      </c>
      <c r="H528" t="s">
        <v>8</v>
      </c>
      <c r="I528" t="s">
        <v>55</v>
      </c>
    </row>
    <row r="529" spans="1:9" x14ac:dyDescent="0.25">
      <c r="A529" s="1" t="str">
        <f>HYPERLINK("https://lynxcrm-apac--c.eu19.visual.force.com/0011i000001xnzuAAA","Chan, Wai Lim William")</f>
        <v>Chan, Wai Lim William</v>
      </c>
      <c r="B529" t="s">
        <v>1304</v>
      </c>
      <c r="C529" t="s">
        <v>28</v>
      </c>
      <c r="D529" t="s">
        <v>1305</v>
      </c>
      <c r="E529" t="s">
        <v>8</v>
      </c>
      <c r="F529" t="s">
        <v>1306</v>
      </c>
      <c r="G529" t="s">
        <v>1307</v>
      </c>
      <c r="H529" t="s">
        <v>1307</v>
      </c>
      <c r="I529" t="s">
        <v>610</v>
      </c>
    </row>
    <row r="530" spans="1:9" x14ac:dyDescent="0.25">
      <c r="A530" s="1" t="str">
        <f>HYPERLINK("https://lynxcrm-apac--c.eu19.visual.force.com/0011i000001xnfRAAQ","Chan, Wai Lup")</f>
        <v>Chan, Wai Lup</v>
      </c>
      <c r="B530" t="s">
        <v>1308</v>
      </c>
      <c r="C530" t="s">
        <v>28</v>
      </c>
      <c r="D530" t="s">
        <v>1309</v>
      </c>
      <c r="E530" t="s">
        <v>8</v>
      </c>
      <c r="F530" t="s">
        <v>1310</v>
      </c>
      <c r="G530" t="s">
        <v>1311</v>
      </c>
      <c r="H530" t="s">
        <v>1311</v>
      </c>
      <c r="I530" t="s">
        <v>1312</v>
      </c>
    </row>
    <row r="531" spans="1:9" x14ac:dyDescent="0.25">
      <c r="A531" s="1" t="str">
        <f>HYPERLINK("https://lynxcrm-apac--c.eu19.visual.force.com/0011i000001xng6AAA","Chan, Weng Buen Cathryn")</f>
        <v>Chan, Weng Buen Cathryn</v>
      </c>
      <c r="B531" t="s">
        <v>1313</v>
      </c>
      <c r="C531" t="s">
        <v>28</v>
      </c>
      <c r="D531" t="s">
        <v>1143</v>
      </c>
      <c r="E531" t="s">
        <v>8</v>
      </c>
      <c r="F531" t="s">
        <v>69</v>
      </c>
      <c r="G531" t="s">
        <v>1314</v>
      </c>
      <c r="H531" t="s">
        <v>1315</v>
      </c>
      <c r="I531" t="s">
        <v>67</v>
      </c>
    </row>
    <row r="532" spans="1:9" x14ac:dyDescent="0.25">
      <c r="A532" s="1" t="str">
        <f>HYPERLINK("https://lynxcrm-apac--c.eu19.visual.force.com/0011i000001xoJfAAI","Chan, Weng Hoong")</f>
        <v>Chan, Weng Hoong</v>
      </c>
      <c r="B532" t="s">
        <v>1316</v>
      </c>
      <c r="C532" t="s">
        <v>28</v>
      </c>
      <c r="D532" t="s">
        <v>1242</v>
      </c>
      <c r="E532" t="s">
        <v>8</v>
      </c>
      <c r="F532" t="s">
        <v>252</v>
      </c>
      <c r="G532" t="s">
        <v>251</v>
      </c>
      <c r="H532" t="s">
        <v>251</v>
      </c>
      <c r="I532" t="s">
        <v>253</v>
      </c>
    </row>
    <row r="533" spans="1:9" x14ac:dyDescent="0.25">
      <c r="A533" s="1" t="str">
        <f>HYPERLINK("https://lynxcrm-apac--c.eu19.visual.force.com/0011i000001xoJfAAI","Chan, Weng Hoong")</f>
        <v>Chan, Weng Hoong</v>
      </c>
      <c r="B533" t="s">
        <v>1316</v>
      </c>
      <c r="C533" t="s">
        <v>28</v>
      </c>
      <c r="D533" t="s">
        <v>251</v>
      </c>
      <c r="E533" t="s">
        <v>8</v>
      </c>
      <c r="F533" t="s">
        <v>251</v>
      </c>
      <c r="G533" t="s">
        <v>252</v>
      </c>
      <c r="H533" t="s">
        <v>252</v>
      </c>
      <c r="I533" t="s">
        <v>253</v>
      </c>
    </row>
    <row r="534" spans="1:9" x14ac:dyDescent="0.25">
      <c r="A534" s="1" t="str">
        <f>HYPERLINK("https://lynxcrm-apac--c.eu19.visual.force.com/0011i000001xnzvAAA","Chan, Wing Kwong")</f>
        <v>Chan, Wing Kwong</v>
      </c>
      <c r="B534" t="s">
        <v>1317</v>
      </c>
      <c r="C534" t="s">
        <v>28</v>
      </c>
      <c r="D534" t="s">
        <v>251</v>
      </c>
      <c r="E534" t="s">
        <v>8</v>
      </c>
      <c r="F534" t="s">
        <v>251</v>
      </c>
      <c r="G534" t="s">
        <v>252</v>
      </c>
      <c r="H534" t="s">
        <v>252</v>
      </c>
      <c r="I534" t="s">
        <v>253</v>
      </c>
    </row>
    <row r="535" spans="1:9" x14ac:dyDescent="0.25">
      <c r="A535" s="1" t="str">
        <f>HYPERLINK("https://lynxcrm-apac--c.eu19.visual.force.com/0011i000001xnzvAAA","Chan, Wing Kwong")</f>
        <v>Chan, Wing Kwong</v>
      </c>
      <c r="B535" t="s">
        <v>1317</v>
      </c>
      <c r="C535" t="s">
        <v>28</v>
      </c>
      <c r="D535" t="s">
        <v>1318</v>
      </c>
      <c r="E535" t="s">
        <v>8</v>
      </c>
      <c r="F535" t="s">
        <v>252</v>
      </c>
      <c r="G535" t="s">
        <v>251</v>
      </c>
      <c r="H535" t="s">
        <v>251</v>
      </c>
      <c r="I535" t="s">
        <v>253</v>
      </c>
    </row>
    <row r="536" spans="1:9" x14ac:dyDescent="0.25">
      <c r="A536" s="1" t="str">
        <f>HYPERLINK("https://lynxcrm-apac--c.eu19.visual.force.com/0011i000001xoKjAAI","Chan, Yan Yee Mark")</f>
        <v>Chan, Yan Yee Mark</v>
      </c>
      <c r="B536" t="s">
        <v>1319</v>
      </c>
      <c r="C536" t="s">
        <v>28</v>
      </c>
      <c r="D536" t="s">
        <v>429</v>
      </c>
      <c r="E536" t="s">
        <v>8</v>
      </c>
      <c r="F536" t="s">
        <v>234</v>
      </c>
      <c r="G536" t="s">
        <v>428</v>
      </c>
      <c r="H536" t="s">
        <v>1320</v>
      </c>
      <c r="I536" t="s">
        <v>430</v>
      </c>
    </row>
    <row r="537" spans="1:9" x14ac:dyDescent="0.25">
      <c r="A537" s="1" t="str">
        <f>HYPERLINK("https://lynxcrm-apac--c.eu19.visual.force.com/0011i000001xoKjAAI","Chan, Yan Yee Mark")</f>
        <v>Chan, Yan Yee Mark</v>
      </c>
      <c r="B537" t="s">
        <v>1319</v>
      </c>
      <c r="C537" t="s">
        <v>28</v>
      </c>
      <c r="D537" t="s">
        <v>429</v>
      </c>
      <c r="E537" t="s">
        <v>8</v>
      </c>
      <c r="F537" t="s">
        <v>429</v>
      </c>
      <c r="G537" t="s">
        <v>428</v>
      </c>
      <c r="H537" t="s">
        <v>428</v>
      </c>
      <c r="I537" t="s">
        <v>430</v>
      </c>
    </row>
    <row r="538" spans="1:9" x14ac:dyDescent="0.25">
      <c r="A538" s="1" t="str">
        <f>HYPERLINK("https://lynxcrm-apac--c.eu19.visual.force.com/0011i000001xoQbAAI","Chan, Yat Chun")</f>
        <v>Chan, Yat Chun</v>
      </c>
      <c r="B538" t="s">
        <v>1321</v>
      </c>
      <c r="C538" t="s">
        <v>28</v>
      </c>
      <c r="D538" t="s">
        <v>54</v>
      </c>
      <c r="E538" t="s">
        <v>8</v>
      </c>
      <c r="F538" t="s">
        <v>1225</v>
      </c>
      <c r="G538" t="s">
        <v>1225</v>
      </c>
      <c r="H538" t="s">
        <v>8</v>
      </c>
      <c r="I538" t="s">
        <v>55</v>
      </c>
    </row>
    <row r="539" spans="1:9" x14ac:dyDescent="0.25">
      <c r="A539" s="1" t="str">
        <f>HYPERLINK("https://lynxcrm-apac--c.eu19.visual.force.com/0011i000001xnwoAAA","Chan, Yee Chuen")</f>
        <v>Chan, Yee Chuen</v>
      </c>
      <c r="B539" t="s">
        <v>1322</v>
      </c>
      <c r="C539" t="s">
        <v>28</v>
      </c>
      <c r="D539" t="s">
        <v>429</v>
      </c>
      <c r="E539" t="s">
        <v>8</v>
      </c>
      <c r="F539" t="s">
        <v>1263</v>
      </c>
      <c r="G539" t="s">
        <v>428</v>
      </c>
      <c r="H539" t="s">
        <v>428</v>
      </c>
      <c r="I539" t="s">
        <v>430</v>
      </c>
    </row>
    <row r="540" spans="1:9" x14ac:dyDescent="0.25">
      <c r="A540" s="1" t="str">
        <f>HYPERLINK("https://lynxcrm-apac--c.eu19.visual.force.com/0011i000001xoawAAA","Chan, Yew Kok")</f>
        <v>Chan, Yew Kok</v>
      </c>
      <c r="B540" t="s">
        <v>1323</v>
      </c>
      <c r="C540" t="s">
        <v>28</v>
      </c>
      <c r="D540" t="s">
        <v>1324</v>
      </c>
      <c r="E540" t="s">
        <v>8</v>
      </c>
      <c r="F540" t="s">
        <v>1274</v>
      </c>
      <c r="G540" t="s">
        <v>202</v>
      </c>
      <c r="H540" t="s">
        <v>1325</v>
      </c>
      <c r="I540" t="s">
        <v>200</v>
      </c>
    </row>
    <row r="541" spans="1:9" x14ac:dyDescent="0.25">
      <c r="A541" s="1" t="str">
        <f>HYPERLINK("https://lynxcrm-apac--c.eu19.visual.force.com/0011i000001xnyLAAQ","Chan, Ying Ho Henry")</f>
        <v>Chan, Ying Ho Henry</v>
      </c>
      <c r="B541" t="s">
        <v>1326</v>
      </c>
      <c r="C541" t="s">
        <v>28</v>
      </c>
      <c r="D541" t="s">
        <v>261</v>
      </c>
      <c r="E541" t="s">
        <v>8</v>
      </c>
      <c r="F541" t="s">
        <v>261</v>
      </c>
      <c r="G541" t="s">
        <v>347</v>
      </c>
      <c r="H541" t="s">
        <v>347</v>
      </c>
      <c r="I541" t="s">
        <v>260</v>
      </c>
    </row>
    <row r="542" spans="1:9" x14ac:dyDescent="0.25">
      <c r="A542" s="1" t="str">
        <f>HYPERLINK("https://lynxcrm-apac--c.eu19.visual.force.com/0011i000001xngFAAQ","Chan, Yit Meng")</f>
        <v>Chan, Yit Meng</v>
      </c>
      <c r="B542" t="s">
        <v>1327</v>
      </c>
      <c r="C542" t="s">
        <v>28</v>
      </c>
      <c r="D542" t="s">
        <v>1328</v>
      </c>
      <c r="E542" t="s">
        <v>8</v>
      </c>
      <c r="F542" t="s">
        <v>1329</v>
      </c>
      <c r="G542" t="s">
        <v>1330</v>
      </c>
      <c r="H542" t="s">
        <v>1330</v>
      </c>
      <c r="I542" t="s">
        <v>1331</v>
      </c>
    </row>
    <row r="543" spans="1:9" x14ac:dyDescent="0.25">
      <c r="A543" s="1" t="str">
        <f>HYPERLINK("https://lynxcrm-apac--c.eu19.visual.force.com/0011i000001xopQAAQ","Chan, Y K")</f>
        <v>Chan, Y K</v>
      </c>
      <c r="B543" t="s">
        <v>1332</v>
      </c>
      <c r="C543" t="s">
        <v>28</v>
      </c>
      <c r="D543" t="s">
        <v>1333</v>
      </c>
      <c r="E543" t="s">
        <v>8</v>
      </c>
      <c r="F543" t="s">
        <v>1334</v>
      </c>
      <c r="G543" t="s">
        <v>1335</v>
      </c>
      <c r="H543" t="s">
        <v>1335</v>
      </c>
      <c r="I543" t="s">
        <v>1336</v>
      </c>
    </row>
    <row r="544" spans="1:9" x14ac:dyDescent="0.25">
      <c r="A544" s="1" t="str">
        <f>HYPERLINK("https://lynxcrm-apac--c.eu19.visual.force.com/0011i000001xnmmAAA","Chan, Yuen Sze Megan")</f>
        <v>Chan, Yuen Sze Megan</v>
      </c>
      <c r="B544" t="s">
        <v>1337</v>
      </c>
      <c r="C544" t="s">
        <v>28</v>
      </c>
      <c r="D544" t="s">
        <v>261</v>
      </c>
      <c r="E544" t="s">
        <v>8</v>
      </c>
      <c r="F544" t="s">
        <v>261</v>
      </c>
      <c r="G544" t="s">
        <v>347</v>
      </c>
      <c r="H544" t="s">
        <v>347</v>
      </c>
      <c r="I544" t="s">
        <v>260</v>
      </c>
    </row>
    <row r="545" spans="1:9" x14ac:dyDescent="0.25">
      <c r="A545" s="1" t="str">
        <f>HYPERLINK("https://lynxcrm-apac--c.eu19.visual.force.com/0011i000001xop4AAA","Chan, Zi Ping Jeremy")</f>
        <v>Chan, Zi Ping Jeremy</v>
      </c>
      <c r="B545" t="s">
        <v>1338</v>
      </c>
      <c r="C545" t="s">
        <v>28</v>
      </c>
      <c r="D545" t="s">
        <v>1339</v>
      </c>
      <c r="E545" t="s">
        <v>8</v>
      </c>
      <c r="F545" t="s">
        <v>1340</v>
      </c>
      <c r="G545" t="s">
        <v>1341</v>
      </c>
      <c r="H545" t="s">
        <v>1341</v>
      </c>
      <c r="I545" t="s">
        <v>441</v>
      </c>
    </row>
    <row r="546" spans="1:9" x14ac:dyDescent="0.25">
      <c r="A546" s="1" t="str">
        <f>HYPERLINK("https://lynxcrm-apac--c.eu19.visual.force.com/0011i000002IocjAAC","Chan bo geh, Alex")</f>
        <v>Chan bo geh, Alex</v>
      </c>
      <c r="B546" t="s">
        <v>1342</v>
      </c>
      <c r="C546" t="s">
        <v>28</v>
      </c>
      <c r="D546" t="s">
        <v>8</v>
      </c>
      <c r="E546" t="s">
        <v>8</v>
      </c>
      <c r="F546" t="s">
        <v>1220</v>
      </c>
      <c r="G546" t="s">
        <v>1343</v>
      </c>
      <c r="H546" t="s">
        <v>1344</v>
      </c>
      <c r="I546" t="s">
        <v>1222</v>
      </c>
    </row>
    <row r="547" spans="1:9" x14ac:dyDescent="0.25">
      <c r="A547" s="1" t="str">
        <f>HYPERLINK("https://lynxcrm-apac--c.eu19.visual.force.com/0011i000001xo0xAAA","Chang, Chean Seng Stephen")</f>
        <v>Chang, Chean Seng Stephen</v>
      </c>
      <c r="B547" t="s">
        <v>1345</v>
      </c>
      <c r="C547" t="s">
        <v>28</v>
      </c>
      <c r="D547" t="s">
        <v>1346</v>
      </c>
      <c r="E547" t="s">
        <v>8</v>
      </c>
      <c r="F547" t="s">
        <v>1347</v>
      </c>
      <c r="G547" t="s">
        <v>1348</v>
      </c>
      <c r="H547" t="s">
        <v>1349</v>
      </c>
      <c r="I547" t="s">
        <v>1350</v>
      </c>
    </row>
    <row r="548" spans="1:9" x14ac:dyDescent="0.25">
      <c r="A548" s="1" t="str">
        <f>HYPERLINK("https://lynxcrm-apac--c.eu19.visual.force.com/0011i000001xoaEAAQ","Chang, Chee Cheng Paul")</f>
        <v>Chang, Chee Cheng Paul</v>
      </c>
      <c r="B548" t="s">
        <v>1351</v>
      </c>
      <c r="C548" t="s">
        <v>28</v>
      </c>
      <c r="D548" t="s">
        <v>251</v>
      </c>
      <c r="E548" t="s">
        <v>8</v>
      </c>
      <c r="F548" t="s">
        <v>1352</v>
      </c>
      <c r="G548" t="s">
        <v>1353</v>
      </c>
      <c r="H548" t="s">
        <v>858</v>
      </c>
      <c r="I548" t="s">
        <v>253</v>
      </c>
    </row>
    <row r="549" spans="1:9" x14ac:dyDescent="0.25">
      <c r="A549" s="1" t="str">
        <f>HYPERLINK("https://lynxcrm-apac--c.eu19.visual.force.com/0011i000001xoXyAAI","Chang, Chia Leng")</f>
        <v>Chang, Chia Leng</v>
      </c>
      <c r="B549" t="s">
        <v>1354</v>
      </c>
      <c r="C549" t="s">
        <v>28</v>
      </c>
      <c r="D549" t="s">
        <v>1355</v>
      </c>
      <c r="E549" t="s">
        <v>8</v>
      </c>
      <c r="F549" t="s">
        <v>1356</v>
      </c>
      <c r="G549" t="s">
        <v>1357</v>
      </c>
      <c r="H549" t="s">
        <v>1357</v>
      </c>
      <c r="I549" t="s">
        <v>527</v>
      </c>
    </row>
    <row r="550" spans="1:9" x14ac:dyDescent="0.25">
      <c r="A550" s="1" t="str">
        <f>HYPERLINK("https://lynxcrm-apac--c.eu19.visual.force.com/0011i000001xnxuAAA","Chang, Hui Meng")</f>
        <v>Chang, Hui Meng</v>
      </c>
      <c r="B550" t="s">
        <v>1358</v>
      </c>
      <c r="C550" t="s">
        <v>28</v>
      </c>
      <c r="D550" t="s">
        <v>251</v>
      </c>
      <c r="E550" t="s">
        <v>8</v>
      </c>
      <c r="F550" t="s">
        <v>251</v>
      </c>
      <c r="G550" t="s">
        <v>252</v>
      </c>
      <c r="H550" t="s">
        <v>252</v>
      </c>
      <c r="I550" t="s">
        <v>253</v>
      </c>
    </row>
    <row r="551" spans="1:9" x14ac:dyDescent="0.25">
      <c r="A551" s="1" t="str">
        <f>HYPERLINK("https://lynxcrm-apac--c.eu19.visual.force.com/0011i000001xnxuAAA","Chang, Hui Meng")</f>
        <v>Chang, Hui Meng</v>
      </c>
      <c r="B551" t="s">
        <v>1358</v>
      </c>
      <c r="C551" t="s">
        <v>28</v>
      </c>
      <c r="D551" t="s">
        <v>251</v>
      </c>
      <c r="E551" t="s">
        <v>8</v>
      </c>
      <c r="F551" t="s">
        <v>1263</v>
      </c>
      <c r="G551" t="s">
        <v>252</v>
      </c>
      <c r="H551" t="s">
        <v>858</v>
      </c>
      <c r="I551" t="s">
        <v>253</v>
      </c>
    </row>
    <row r="552" spans="1:9" x14ac:dyDescent="0.25">
      <c r="A552" s="1" t="str">
        <f>HYPERLINK("https://lynxcrm-apac--c.eu19.visual.force.com/0011i000001xnyUAAQ","Chang, Li Lian")</f>
        <v>Chang, Li Lian</v>
      </c>
      <c r="B552" t="s">
        <v>1359</v>
      </c>
      <c r="C552" t="s">
        <v>28</v>
      </c>
      <c r="D552" t="s">
        <v>1360</v>
      </c>
      <c r="E552" t="s">
        <v>8</v>
      </c>
      <c r="F552" t="s">
        <v>1361</v>
      </c>
      <c r="G552" t="s">
        <v>1362</v>
      </c>
      <c r="H552" t="s">
        <v>1363</v>
      </c>
      <c r="I552" t="s">
        <v>1364</v>
      </c>
    </row>
    <row r="553" spans="1:9" x14ac:dyDescent="0.25">
      <c r="A553" s="1" t="str">
        <f>HYPERLINK("https://lynxcrm-apac--c.eu19.visual.force.com/0011i000001xoQ2AAI","Chang, Ming Yu James")</f>
        <v>Chang, Ming Yu James</v>
      </c>
      <c r="B553" t="s">
        <v>1365</v>
      </c>
      <c r="C553" t="s">
        <v>28</v>
      </c>
      <c r="D553" t="s">
        <v>1360</v>
      </c>
      <c r="E553" t="s">
        <v>8</v>
      </c>
      <c r="F553" t="s">
        <v>1361</v>
      </c>
      <c r="G553" t="s">
        <v>1366</v>
      </c>
      <c r="H553" t="s">
        <v>1363</v>
      </c>
      <c r="I553" t="s">
        <v>1364</v>
      </c>
    </row>
    <row r="554" spans="1:9" x14ac:dyDescent="0.25">
      <c r="A554" s="1" t="str">
        <f>HYPERLINK("https://lynxcrm-apac--c.eu19.visual.force.com/0011i000001xo03AAA","Chang, Peter")</f>
        <v>Chang, Peter</v>
      </c>
      <c r="B554" t="s">
        <v>1367</v>
      </c>
      <c r="C554" t="s">
        <v>28</v>
      </c>
      <c r="D554" t="s">
        <v>429</v>
      </c>
      <c r="E554" t="s">
        <v>8</v>
      </c>
      <c r="F554" t="s">
        <v>234</v>
      </c>
      <c r="G554" t="s">
        <v>428</v>
      </c>
      <c r="H554" t="s">
        <v>428</v>
      </c>
      <c r="I554" t="s">
        <v>430</v>
      </c>
    </row>
    <row r="555" spans="1:9" x14ac:dyDescent="0.25">
      <c r="A555" s="1" t="str">
        <f>HYPERLINK("https://lynxcrm-apac--c.eu19.visual.force.com/0011i000001xo03AAA","Chang, Peter")</f>
        <v>Chang, Peter</v>
      </c>
      <c r="B555" t="s">
        <v>1367</v>
      </c>
      <c r="C555" t="s">
        <v>28</v>
      </c>
      <c r="D555" t="s">
        <v>429</v>
      </c>
      <c r="E555" t="s">
        <v>8</v>
      </c>
      <c r="F555" t="s">
        <v>429</v>
      </c>
      <c r="G555" t="s">
        <v>428</v>
      </c>
      <c r="H555" t="s">
        <v>428</v>
      </c>
      <c r="I555" t="s">
        <v>430</v>
      </c>
    </row>
    <row r="556" spans="1:9" x14ac:dyDescent="0.25">
      <c r="A556" s="1" t="str">
        <f>HYPERLINK("https://lynxcrm-apac--c.eu19.visual.force.com/0011i000001xnkqAAA","Chang, Tou Liang")</f>
        <v>Chang, Tou Liang</v>
      </c>
      <c r="B556" t="s">
        <v>1368</v>
      </c>
      <c r="C556" t="s">
        <v>28</v>
      </c>
      <c r="D556" t="s">
        <v>1360</v>
      </c>
      <c r="E556" t="s">
        <v>8</v>
      </c>
      <c r="F556" t="s">
        <v>1361</v>
      </c>
      <c r="G556" t="s">
        <v>1366</v>
      </c>
      <c r="H556" t="s">
        <v>1363</v>
      </c>
      <c r="I556" t="s">
        <v>1364</v>
      </c>
    </row>
    <row r="557" spans="1:9" x14ac:dyDescent="0.25">
      <c r="A557" s="1" t="str">
        <f>HYPERLINK("https://lynxcrm-apac--c.eu19.visual.force.com/0011i000001xok8AAA","Chang, Weai")</f>
        <v>Chang, Weai</v>
      </c>
      <c r="B557" t="s">
        <v>1369</v>
      </c>
      <c r="C557" t="s">
        <v>28</v>
      </c>
      <c r="D557" t="s">
        <v>1370</v>
      </c>
      <c r="E557" t="s">
        <v>8</v>
      </c>
      <c r="F557" t="s">
        <v>1371</v>
      </c>
      <c r="G557" t="s">
        <v>1372</v>
      </c>
      <c r="H557" t="s">
        <v>1372</v>
      </c>
      <c r="I557" t="s">
        <v>1373</v>
      </c>
    </row>
    <row r="558" spans="1:9" x14ac:dyDescent="0.25">
      <c r="A558" s="1" t="str">
        <f>HYPERLINK("https://lynxcrm-apac--c.eu19.visual.force.com/0011i000001xnDtAAI","Chang Clinic")</f>
        <v>Chang Clinic</v>
      </c>
      <c r="B558" t="s">
        <v>1374</v>
      </c>
      <c r="C558" t="s">
        <v>10</v>
      </c>
      <c r="D558" t="s">
        <v>8</v>
      </c>
      <c r="E558" t="s">
        <v>8</v>
      </c>
      <c r="F558" t="s">
        <v>1361</v>
      </c>
      <c r="G558" t="s">
        <v>1362</v>
      </c>
      <c r="H558" t="s">
        <v>1363</v>
      </c>
      <c r="I558" t="s">
        <v>1364</v>
      </c>
    </row>
    <row r="559" spans="1:9" x14ac:dyDescent="0.25">
      <c r="A559" s="1" t="str">
        <f>HYPERLINK("https://lynxcrm-apac--c.eu19.visual.force.com/0011i000001xn1jAAA","Chang Clinic")</f>
        <v>Chang Clinic</v>
      </c>
      <c r="B559" t="s">
        <v>1375</v>
      </c>
      <c r="C559" t="s">
        <v>10</v>
      </c>
      <c r="D559" t="s">
        <v>8</v>
      </c>
      <c r="E559" t="s">
        <v>8</v>
      </c>
      <c r="F559" t="s">
        <v>1361</v>
      </c>
      <c r="G559" t="s">
        <v>1366</v>
      </c>
      <c r="H559" t="s">
        <v>1363</v>
      </c>
      <c r="I559" t="s">
        <v>1364</v>
      </c>
    </row>
    <row r="560" spans="1:9" x14ac:dyDescent="0.25">
      <c r="A560" s="1" t="str">
        <f>HYPERLINK("https://lynxcrm-apac--c.eu19.visual.force.com/0011i000001xmbBAAQ","Chang Clinic")</f>
        <v>Chang Clinic</v>
      </c>
      <c r="B560" t="s">
        <v>1376</v>
      </c>
      <c r="C560" t="s">
        <v>10</v>
      </c>
      <c r="D560" t="s">
        <v>8</v>
      </c>
      <c r="E560" t="s">
        <v>8</v>
      </c>
      <c r="F560" t="s">
        <v>1377</v>
      </c>
      <c r="G560" t="s">
        <v>1378</v>
      </c>
      <c r="H560" t="s">
        <v>1378</v>
      </c>
      <c r="I560" t="s">
        <v>1364</v>
      </c>
    </row>
    <row r="561" spans="1:9" x14ac:dyDescent="0.25">
      <c r="A561" s="1" t="str">
        <f>HYPERLINK("https://lynxcrm-apac--c.eu19.visual.force.com/0011i000001xn5VAAQ","Chang Clinic")</f>
        <v>Chang Clinic</v>
      </c>
      <c r="B561" t="s">
        <v>1379</v>
      </c>
      <c r="C561" t="s">
        <v>10</v>
      </c>
      <c r="D561" t="s">
        <v>8</v>
      </c>
      <c r="E561" t="s">
        <v>8</v>
      </c>
      <c r="F561" t="s">
        <v>1361</v>
      </c>
      <c r="G561" t="s">
        <v>1366</v>
      </c>
      <c r="H561" t="s">
        <v>1363</v>
      </c>
      <c r="I561" t="s">
        <v>1364</v>
      </c>
    </row>
    <row r="562" spans="1:9" x14ac:dyDescent="0.25">
      <c r="A562" s="1" t="str">
        <f>HYPERLINK("https://lynxcrm-apac--c.eu19.visual.force.com/0011i000001xnWNAAY","Changi Clinic")</f>
        <v>Changi Clinic</v>
      </c>
      <c r="B562" t="s">
        <v>1380</v>
      </c>
      <c r="C562" t="s">
        <v>10</v>
      </c>
      <c r="D562" t="s">
        <v>8</v>
      </c>
      <c r="E562" t="s">
        <v>8</v>
      </c>
      <c r="F562" t="s">
        <v>1381</v>
      </c>
      <c r="G562" t="s">
        <v>1382</v>
      </c>
      <c r="H562" t="s">
        <v>1383</v>
      </c>
      <c r="I562" t="s">
        <v>1384</v>
      </c>
    </row>
    <row r="563" spans="1:9" x14ac:dyDescent="0.25">
      <c r="A563" s="1" t="str">
        <f>HYPERLINK("https://lynxcrm-apac--c.eu19.visual.force.com/0011i000001xmysAAA","Changi General Hospital")</f>
        <v>Changi General Hospital</v>
      </c>
      <c r="B563" t="s">
        <v>1385</v>
      </c>
      <c r="C563" t="s">
        <v>10</v>
      </c>
      <c r="D563" t="s">
        <v>8</v>
      </c>
      <c r="E563" t="s">
        <v>8</v>
      </c>
      <c r="F563" t="s">
        <v>584</v>
      </c>
      <c r="G563" t="s">
        <v>584</v>
      </c>
      <c r="H563" t="s">
        <v>1386</v>
      </c>
      <c r="I563" t="s">
        <v>585</v>
      </c>
    </row>
    <row r="564" spans="1:9" x14ac:dyDescent="0.25">
      <c r="A564" s="1" t="str">
        <f>HYPERLINK("https://lynxcrm-apac--c.eu19.visual.force.com/0011i000001xnCTAAY","Changi General Hospital")</f>
        <v>Changi General Hospital</v>
      </c>
      <c r="B564" t="s">
        <v>1387</v>
      </c>
      <c r="C564" t="s">
        <v>10</v>
      </c>
      <c r="D564" t="s">
        <v>8</v>
      </c>
      <c r="E564" t="s">
        <v>8</v>
      </c>
      <c r="F564" t="s">
        <v>1388</v>
      </c>
      <c r="G564" t="s">
        <v>584</v>
      </c>
      <c r="H564" t="s">
        <v>584</v>
      </c>
      <c r="I564" t="s">
        <v>585</v>
      </c>
    </row>
    <row r="565" spans="1:9" x14ac:dyDescent="0.25">
      <c r="A565" s="1" t="str">
        <f>HYPERLINK("https://lynxcrm-apac--c.eu19.visual.force.com/0011i000001xnFDAAY","Changi General Hospital")</f>
        <v>Changi General Hospital</v>
      </c>
      <c r="B565" t="s">
        <v>1389</v>
      </c>
      <c r="C565" t="s">
        <v>10</v>
      </c>
      <c r="D565" t="s">
        <v>8</v>
      </c>
      <c r="E565" t="s">
        <v>8</v>
      </c>
      <c r="F565" t="s">
        <v>1390</v>
      </c>
      <c r="G565" t="s">
        <v>584</v>
      </c>
      <c r="H565" t="s">
        <v>584</v>
      </c>
      <c r="I565" t="s">
        <v>585</v>
      </c>
    </row>
    <row r="566" spans="1:9" x14ac:dyDescent="0.25">
      <c r="A566" s="1" t="str">
        <f>HYPERLINK("https://lynxcrm-apac--c.eu19.visual.force.com/0011i000001xnGOAAY","Changi General Hospital")</f>
        <v>Changi General Hospital</v>
      </c>
      <c r="B566" t="s">
        <v>1391</v>
      </c>
      <c r="C566" t="s">
        <v>10</v>
      </c>
      <c r="D566" t="s">
        <v>8</v>
      </c>
      <c r="E566" t="s">
        <v>8</v>
      </c>
      <c r="F566" t="s">
        <v>1392</v>
      </c>
      <c r="G566" t="s">
        <v>1393</v>
      </c>
      <c r="H566" t="s">
        <v>1393</v>
      </c>
      <c r="I566" t="s">
        <v>585</v>
      </c>
    </row>
    <row r="567" spans="1:9" x14ac:dyDescent="0.25">
      <c r="A567" s="1" t="str">
        <f>HYPERLINK("https://lynxcrm-apac--c.eu19.visual.force.com/0011i000001xnXZAAY","Changi General Hospital")</f>
        <v>Changi General Hospital</v>
      </c>
      <c r="B567" t="s">
        <v>1394</v>
      </c>
      <c r="C567" t="s">
        <v>10</v>
      </c>
      <c r="D567" t="s">
        <v>8</v>
      </c>
      <c r="E567" t="s">
        <v>8</v>
      </c>
      <c r="F567" t="s">
        <v>1352</v>
      </c>
      <c r="G567" t="s">
        <v>584</v>
      </c>
      <c r="H567" t="s">
        <v>584</v>
      </c>
      <c r="I567" t="s">
        <v>585</v>
      </c>
    </row>
    <row r="568" spans="1:9" x14ac:dyDescent="0.25">
      <c r="A568" s="1" t="str">
        <f>HYPERLINK("https://lynxcrm-apac--c.eu19.visual.force.com/0011i000001xmdaAAA","Changi General Hospital")</f>
        <v>Changi General Hospital</v>
      </c>
      <c r="B568" t="s">
        <v>1395</v>
      </c>
      <c r="C568" t="s">
        <v>10</v>
      </c>
      <c r="D568" t="s">
        <v>8</v>
      </c>
      <c r="E568" t="s">
        <v>8</v>
      </c>
      <c r="F568" t="s">
        <v>248</v>
      </c>
      <c r="G568" t="s">
        <v>584</v>
      </c>
      <c r="H568" t="s">
        <v>584</v>
      </c>
      <c r="I568" t="s">
        <v>585</v>
      </c>
    </row>
    <row r="569" spans="1:9" x14ac:dyDescent="0.25">
      <c r="A569" s="1" t="str">
        <f>HYPERLINK("https://lynxcrm-apac--c.eu19.visual.force.com/0011i000001xnRKAAY","Changi General Hospital")</f>
        <v>Changi General Hospital</v>
      </c>
      <c r="B569" t="s">
        <v>1396</v>
      </c>
      <c r="C569" t="s">
        <v>10</v>
      </c>
      <c r="D569" t="s">
        <v>8</v>
      </c>
      <c r="E569" t="s">
        <v>8</v>
      </c>
      <c r="F569" t="s">
        <v>257</v>
      </c>
      <c r="G569" t="s">
        <v>584</v>
      </c>
      <c r="H569" t="s">
        <v>584</v>
      </c>
      <c r="I569" t="s">
        <v>585</v>
      </c>
    </row>
    <row r="570" spans="1:9" x14ac:dyDescent="0.25">
      <c r="A570" s="1" t="str">
        <f>HYPERLINK("https://lynxcrm-apac--c.eu19.visual.force.com/0011i000001xnSnAAI","Changi General Hospital")</f>
        <v>Changi General Hospital</v>
      </c>
      <c r="B570" t="s">
        <v>1397</v>
      </c>
      <c r="C570" t="s">
        <v>10</v>
      </c>
      <c r="D570" t="s">
        <v>8</v>
      </c>
      <c r="E570" t="s">
        <v>8</v>
      </c>
      <c r="F570" t="s">
        <v>584</v>
      </c>
      <c r="G570" t="s">
        <v>583</v>
      </c>
      <c r="H570" t="s">
        <v>583</v>
      </c>
      <c r="I570" t="s">
        <v>585</v>
      </c>
    </row>
    <row r="571" spans="1:9" x14ac:dyDescent="0.25">
      <c r="A571" s="1" t="str">
        <f t="shared" ref="A571:A580" si="5">HYPERLINK("https://lynxcrm-apac--c.eu19.visual.force.com/0011i000001xnTlAAI","Changi General Hospital")</f>
        <v>Changi General Hospital</v>
      </c>
      <c r="B571" t="s">
        <v>1398</v>
      </c>
      <c r="C571" t="s">
        <v>10</v>
      </c>
      <c r="D571" t="s">
        <v>8</v>
      </c>
      <c r="E571" t="s">
        <v>8</v>
      </c>
      <c r="F571" t="s">
        <v>1399</v>
      </c>
      <c r="G571" t="s">
        <v>1400</v>
      </c>
      <c r="H571" t="s">
        <v>1400</v>
      </c>
      <c r="I571" t="s">
        <v>585</v>
      </c>
    </row>
    <row r="572" spans="1:9" x14ac:dyDescent="0.25">
      <c r="A572" s="1" t="str">
        <f t="shared" si="5"/>
        <v>Changi General Hospital</v>
      </c>
      <c r="B572" t="s">
        <v>1398</v>
      </c>
      <c r="C572" t="s">
        <v>10</v>
      </c>
      <c r="D572" t="s">
        <v>8</v>
      </c>
      <c r="E572" t="s">
        <v>8</v>
      </c>
      <c r="F572" t="s">
        <v>246</v>
      </c>
      <c r="G572" t="s">
        <v>584</v>
      </c>
      <c r="H572" t="s">
        <v>1386</v>
      </c>
      <c r="I572" t="s">
        <v>585</v>
      </c>
    </row>
    <row r="573" spans="1:9" x14ac:dyDescent="0.25">
      <c r="A573" s="1" t="str">
        <f t="shared" si="5"/>
        <v>Changi General Hospital</v>
      </c>
      <c r="B573" t="s">
        <v>1398</v>
      </c>
      <c r="C573" t="s">
        <v>10</v>
      </c>
      <c r="D573" t="s">
        <v>8</v>
      </c>
      <c r="E573" t="s">
        <v>8</v>
      </c>
      <c r="F573" t="s">
        <v>584</v>
      </c>
      <c r="G573" t="s">
        <v>584</v>
      </c>
      <c r="H573" t="s">
        <v>8</v>
      </c>
      <c r="I573" t="s">
        <v>362</v>
      </c>
    </row>
    <row r="574" spans="1:9" x14ac:dyDescent="0.25">
      <c r="A574" s="1" t="str">
        <f t="shared" si="5"/>
        <v>Changi General Hospital</v>
      </c>
      <c r="B574" t="s">
        <v>1398</v>
      </c>
      <c r="C574" t="s">
        <v>10</v>
      </c>
      <c r="D574" t="s">
        <v>8</v>
      </c>
      <c r="E574" t="s">
        <v>8</v>
      </c>
      <c r="F574" t="s">
        <v>234</v>
      </c>
      <c r="G574" t="s">
        <v>584</v>
      </c>
      <c r="H574" t="s">
        <v>1386</v>
      </c>
      <c r="I574" t="s">
        <v>585</v>
      </c>
    </row>
    <row r="575" spans="1:9" x14ac:dyDescent="0.25">
      <c r="A575" s="1" t="str">
        <f t="shared" si="5"/>
        <v>Changi General Hospital</v>
      </c>
      <c r="B575" t="s">
        <v>1398</v>
      </c>
      <c r="C575" t="s">
        <v>10</v>
      </c>
      <c r="D575" t="s">
        <v>8</v>
      </c>
      <c r="E575" t="s">
        <v>8</v>
      </c>
      <c r="F575" t="s">
        <v>257</v>
      </c>
      <c r="G575" t="s">
        <v>584</v>
      </c>
      <c r="H575" t="s">
        <v>1386</v>
      </c>
      <c r="I575" t="s">
        <v>585</v>
      </c>
    </row>
    <row r="576" spans="1:9" x14ac:dyDescent="0.25">
      <c r="A576" s="1" t="str">
        <f t="shared" si="5"/>
        <v>Changi General Hospital</v>
      </c>
      <c r="B576" t="s">
        <v>1398</v>
      </c>
      <c r="C576" t="s">
        <v>10</v>
      </c>
      <c r="D576" t="s">
        <v>8</v>
      </c>
      <c r="E576" t="s">
        <v>8</v>
      </c>
      <c r="F576" t="s">
        <v>1401</v>
      </c>
      <c r="G576" t="s">
        <v>1401</v>
      </c>
      <c r="H576" t="s">
        <v>8</v>
      </c>
      <c r="I576" t="s">
        <v>585</v>
      </c>
    </row>
    <row r="577" spans="1:9" x14ac:dyDescent="0.25">
      <c r="A577" s="1" t="str">
        <f t="shared" si="5"/>
        <v>Changi General Hospital</v>
      </c>
      <c r="B577" t="s">
        <v>1398</v>
      </c>
      <c r="C577" t="s">
        <v>10</v>
      </c>
      <c r="D577" t="s">
        <v>8</v>
      </c>
      <c r="E577" t="s">
        <v>8</v>
      </c>
      <c r="F577" t="s">
        <v>1400</v>
      </c>
      <c r="G577" t="s">
        <v>584</v>
      </c>
      <c r="H577" t="s">
        <v>1386</v>
      </c>
      <c r="I577" t="s">
        <v>585</v>
      </c>
    </row>
    <row r="578" spans="1:9" x14ac:dyDescent="0.25">
      <c r="A578" s="1" t="str">
        <f t="shared" si="5"/>
        <v>Changi General Hospital</v>
      </c>
      <c r="B578" t="s">
        <v>1398</v>
      </c>
      <c r="C578" t="s">
        <v>10</v>
      </c>
      <c r="D578" t="s">
        <v>8</v>
      </c>
      <c r="E578" t="s">
        <v>8</v>
      </c>
      <c r="F578" t="s">
        <v>583</v>
      </c>
      <c r="G578" t="s">
        <v>584</v>
      </c>
      <c r="H578" t="s">
        <v>584</v>
      </c>
      <c r="I578" t="s">
        <v>585</v>
      </c>
    </row>
    <row r="579" spans="1:9" x14ac:dyDescent="0.25">
      <c r="A579" s="1" t="str">
        <f t="shared" si="5"/>
        <v>Changi General Hospital</v>
      </c>
      <c r="B579" t="s">
        <v>1398</v>
      </c>
      <c r="C579" t="s">
        <v>10</v>
      </c>
      <c r="D579" t="s">
        <v>8</v>
      </c>
      <c r="E579" t="s">
        <v>8</v>
      </c>
      <c r="F579" t="s">
        <v>584</v>
      </c>
      <c r="G579" t="s">
        <v>584</v>
      </c>
      <c r="H579" t="s">
        <v>8</v>
      </c>
      <c r="I579" t="s">
        <v>585</v>
      </c>
    </row>
    <row r="580" spans="1:9" x14ac:dyDescent="0.25">
      <c r="A580" s="1" t="str">
        <f t="shared" si="5"/>
        <v>Changi General Hospital</v>
      </c>
      <c r="B580" t="s">
        <v>1398</v>
      </c>
      <c r="C580" t="s">
        <v>10</v>
      </c>
      <c r="D580" t="s">
        <v>8</v>
      </c>
      <c r="E580" t="s">
        <v>8</v>
      </c>
      <c r="F580" t="s">
        <v>584</v>
      </c>
      <c r="G580" t="s">
        <v>246</v>
      </c>
      <c r="H580" t="s">
        <v>246</v>
      </c>
      <c r="I580" t="s">
        <v>585</v>
      </c>
    </row>
    <row r="581" spans="1:9" x14ac:dyDescent="0.25">
      <c r="A581" s="1" t="str">
        <f>HYPERLINK("https://lynxcrm-apac--c.eu19.visual.force.com/0011i000001xnZQAAY","Changi General Hospital")</f>
        <v>Changi General Hospital</v>
      </c>
      <c r="B581" t="s">
        <v>1402</v>
      </c>
      <c r="C581" t="s">
        <v>10</v>
      </c>
      <c r="D581" t="s">
        <v>8</v>
      </c>
      <c r="E581" t="s">
        <v>8</v>
      </c>
      <c r="F581" t="s">
        <v>584</v>
      </c>
      <c r="G581" t="s">
        <v>584</v>
      </c>
      <c r="H581" t="s">
        <v>1386</v>
      </c>
      <c r="I581" t="s">
        <v>585</v>
      </c>
    </row>
    <row r="582" spans="1:9" x14ac:dyDescent="0.25">
      <c r="A582" s="1" t="str">
        <f>HYPERLINK("https://lynxcrm-apac--c.eu19.visual.force.com/0011i000001xnZjAAI","Changi General Hospital")</f>
        <v>Changi General Hospital</v>
      </c>
      <c r="B582" t="s">
        <v>1403</v>
      </c>
      <c r="C582" t="s">
        <v>10</v>
      </c>
      <c r="D582" t="s">
        <v>8</v>
      </c>
      <c r="E582" t="s">
        <v>8</v>
      </c>
      <c r="F582" t="s">
        <v>584</v>
      </c>
      <c r="G582" t="s">
        <v>584</v>
      </c>
      <c r="H582" t="s">
        <v>8</v>
      </c>
      <c r="I582" t="s">
        <v>8</v>
      </c>
    </row>
    <row r="583" spans="1:9" x14ac:dyDescent="0.25">
      <c r="A583" s="1" t="str">
        <f>HYPERLINK("https://lynxcrm-apac--c.eu19.visual.force.com/0011i000001xncEAAQ","Changi General Hospital")</f>
        <v>Changi General Hospital</v>
      </c>
      <c r="B583" t="s">
        <v>1404</v>
      </c>
      <c r="C583" t="s">
        <v>10</v>
      </c>
      <c r="D583" t="s">
        <v>8</v>
      </c>
      <c r="E583" t="s">
        <v>8</v>
      </c>
      <c r="F583" t="s">
        <v>584</v>
      </c>
      <c r="G583" t="s">
        <v>584</v>
      </c>
      <c r="H583" t="s">
        <v>8</v>
      </c>
      <c r="I583" t="s">
        <v>585</v>
      </c>
    </row>
    <row r="584" spans="1:9" x14ac:dyDescent="0.25">
      <c r="A584" s="1" t="str">
        <f>HYPERLINK("https://lynxcrm-apac--c.eu19.visual.force.com/0011i000001xmdpAAA","Changi General Hospital")</f>
        <v>Changi General Hospital</v>
      </c>
      <c r="B584" t="s">
        <v>1405</v>
      </c>
      <c r="C584" t="s">
        <v>10</v>
      </c>
      <c r="D584" t="s">
        <v>8</v>
      </c>
      <c r="E584" t="s">
        <v>8</v>
      </c>
      <c r="F584" t="s">
        <v>359</v>
      </c>
      <c r="G584" t="s">
        <v>584</v>
      </c>
      <c r="H584" t="s">
        <v>584</v>
      </c>
      <c r="I584" t="s">
        <v>585</v>
      </c>
    </row>
    <row r="585" spans="1:9" x14ac:dyDescent="0.25">
      <c r="A585" s="1" t="str">
        <f>HYPERLINK("https://lynxcrm-apac--c.eu19.visual.force.com/0011i000001xmguAAA","Changi General Hospital")</f>
        <v>Changi General Hospital</v>
      </c>
      <c r="B585" t="s">
        <v>1406</v>
      </c>
      <c r="C585" t="s">
        <v>10</v>
      </c>
      <c r="D585" t="s">
        <v>8</v>
      </c>
      <c r="E585" t="s">
        <v>8</v>
      </c>
      <c r="F585" t="s">
        <v>1407</v>
      </c>
      <c r="G585" t="s">
        <v>584</v>
      </c>
      <c r="H585" t="s">
        <v>1386</v>
      </c>
      <c r="I585" t="s">
        <v>585</v>
      </c>
    </row>
    <row r="586" spans="1:9" x14ac:dyDescent="0.25">
      <c r="A586" s="1" t="str">
        <f>HYPERLINK("https://lynxcrm-apac--c.eu19.visual.force.com/0011i000001xmmNAAQ","Changi General Hospital")</f>
        <v>Changi General Hospital</v>
      </c>
      <c r="B586" t="s">
        <v>1408</v>
      </c>
      <c r="C586" t="s">
        <v>10</v>
      </c>
      <c r="D586" t="s">
        <v>8</v>
      </c>
      <c r="E586" t="s">
        <v>8</v>
      </c>
      <c r="F586" t="s">
        <v>427</v>
      </c>
      <c r="G586" t="s">
        <v>584</v>
      </c>
      <c r="H586" t="s">
        <v>1386</v>
      </c>
      <c r="I586" t="s">
        <v>585</v>
      </c>
    </row>
    <row r="587" spans="1:9" x14ac:dyDescent="0.25">
      <c r="A587" s="1" t="str">
        <f>HYPERLINK("https://lynxcrm-apac--c.eu19.visual.force.com/0011i000001xmsdAAA","Changi General Hospital")</f>
        <v>Changi General Hospital</v>
      </c>
      <c r="B587" t="s">
        <v>1409</v>
      </c>
      <c r="C587" t="s">
        <v>10</v>
      </c>
      <c r="D587" t="s">
        <v>8</v>
      </c>
      <c r="E587" t="s">
        <v>8</v>
      </c>
      <c r="F587" t="s">
        <v>234</v>
      </c>
      <c r="G587" t="s">
        <v>584</v>
      </c>
      <c r="H587" t="s">
        <v>1386</v>
      </c>
      <c r="I587" t="s">
        <v>585</v>
      </c>
    </row>
    <row r="588" spans="1:9" x14ac:dyDescent="0.25">
      <c r="A588" s="1" t="str">
        <f>HYPERLINK("https://lynxcrm-apac--c.eu19.visual.force.com/0011i000001xmuzAAA","Changi General Hospital")</f>
        <v>Changi General Hospital</v>
      </c>
      <c r="B588" t="s">
        <v>1410</v>
      </c>
      <c r="C588" t="s">
        <v>10</v>
      </c>
      <c r="D588" t="s">
        <v>8</v>
      </c>
      <c r="E588" t="s">
        <v>8</v>
      </c>
      <c r="F588" t="s">
        <v>248</v>
      </c>
      <c r="G588" t="s">
        <v>584</v>
      </c>
      <c r="H588" t="s">
        <v>1386</v>
      </c>
      <c r="I588" t="s">
        <v>585</v>
      </c>
    </row>
    <row r="589" spans="1:9" x14ac:dyDescent="0.25">
      <c r="A589" s="1" t="str">
        <f>HYPERLINK("https://lynxcrm-apac--c.eu19.visual.force.com/0011i000001xn4eAAA","Changi General Hospital")</f>
        <v>Changi General Hospital</v>
      </c>
      <c r="B589" t="s">
        <v>1411</v>
      </c>
      <c r="C589" t="s">
        <v>10</v>
      </c>
      <c r="D589" t="s">
        <v>8</v>
      </c>
      <c r="E589" t="s">
        <v>8</v>
      </c>
      <c r="F589" t="s">
        <v>1412</v>
      </c>
      <c r="G589" t="s">
        <v>584</v>
      </c>
      <c r="H589" t="s">
        <v>584</v>
      </c>
      <c r="I589" t="s">
        <v>585</v>
      </c>
    </row>
    <row r="590" spans="1:9" x14ac:dyDescent="0.25">
      <c r="A590" s="1" t="str">
        <f>HYPERLINK("https://lynxcrm-apac--c.eu19.visual.force.com/0011i000001xn5KAAQ","Changi General Hospital")</f>
        <v>Changi General Hospital</v>
      </c>
      <c r="B590" t="s">
        <v>1413</v>
      </c>
      <c r="C590" t="s">
        <v>10</v>
      </c>
      <c r="D590" t="s">
        <v>8</v>
      </c>
      <c r="E590" t="s">
        <v>8</v>
      </c>
      <c r="F590" t="s">
        <v>584</v>
      </c>
      <c r="G590" t="s">
        <v>584</v>
      </c>
      <c r="H590" t="s">
        <v>8</v>
      </c>
      <c r="I590" t="s">
        <v>585</v>
      </c>
    </row>
    <row r="591" spans="1:9" x14ac:dyDescent="0.25">
      <c r="A591" s="1" t="str">
        <f>HYPERLINK("https://lynxcrm-apac--c.eu19.visual.force.com/0011i000001xn5PAAQ","Changi General Hospital")</f>
        <v>Changi General Hospital</v>
      </c>
      <c r="B591" t="s">
        <v>1414</v>
      </c>
      <c r="C591" t="s">
        <v>10</v>
      </c>
      <c r="D591" t="s">
        <v>8</v>
      </c>
      <c r="E591" t="s">
        <v>8</v>
      </c>
      <c r="F591" t="s">
        <v>257</v>
      </c>
      <c r="G591" t="s">
        <v>584</v>
      </c>
      <c r="H591" t="s">
        <v>1386</v>
      </c>
      <c r="I591" t="s">
        <v>585</v>
      </c>
    </row>
    <row r="592" spans="1:9" x14ac:dyDescent="0.25">
      <c r="A592" s="1" t="str">
        <f>HYPERLINK("https://lynxcrm-apac--c.eu19.visual.force.com/0011i000001xn61AAA","Changi General Hospital")</f>
        <v>Changi General Hospital</v>
      </c>
      <c r="B592" t="s">
        <v>1415</v>
      </c>
      <c r="C592" t="s">
        <v>10</v>
      </c>
      <c r="D592" t="s">
        <v>8</v>
      </c>
      <c r="E592" t="s">
        <v>8</v>
      </c>
      <c r="F592" t="s">
        <v>1274</v>
      </c>
      <c r="G592" t="s">
        <v>584</v>
      </c>
      <c r="H592" t="s">
        <v>584</v>
      </c>
      <c r="I592" t="s">
        <v>585</v>
      </c>
    </row>
    <row r="593" spans="1:9" x14ac:dyDescent="0.25">
      <c r="A593" s="1" t="str">
        <f>HYPERLINK("https://lynxcrm-apac--c.eu19.visual.force.com/0011i000001xnCUAAY","Changi General Hospital")</f>
        <v>Changi General Hospital</v>
      </c>
      <c r="B593" t="s">
        <v>1416</v>
      </c>
      <c r="C593" t="s">
        <v>10</v>
      </c>
      <c r="D593" t="s">
        <v>8</v>
      </c>
      <c r="E593" t="s">
        <v>8</v>
      </c>
      <c r="F593" t="s">
        <v>1417</v>
      </c>
      <c r="G593" t="s">
        <v>584</v>
      </c>
      <c r="H593" t="s">
        <v>1386</v>
      </c>
      <c r="I593" t="s">
        <v>585</v>
      </c>
    </row>
    <row r="594" spans="1:9" x14ac:dyDescent="0.25">
      <c r="A594" s="1" t="str">
        <f>HYPERLINK("https://lynxcrm-apac--c.eu19.visual.force.com/0011i000001xnEaAAI","Changi General Hospital")</f>
        <v>Changi General Hospital</v>
      </c>
      <c r="B594" t="s">
        <v>1418</v>
      </c>
      <c r="C594" t="s">
        <v>10</v>
      </c>
      <c r="D594" t="s">
        <v>8</v>
      </c>
      <c r="E594" t="s">
        <v>8</v>
      </c>
      <c r="F594" t="s">
        <v>584</v>
      </c>
      <c r="G594" t="s">
        <v>584</v>
      </c>
      <c r="H594" t="s">
        <v>1386</v>
      </c>
      <c r="I594" t="s">
        <v>585</v>
      </c>
    </row>
    <row r="595" spans="1:9" x14ac:dyDescent="0.25">
      <c r="A595" s="1" t="str">
        <f>HYPERLINK("https://lynxcrm-apac--c.eu19.visual.force.com/0011i000001xnIBAAY","Changi General Hospital")</f>
        <v>Changi General Hospital</v>
      </c>
      <c r="B595" t="s">
        <v>1419</v>
      </c>
      <c r="C595" t="s">
        <v>10</v>
      </c>
      <c r="D595" t="s">
        <v>8</v>
      </c>
      <c r="E595" t="s">
        <v>8</v>
      </c>
      <c r="F595" t="s">
        <v>234</v>
      </c>
      <c r="G595" t="s">
        <v>584</v>
      </c>
      <c r="H595" t="s">
        <v>1386</v>
      </c>
      <c r="I595" t="s">
        <v>585</v>
      </c>
    </row>
    <row r="596" spans="1:9" x14ac:dyDescent="0.25">
      <c r="A596" s="1" t="str">
        <f>HYPERLINK("https://lynxcrm-apac--c.eu19.visual.force.com/0011i000001xnPcAAI","Changi General Hospital")</f>
        <v>Changi General Hospital</v>
      </c>
      <c r="B596" t="s">
        <v>1420</v>
      </c>
      <c r="C596" t="s">
        <v>10</v>
      </c>
      <c r="D596" t="s">
        <v>8</v>
      </c>
      <c r="E596" t="s">
        <v>8</v>
      </c>
      <c r="F596" t="s">
        <v>1352</v>
      </c>
      <c r="G596" t="s">
        <v>584</v>
      </c>
      <c r="H596" t="s">
        <v>584</v>
      </c>
      <c r="I596" t="s">
        <v>585</v>
      </c>
    </row>
    <row r="597" spans="1:9" x14ac:dyDescent="0.25">
      <c r="A597" s="1" t="str">
        <f>HYPERLINK("https://lynxcrm-apac--c.eu19.visual.force.com/0011i000001xmcJAAQ","Changi General Hospital")</f>
        <v>Changi General Hospital</v>
      </c>
      <c r="B597" t="s">
        <v>1421</v>
      </c>
      <c r="C597" t="s">
        <v>10</v>
      </c>
      <c r="D597" t="s">
        <v>8</v>
      </c>
      <c r="E597" t="s">
        <v>8</v>
      </c>
      <c r="F597" t="s">
        <v>257</v>
      </c>
      <c r="G597" t="s">
        <v>584</v>
      </c>
      <c r="H597" t="s">
        <v>584</v>
      </c>
      <c r="I597" t="s">
        <v>585</v>
      </c>
    </row>
    <row r="598" spans="1:9" x14ac:dyDescent="0.25">
      <c r="A598" s="1" t="str">
        <f>HYPERLINK("https://lynxcrm-apac--c.eu19.visual.force.com/0011i000001xmnyAAA","Changi General Hospital")</f>
        <v>Changi General Hospital</v>
      </c>
      <c r="B598" t="s">
        <v>1422</v>
      </c>
      <c r="C598" t="s">
        <v>10</v>
      </c>
      <c r="D598" t="s">
        <v>8</v>
      </c>
      <c r="E598" t="s">
        <v>8</v>
      </c>
      <c r="F598" t="s">
        <v>359</v>
      </c>
      <c r="G598" t="s">
        <v>584</v>
      </c>
      <c r="H598" t="s">
        <v>1386</v>
      </c>
      <c r="I598" t="s">
        <v>585</v>
      </c>
    </row>
    <row r="599" spans="1:9" x14ac:dyDescent="0.25">
      <c r="A599" s="1" t="str">
        <f>HYPERLINK("https://lynxcrm-apac--c.eu19.visual.force.com/0011i000001xnEsAAI","Changi General Hospital")</f>
        <v>Changi General Hospital</v>
      </c>
      <c r="B599" t="s">
        <v>1423</v>
      </c>
      <c r="C599" t="s">
        <v>10</v>
      </c>
      <c r="D599" t="s">
        <v>8</v>
      </c>
      <c r="E599" t="s">
        <v>8</v>
      </c>
      <c r="F599" t="s">
        <v>359</v>
      </c>
      <c r="G599" t="s">
        <v>584</v>
      </c>
      <c r="H599" t="s">
        <v>1386</v>
      </c>
      <c r="I599" t="s">
        <v>585</v>
      </c>
    </row>
    <row r="600" spans="1:9" x14ac:dyDescent="0.25">
      <c r="A600" s="1" t="str">
        <f>HYPERLINK("https://lynxcrm-apac--c.eu19.visual.force.com/0011i000001xnMhAAI","Changi General Hospital")</f>
        <v>Changi General Hospital</v>
      </c>
      <c r="B600" t="s">
        <v>1424</v>
      </c>
      <c r="C600" t="s">
        <v>10</v>
      </c>
      <c r="D600" t="s">
        <v>8</v>
      </c>
      <c r="E600" t="s">
        <v>8</v>
      </c>
      <c r="F600" t="s">
        <v>1425</v>
      </c>
      <c r="G600" t="s">
        <v>584</v>
      </c>
      <c r="H600" t="s">
        <v>1386</v>
      </c>
      <c r="I600" t="s">
        <v>585</v>
      </c>
    </row>
    <row r="601" spans="1:9" x14ac:dyDescent="0.25">
      <c r="A601" s="1" t="str">
        <f>HYPERLINK("https://lynxcrm-apac--c.eu19.visual.force.com/0011i000001xnUTAAY","Changi General Hospital")</f>
        <v>Changi General Hospital</v>
      </c>
      <c r="B601" t="s">
        <v>1426</v>
      </c>
      <c r="C601" t="s">
        <v>10</v>
      </c>
      <c r="D601" t="s">
        <v>8</v>
      </c>
      <c r="E601" t="s">
        <v>8</v>
      </c>
      <c r="F601" t="s">
        <v>584</v>
      </c>
      <c r="G601" t="s">
        <v>583</v>
      </c>
      <c r="H601" t="s">
        <v>583</v>
      </c>
      <c r="I601" t="s">
        <v>585</v>
      </c>
    </row>
    <row r="602" spans="1:9" x14ac:dyDescent="0.25">
      <c r="A602" s="1" t="str">
        <f>HYPERLINK("https://lynxcrm-apac--c.eu19.visual.force.com/0011i000001xna9AAA","Chang Zhen Pte Ltd")</f>
        <v>Chang Zhen Pte Ltd</v>
      </c>
      <c r="B602" t="s">
        <v>1427</v>
      </c>
      <c r="C602" t="s">
        <v>10</v>
      </c>
      <c r="D602" t="s">
        <v>8</v>
      </c>
      <c r="E602" t="s">
        <v>8</v>
      </c>
      <c r="F602" t="s">
        <v>1428</v>
      </c>
      <c r="G602" t="s">
        <v>1429</v>
      </c>
      <c r="H602" t="s">
        <v>1430</v>
      </c>
      <c r="I602" t="s">
        <v>1431</v>
      </c>
    </row>
    <row r="603" spans="1:9" x14ac:dyDescent="0.25">
      <c r="A603" s="1" t="str">
        <f>HYPERLINK("https://lynxcrm-apac--c.eu19.visual.force.com/0011i000001xms2AAA","Chan KM Geriatric &amp; Medical Clinic")</f>
        <v>Chan KM Geriatric &amp; Medical Clinic</v>
      </c>
      <c r="B603" t="s">
        <v>1432</v>
      </c>
      <c r="C603" t="s">
        <v>10</v>
      </c>
      <c r="D603" t="s">
        <v>8</v>
      </c>
      <c r="E603" t="s">
        <v>8</v>
      </c>
      <c r="F603" t="s">
        <v>69</v>
      </c>
      <c r="G603" t="s">
        <v>1211</v>
      </c>
      <c r="H603" t="s">
        <v>1212</v>
      </c>
      <c r="I603" t="s">
        <v>67</v>
      </c>
    </row>
    <row r="604" spans="1:9" x14ac:dyDescent="0.25">
      <c r="A604" s="1" t="str">
        <f>HYPERLINK("https://lynxcrm-apac--c.eu19.visual.force.com/0011i000001xmi0AAA","Chan Med &amp; Endo / Chan MEC Pte Ltd")</f>
        <v>Chan Med &amp; Endo / Chan MEC Pte Ltd</v>
      </c>
      <c r="B604" t="s">
        <v>1433</v>
      </c>
      <c r="C604" t="s">
        <v>10</v>
      </c>
      <c r="D604" t="s">
        <v>8</v>
      </c>
      <c r="E604" t="s">
        <v>8</v>
      </c>
      <c r="F604" t="s">
        <v>69</v>
      </c>
      <c r="G604" t="s">
        <v>1434</v>
      </c>
      <c r="H604" t="s">
        <v>1435</v>
      </c>
      <c r="I604" t="s">
        <v>67</v>
      </c>
    </row>
    <row r="605" spans="1:9" x14ac:dyDescent="0.25">
      <c r="A605" s="1" t="str">
        <f>HYPERLINK("https://lynxcrm-apac--c.eu19.visual.force.com/0011i000001xo4pAAA","Chao, Tar Liang Anthony")</f>
        <v>Chao, Tar Liang Anthony</v>
      </c>
      <c r="B605" t="s">
        <v>1436</v>
      </c>
      <c r="C605" t="s">
        <v>28</v>
      </c>
      <c r="D605" t="s">
        <v>54</v>
      </c>
      <c r="E605" t="s">
        <v>8</v>
      </c>
      <c r="F605" t="s">
        <v>1225</v>
      </c>
      <c r="G605" t="s">
        <v>1225</v>
      </c>
      <c r="H605" t="s">
        <v>1226</v>
      </c>
      <c r="I605" t="s">
        <v>55</v>
      </c>
    </row>
    <row r="606" spans="1:9" x14ac:dyDescent="0.25">
      <c r="A606" s="1" t="str">
        <f>HYPERLINK("https://lynxcrm-apac--c.eu19.visual.force.com/0011i000001xo4pAAA","Chao, Tar Liang Anthony")</f>
        <v>Chao, Tar Liang Anthony</v>
      </c>
      <c r="B606" t="s">
        <v>1436</v>
      </c>
      <c r="C606" t="s">
        <v>28</v>
      </c>
      <c r="D606" t="s">
        <v>54</v>
      </c>
      <c r="E606" t="s">
        <v>8</v>
      </c>
      <c r="F606" t="s">
        <v>1225</v>
      </c>
      <c r="G606" t="s">
        <v>1225</v>
      </c>
      <c r="H606" t="s">
        <v>8</v>
      </c>
      <c r="I606" t="s">
        <v>55</v>
      </c>
    </row>
    <row r="607" spans="1:9" x14ac:dyDescent="0.25">
      <c r="A607" s="1" t="str">
        <f>HYPERLINK("https://lynxcrm-apac--c.eu19.visual.force.com/0011i000001xoMPAAY","Chao, Tar Toong Victor")</f>
        <v>Chao, Tar Toong Victor</v>
      </c>
      <c r="B607" t="s">
        <v>1437</v>
      </c>
      <c r="C607" t="s">
        <v>28</v>
      </c>
      <c r="D607" t="s">
        <v>449</v>
      </c>
      <c r="E607" t="s">
        <v>8</v>
      </c>
      <c r="F607" t="s">
        <v>1438</v>
      </c>
      <c r="G607" t="s">
        <v>452</v>
      </c>
      <c r="H607" t="s">
        <v>453</v>
      </c>
      <c r="I607" t="s">
        <v>454</v>
      </c>
    </row>
    <row r="608" spans="1:9" x14ac:dyDescent="0.25">
      <c r="A608" s="1" t="str">
        <f>HYPERLINK("https://lynxcrm-apac--c.eu19.visual.force.com/0011i000001xoMPAAY","Chao, Tar Toong Victor")</f>
        <v>Chao, Tar Toong Victor</v>
      </c>
      <c r="B608" t="s">
        <v>1437</v>
      </c>
      <c r="C608" t="s">
        <v>28</v>
      </c>
      <c r="D608" t="s">
        <v>449</v>
      </c>
      <c r="E608" t="s">
        <v>8</v>
      </c>
      <c r="F608" t="s">
        <v>450</v>
      </c>
      <c r="G608" t="s">
        <v>449</v>
      </c>
      <c r="H608" t="s">
        <v>449</v>
      </c>
      <c r="I608" t="s">
        <v>451</v>
      </c>
    </row>
    <row r="609" spans="1:9" x14ac:dyDescent="0.25">
      <c r="A609" s="1" t="str">
        <f>HYPERLINK("https://lynxcrm-apac--c.eu19.visual.force.com/0011i000001xoMPAAY","Chao, Tar Toong Victor")</f>
        <v>Chao, Tar Toong Victor</v>
      </c>
      <c r="B609" t="s">
        <v>1437</v>
      </c>
      <c r="C609" t="s">
        <v>28</v>
      </c>
      <c r="D609" t="s">
        <v>449</v>
      </c>
      <c r="E609" t="s">
        <v>8</v>
      </c>
      <c r="F609" t="s">
        <v>234</v>
      </c>
      <c r="G609" t="s">
        <v>452</v>
      </c>
      <c r="H609" t="s">
        <v>453</v>
      </c>
      <c r="I609" t="s">
        <v>454</v>
      </c>
    </row>
    <row r="610" spans="1:9" x14ac:dyDescent="0.25">
      <c r="A610" s="1" t="str">
        <f>HYPERLINK("https://lynxcrm-apac--c.eu19.visual.force.com/0011i000001xoIhAAI","Char, Li Shing")</f>
        <v>Char, Li Shing</v>
      </c>
      <c r="B610" t="s">
        <v>1439</v>
      </c>
      <c r="C610" t="s">
        <v>28</v>
      </c>
      <c r="D610" t="s">
        <v>1440</v>
      </c>
      <c r="E610" t="s">
        <v>8</v>
      </c>
      <c r="F610" t="s">
        <v>1441</v>
      </c>
      <c r="G610" t="s">
        <v>1442</v>
      </c>
      <c r="H610" t="s">
        <v>1443</v>
      </c>
      <c r="I610" t="s">
        <v>1444</v>
      </c>
    </row>
    <row r="611" spans="1:9" x14ac:dyDescent="0.25">
      <c r="A611" s="1" t="str">
        <f>HYPERLINK("https://lynxcrm-apac--c.eu19.visual.force.com/0011i000001xn1YAAQ","Charles M P Lim Clinic &amp; Surgery For Women Pte Ltd")</f>
        <v>Charles M P Lim Clinic &amp; Surgery For Women Pte Ltd</v>
      </c>
      <c r="B611" t="s">
        <v>1445</v>
      </c>
      <c r="C611" t="s">
        <v>10</v>
      </c>
      <c r="D611" t="s">
        <v>8</v>
      </c>
      <c r="E611" t="s">
        <v>8</v>
      </c>
      <c r="F611" t="s">
        <v>377</v>
      </c>
      <c r="G611" t="s">
        <v>1446</v>
      </c>
      <c r="H611" t="s">
        <v>1447</v>
      </c>
      <c r="I611" t="s">
        <v>123</v>
      </c>
    </row>
    <row r="612" spans="1:9" x14ac:dyDescent="0.25">
      <c r="A612" s="1" t="str">
        <f>HYPERLINK("https://lynxcrm-apac--c.eu19.visual.force.com/0011i000001xn1oAAA","Char Medical")</f>
        <v>Char Medical</v>
      </c>
      <c r="B612" t="s">
        <v>1448</v>
      </c>
      <c r="C612" t="s">
        <v>10</v>
      </c>
      <c r="D612" t="s">
        <v>8</v>
      </c>
      <c r="E612" t="s">
        <v>8</v>
      </c>
      <c r="F612" t="s">
        <v>1441</v>
      </c>
      <c r="G612" t="s">
        <v>1442</v>
      </c>
      <c r="H612" t="s">
        <v>1443</v>
      </c>
      <c r="I612" t="s">
        <v>1444</v>
      </c>
    </row>
    <row r="613" spans="1:9" x14ac:dyDescent="0.25">
      <c r="A613" s="1" t="str">
        <f>HYPERLINK("https://lynxcrm-apac--c.eu19.visual.force.com/0011i00000w07ldAAA","Chatterjea, Rhea")</f>
        <v>Chatterjea, Rhea</v>
      </c>
      <c r="B613" t="s">
        <v>1449</v>
      </c>
      <c r="C613" t="s">
        <v>28</v>
      </c>
      <c r="D613" t="s">
        <v>8</v>
      </c>
      <c r="E613" t="s">
        <v>8</v>
      </c>
      <c r="F613" t="s">
        <v>1450</v>
      </c>
      <c r="G613" t="s">
        <v>428</v>
      </c>
      <c r="H613" t="s">
        <v>1320</v>
      </c>
      <c r="I613" t="s">
        <v>430</v>
      </c>
    </row>
    <row r="614" spans="1:9" x14ac:dyDescent="0.25">
      <c r="A614" s="1" t="str">
        <f>HYPERLINK("https://lynxcrm-apac--c.eu19.visual.force.com/0011i00000w07ldAAA","Chatterjea, Rhea")</f>
        <v>Chatterjea, Rhea</v>
      </c>
      <c r="B614" t="s">
        <v>1449</v>
      </c>
      <c r="C614" t="s">
        <v>28</v>
      </c>
      <c r="D614" t="s">
        <v>429</v>
      </c>
      <c r="E614" t="s">
        <v>8</v>
      </c>
      <c r="F614" t="s">
        <v>1450</v>
      </c>
      <c r="G614" t="s">
        <v>428</v>
      </c>
      <c r="H614" t="s">
        <v>1320</v>
      </c>
      <c r="I614" t="s">
        <v>430</v>
      </c>
    </row>
    <row r="615" spans="1:9" x14ac:dyDescent="0.25">
      <c r="A615" s="1" t="str">
        <f>HYPERLINK("https://lynxcrm-apac--c.eu19.visual.force.com/0011i000001xoCsAAI","Chau, Chee Ping")</f>
        <v>Chau, Chee Ping</v>
      </c>
      <c r="B615" t="s">
        <v>1451</v>
      </c>
      <c r="C615" t="s">
        <v>28</v>
      </c>
      <c r="D615" t="s">
        <v>1452</v>
      </c>
      <c r="E615" t="s">
        <v>8</v>
      </c>
      <c r="F615" t="s">
        <v>1453</v>
      </c>
      <c r="G615" t="s">
        <v>1454</v>
      </c>
      <c r="H615" t="s">
        <v>1455</v>
      </c>
      <c r="I615" t="s">
        <v>1456</v>
      </c>
    </row>
    <row r="616" spans="1:9" x14ac:dyDescent="0.25">
      <c r="A616" s="1" t="str">
        <f>HYPERLINK("https://lynxcrm-apac--c.eu19.visual.force.com/0011i000007DNKWAA4","Chau, Chwen Hwe")</f>
        <v>Chau, Chwen Hwe</v>
      </c>
      <c r="B616" t="s">
        <v>1457</v>
      </c>
      <c r="C616" t="s">
        <v>28</v>
      </c>
      <c r="D616" t="s">
        <v>709</v>
      </c>
      <c r="E616" t="s">
        <v>8</v>
      </c>
      <c r="F616" t="s">
        <v>710</v>
      </c>
      <c r="G616" t="s">
        <v>135</v>
      </c>
      <c r="H616" t="s">
        <v>135</v>
      </c>
      <c r="I616" t="s">
        <v>711</v>
      </c>
    </row>
    <row r="617" spans="1:9" x14ac:dyDescent="0.25">
      <c r="A617" s="1" t="str">
        <f>HYPERLINK("https://lynxcrm-apac--c.eu19.visual.force.com/0011i000001xnmAAAQ","Chau, Erik")</f>
        <v>Chau, Erik</v>
      </c>
      <c r="B617" t="s">
        <v>1458</v>
      </c>
      <c r="C617" t="s">
        <v>28</v>
      </c>
      <c r="D617" t="s">
        <v>1126</v>
      </c>
      <c r="E617" t="s">
        <v>8</v>
      </c>
      <c r="F617" t="s">
        <v>1127</v>
      </c>
      <c r="G617" t="s">
        <v>1128</v>
      </c>
      <c r="H617" t="s">
        <v>1128</v>
      </c>
      <c r="I617" t="s">
        <v>996</v>
      </c>
    </row>
    <row r="618" spans="1:9" x14ac:dyDescent="0.25">
      <c r="A618" s="1" t="str">
        <f>HYPERLINK("https://lynxcrm-apac--c.eu19.visual.force.com/0011i000001xoL2AAI","Chay, Swee On")</f>
        <v>Chay, Swee On</v>
      </c>
      <c r="B618" t="s">
        <v>1459</v>
      </c>
      <c r="C618" t="s">
        <v>28</v>
      </c>
      <c r="D618" t="s">
        <v>21</v>
      </c>
      <c r="E618" t="s">
        <v>8</v>
      </c>
      <c r="F618" t="s">
        <v>699</v>
      </c>
      <c r="G618" t="s">
        <v>699</v>
      </c>
      <c r="H618" t="s">
        <v>8</v>
      </c>
      <c r="I618" t="s">
        <v>22</v>
      </c>
    </row>
    <row r="619" spans="1:9" x14ac:dyDescent="0.25">
      <c r="A619" s="1" t="str">
        <f>HYPERLINK("https://lynxcrm-apac--c.eu19.visual.force.com/0011i000001xoL2AAI","Chay, Swee On")</f>
        <v>Chay, Swee On</v>
      </c>
      <c r="B619" t="s">
        <v>1459</v>
      </c>
      <c r="C619" t="s">
        <v>28</v>
      </c>
      <c r="D619" t="s">
        <v>20</v>
      </c>
      <c r="E619" t="s">
        <v>8</v>
      </c>
      <c r="F619" t="s">
        <v>20</v>
      </c>
      <c r="G619" t="s">
        <v>21</v>
      </c>
      <c r="H619" t="s">
        <v>21</v>
      </c>
      <c r="I619" t="s">
        <v>22</v>
      </c>
    </row>
    <row r="620" spans="1:9" x14ac:dyDescent="0.25">
      <c r="A620" s="1" t="str">
        <f>HYPERLINK("https://lynxcrm-apac--c.eu19.visual.force.com/0011i000001xo85AAA","Cheah, Jin Seng")</f>
        <v>Cheah, Jin Seng</v>
      </c>
      <c r="B620" t="s">
        <v>1460</v>
      </c>
      <c r="C620" t="s">
        <v>28</v>
      </c>
      <c r="D620" t="s">
        <v>429</v>
      </c>
      <c r="E620" t="s">
        <v>8</v>
      </c>
      <c r="F620" t="s">
        <v>246</v>
      </c>
      <c r="G620" t="s">
        <v>428</v>
      </c>
      <c r="H620" t="s">
        <v>1320</v>
      </c>
      <c r="I620" t="s">
        <v>430</v>
      </c>
    </row>
    <row r="621" spans="1:9" x14ac:dyDescent="0.25">
      <c r="A621" s="1" t="str">
        <f>HYPERLINK("https://lynxcrm-apac--c.eu19.visual.force.com/0011i000007DbW3AAK","Cheah, Kiat Siong")</f>
        <v>Cheah, Kiat Siong</v>
      </c>
      <c r="B621" t="s">
        <v>1461</v>
      </c>
      <c r="C621" t="s">
        <v>28</v>
      </c>
      <c r="D621" t="s">
        <v>1462</v>
      </c>
      <c r="E621" t="s">
        <v>8</v>
      </c>
      <c r="F621" t="s">
        <v>1463</v>
      </c>
      <c r="G621" t="s">
        <v>1464</v>
      </c>
      <c r="H621" t="s">
        <v>8</v>
      </c>
      <c r="I621" t="s">
        <v>1465</v>
      </c>
    </row>
    <row r="622" spans="1:9" x14ac:dyDescent="0.25">
      <c r="A622" s="1" t="str">
        <f>HYPERLINK("https://lynxcrm-apac--c.eu19.visual.force.com/0011i000001xnjxAAA","Cheah, Kok Seng Lawrence")</f>
        <v>Cheah, Kok Seng Lawrence</v>
      </c>
      <c r="B622" t="s">
        <v>1466</v>
      </c>
      <c r="C622" t="s">
        <v>28</v>
      </c>
      <c r="D622" t="s">
        <v>1467</v>
      </c>
      <c r="E622" t="s">
        <v>8</v>
      </c>
      <c r="F622" t="s">
        <v>1468</v>
      </c>
      <c r="G622" t="s">
        <v>1469</v>
      </c>
      <c r="H622" t="s">
        <v>1470</v>
      </c>
      <c r="I622" t="s">
        <v>1471</v>
      </c>
    </row>
    <row r="623" spans="1:9" x14ac:dyDescent="0.25">
      <c r="A623" s="1" t="str">
        <f>HYPERLINK("https://lynxcrm-apac--c.eu19.visual.force.com/0011i000007DNJOAA4","Cheah, Ming Hann")</f>
        <v>Cheah, Ming Hann</v>
      </c>
      <c r="B623" t="s">
        <v>1472</v>
      </c>
      <c r="C623" t="s">
        <v>28</v>
      </c>
      <c r="D623" t="s">
        <v>709</v>
      </c>
      <c r="E623" t="s">
        <v>8</v>
      </c>
      <c r="F623" t="s">
        <v>710</v>
      </c>
      <c r="G623" t="s">
        <v>135</v>
      </c>
      <c r="H623" t="s">
        <v>135</v>
      </c>
      <c r="I623" t="s">
        <v>711</v>
      </c>
    </row>
    <row r="624" spans="1:9" x14ac:dyDescent="0.25">
      <c r="A624" s="1" t="str">
        <f>HYPERLINK("https://lynxcrm-apac--c.eu19.visual.force.com/0011i000001xoNWAAY","Cheah, S M Benjamin")</f>
        <v>Cheah, S M Benjamin</v>
      </c>
      <c r="B624" t="s">
        <v>1473</v>
      </c>
      <c r="C624" t="s">
        <v>28</v>
      </c>
      <c r="D624" t="s">
        <v>709</v>
      </c>
      <c r="E624" t="s">
        <v>8</v>
      </c>
      <c r="F624" t="s">
        <v>710</v>
      </c>
      <c r="G624" t="s">
        <v>710</v>
      </c>
      <c r="H624" t="s">
        <v>1474</v>
      </c>
      <c r="I624" t="s">
        <v>711</v>
      </c>
    </row>
    <row r="625" spans="1:9" x14ac:dyDescent="0.25">
      <c r="A625" s="1" t="str">
        <f>HYPERLINK("https://lynxcrm-apac--c.eu19.visual.force.com/0011i000001xnxCAAQ","Cheah, Wai Yee")</f>
        <v>Cheah, Wai Yee</v>
      </c>
      <c r="B625" t="s">
        <v>1475</v>
      </c>
      <c r="C625" t="s">
        <v>28</v>
      </c>
      <c r="D625" t="s">
        <v>1476</v>
      </c>
      <c r="E625" t="s">
        <v>8</v>
      </c>
      <c r="F625" t="s">
        <v>1477</v>
      </c>
      <c r="G625" t="s">
        <v>1478</v>
      </c>
      <c r="H625" t="s">
        <v>1479</v>
      </c>
      <c r="I625" t="s">
        <v>1480</v>
      </c>
    </row>
    <row r="626" spans="1:9" x14ac:dyDescent="0.25">
      <c r="A626" s="1" t="str">
        <f>HYPERLINK("https://lynxcrm-apac--c.eu19.visual.force.com/0011i000001xnkGAAQ","Cheah, Way Mun")</f>
        <v>Cheah, Way Mun</v>
      </c>
      <c r="B626" t="s">
        <v>1481</v>
      </c>
      <c r="C626" t="s">
        <v>28</v>
      </c>
      <c r="D626" t="s">
        <v>1482</v>
      </c>
      <c r="E626" t="s">
        <v>8</v>
      </c>
      <c r="F626" t="s">
        <v>373</v>
      </c>
      <c r="G626" t="s">
        <v>1483</v>
      </c>
      <c r="H626" t="s">
        <v>1484</v>
      </c>
      <c r="I626" t="s">
        <v>123</v>
      </c>
    </row>
    <row r="627" spans="1:9" x14ac:dyDescent="0.25">
      <c r="A627" s="1" t="str">
        <f>HYPERLINK("https://lynxcrm-apac--c.eu19.visual.force.com/0011i000001xnkgAAA","Chee, Ashwin")</f>
        <v>Chee, Ashwin</v>
      </c>
      <c r="B627" t="s">
        <v>1485</v>
      </c>
      <c r="C627" t="s">
        <v>28</v>
      </c>
      <c r="D627" t="s">
        <v>1486</v>
      </c>
      <c r="E627" t="s">
        <v>8</v>
      </c>
      <c r="F627" t="s">
        <v>1486</v>
      </c>
      <c r="G627" t="s">
        <v>1487</v>
      </c>
      <c r="H627" t="s">
        <v>1487</v>
      </c>
      <c r="I627" t="s">
        <v>1488</v>
      </c>
    </row>
    <row r="628" spans="1:9" x14ac:dyDescent="0.25">
      <c r="A628" s="1" t="str">
        <f>HYPERLINK("https://lynxcrm-apac--c.eu19.visual.force.com/0011i000001xnkWAAQ","Chee, Chan Seong Stephen")</f>
        <v>Chee, Chan Seong Stephen</v>
      </c>
      <c r="B628" t="s">
        <v>1489</v>
      </c>
      <c r="C628" t="s">
        <v>28</v>
      </c>
      <c r="D628" t="s">
        <v>1490</v>
      </c>
      <c r="E628" t="s">
        <v>8</v>
      </c>
      <c r="F628" t="s">
        <v>1491</v>
      </c>
      <c r="G628" t="s">
        <v>1491</v>
      </c>
      <c r="H628" t="s">
        <v>1492</v>
      </c>
      <c r="I628" t="s">
        <v>1493</v>
      </c>
    </row>
    <row r="629" spans="1:9" x14ac:dyDescent="0.25">
      <c r="A629" s="1" t="str">
        <f>HYPERLINK("https://lynxcrm-apac--c.eu19.visual.force.com/0011i000001xoN9AAI","Chee, Eng Nam Alexius")</f>
        <v>Chee, Eng Nam Alexius</v>
      </c>
      <c r="B629" t="s">
        <v>1494</v>
      </c>
      <c r="C629" t="s">
        <v>28</v>
      </c>
      <c r="D629" t="s">
        <v>1495</v>
      </c>
      <c r="E629" t="s">
        <v>8</v>
      </c>
      <c r="F629" t="s">
        <v>377</v>
      </c>
      <c r="G629" t="s">
        <v>378</v>
      </c>
      <c r="H629" t="s">
        <v>379</v>
      </c>
      <c r="I629" t="s">
        <v>123</v>
      </c>
    </row>
    <row r="630" spans="1:9" x14ac:dyDescent="0.25">
      <c r="A630" s="1" t="str">
        <f>HYPERLINK("https://lynxcrm-apac--c.eu19.visual.force.com/0011i000001xooGAAQ","Chee, Fang Yee")</f>
        <v>Chee, Fang Yee</v>
      </c>
      <c r="B630" t="s">
        <v>1496</v>
      </c>
      <c r="C630" t="s">
        <v>28</v>
      </c>
      <c r="D630" t="s">
        <v>449</v>
      </c>
      <c r="E630" t="s">
        <v>8</v>
      </c>
      <c r="F630" t="s">
        <v>450</v>
      </c>
      <c r="G630" t="s">
        <v>449</v>
      </c>
      <c r="H630" t="s">
        <v>449</v>
      </c>
      <c r="I630" t="s">
        <v>451</v>
      </c>
    </row>
    <row r="631" spans="1:9" x14ac:dyDescent="0.25">
      <c r="A631" s="1" t="str">
        <f>HYPERLINK("https://lynxcrm-apac--c.eu19.visual.force.com/0011i000001xooGAAQ","Chee, Fang Yee")</f>
        <v>Chee, Fang Yee</v>
      </c>
      <c r="B631" t="s">
        <v>1496</v>
      </c>
      <c r="C631" t="s">
        <v>28</v>
      </c>
      <c r="D631" t="s">
        <v>449</v>
      </c>
      <c r="E631" t="s">
        <v>8</v>
      </c>
      <c r="F631" t="s">
        <v>234</v>
      </c>
      <c r="G631" t="s">
        <v>452</v>
      </c>
      <c r="H631" t="s">
        <v>453</v>
      </c>
      <c r="I631" t="s">
        <v>454</v>
      </c>
    </row>
    <row r="632" spans="1:9" x14ac:dyDescent="0.25">
      <c r="A632" s="1" t="str">
        <f>HYPERLINK("https://lynxcrm-apac--c.eu19.visual.force.com/0011i000001xoQ0AAI","Chee, Foo Foo Ernest")</f>
        <v>Chee, Foo Foo Ernest</v>
      </c>
      <c r="B632" t="s">
        <v>1497</v>
      </c>
      <c r="C632" t="s">
        <v>28</v>
      </c>
      <c r="D632" t="s">
        <v>824</v>
      </c>
      <c r="E632" t="s">
        <v>8</v>
      </c>
      <c r="F632" t="s">
        <v>825</v>
      </c>
      <c r="G632" t="s">
        <v>826</v>
      </c>
      <c r="H632" t="s">
        <v>826</v>
      </c>
      <c r="I632" t="s">
        <v>1005</v>
      </c>
    </row>
    <row r="633" spans="1:9" x14ac:dyDescent="0.25">
      <c r="A633" s="1" t="str">
        <f>HYPERLINK("https://lynxcrm-apac--c.eu19.visual.force.com/0011i000001xoHfAAI","Chee, Gary Hsing")</f>
        <v>Chee, Gary Hsing</v>
      </c>
      <c r="B633" t="s">
        <v>1498</v>
      </c>
      <c r="C633" t="s">
        <v>28</v>
      </c>
      <c r="D633" t="s">
        <v>1499</v>
      </c>
      <c r="E633" t="s">
        <v>8</v>
      </c>
      <c r="F633" t="s">
        <v>1500</v>
      </c>
      <c r="G633" t="s">
        <v>1501</v>
      </c>
      <c r="H633" t="s">
        <v>1502</v>
      </c>
      <c r="I633" t="s">
        <v>1503</v>
      </c>
    </row>
    <row r="634" spans="1:9" x14ac:dyDescent="0.25">
      <c r="A634" s="1" t="str">
        <f>HYPERLINK("https://lynxcrm-apac--c.eu19.visual.force.com/0011i000001xoN0AAI","Chee, Hsien Gerard")</f>
        <v>Chee, Hsien Gerard</v>
      </c>
      <c r="B634" t="s">
        <v>1504</v>
      </c>
      <c r="C634" t="s">
        <v>28</v>
      </c>
      <c r="D634" t="s">
        <v>1505</v>
      </c>
      <c r="E634" t="s">
        <v>8</v>
      </c>
      <c r="F634" t="s">
        <v>377</v>
      </c>
      <c r="G634" t="s">
        <v>1506</v>
      </c>
      <c r="H634" t="s">
        <v>1507</v>
      </c>
      <c r="I634" t="s">
        <v>85</v>
      </c>
    </row>
    <row r="635" spans="1:9" x14ac:dyDescent="0.25">
      <c r="A635" s="1" t="str">
        <f>HYPERLINK("https://lynxcrm-apac--c.eu19.visual.force.com/0011i000001xnvuAAA","Chee, Ka Nee")</f>
        <v>Chee, Ka Nee</v>
      </c>
      <c r="B635" t="s">
        <v>1508</v>
      </c>
      <c r="C635" t="s">
        <v>28</v>
      </c>
      <c r="D635" t="s">
        <v>251</v>
      </c>
      <c r="E635" t="s">
        <v>8</v>
      </c>
      <c r="F635" t="s">
        <v>251</v>
      </c>
      <c r="G635" t="s">
        <v>252</v>
      </c>
      <c r="H635" t="s">
        <v>252</v>
      </c>
      <c r="I635" t="s">
        <v>253</v>
      </c>
    </row>
    <row r="636" spans="1:9" x14ac:dyDescent="0.25">
      <c r="A636" s="1" t="str">
        <f>HYPERLINK("https://lynxcrm-apac--c.eu19.visual.force.com/0011i000001xnvuAAA","Chee, Ka Nee")</f>
        <v>Chee, Ka Nee</v>
      </c>
      <c r="B636" t="s">
        <v>1508</v>
      </c>
      <c r="C636" t="s">
        <v>28</v>
      </c>
      <c r="D636" t="s">
        <v>251</v>
      </c>
      <c r="E636" t="s">
        <v>8</v>
      </c>
      <c r="F636" t="s">
        <v>252</v>
      </c>
      <c r="G636" t="s">
        <v>252</v>
      </c>
      <c r="H636" t="s">
        <v>858</v>
      </c>
      <c r="I636" t="s">
        <v>253</v>
      </c>
    </row>
    <row r="637" spans="1:9" x14ac:dyDescent="0.25">
      <c r="A637" s="1" t="str">
        <f>HYPERLINK("https://lynxcrm-apac--c.eu19.visual.force.com/0011i000001xoNNAAY","Chee, Kok Chiang")</f>
        <v>Chee, Kok Chiang</v>
      </c>
      <c r="B637" t="s">
        <v>1509</v>
      </c>
      <c r="C637" t="s">
        <v>28</v>
      </c>
      <c r="D637" t="s">
        <v>1510</v>
      </c>
      <c r="E637" t="s">
        <v>8</v>
      </c>
      <c r="F637" t="s">
        <v>1511</v>
      </c>
      <c r="G637" t="s">
        <v>121</v>
      </c>
      <c r="H637" t="s">
        <v>121</v>
      </c>
      <c r="I637" t="s">
        <v>123</v>
      </c>
    </row>
    <row r="638" spans="1:9" x14ac:dyDescent="0.25">
      <c r="A638" s="1" t="str">
        <f>HYPERLINK("https://lynxcrm-apac--c.eu19.visual.force.com/0011i000001xoIpAAI","Chee, Liok Suan Millicent")</f>
        <v>Chee, Liok Suan Millicent</v>
      </c>
      <c r="B638" t="s">
        <v>1512</v>
      </c>
      <c r="C638" t="s">
        <v>28</v>
      </c>
      <c r="D638" t="s">
        <v>1513</v>
      </c>
      <c r="E638" t="s">
        <v>8</v>
      </c>
      <c r="F638" t="s">
        <v>1514</v>
      </c>
      <c r="G638" t="s">
        <v>1515</v>
      </c>
      <c r="H638" t="s">
        <v>1516</v>
      </c>
      <c r="I638" t="s">
        <v>1517</v>
      </c>
    </row>
    <row r="639" spans="1:9" x14ac:dyDescent="0.25">
      <c r="A639" s="1" t="str">
        <f>HYPERLINK("https://lynxcrm-apac--c.eu19.visual.force.com/0011i000001xnyBAAQ","Chee, See Guan")</f>
        <v>Chee, See Guan</v>
      </c>
      <c r="B639" t="s">
        <v>1518</v>
      </c>
      <c r="C639" t="s">
        <v>28</v>
      </c>
      <c r="D639" t="s">
        <v>1519</v>
      </c>
      <c r="E639" t="s">
        <v>8</v>
      </c>
      <c r="F639" t="s">
        <v>1520</v>
      </c>
      <c r="G639" t="s">
        <v>1521</v>
      </c>
      <c r="H639" t="s">
        <v>1522</v>
      </c>
      <c r="I639" t="s">
        <v>1523</v>
      </c>
    </row>
    <row r="640" spans="1:9" x14ac:dyDescent="0.25">
      <c r="A640" s="1" t="str">
        <f>HYPERLINK("https://lynxcrm-apac--c.eu19.visual.force.com/0011i000001xoNgAAI","Chee, Tek Siong")</f>
        <v>Chee, Tek Siong</v>
      </c>
      <c r="B640" t="s">
        <v>1524</v>
      </c>
      <c r="C640" t="s">
        <v>28</v>
      </c>
      <c r="D640" t="s">
        <v>1525</v>
      </c>
      <c r="E640" t="s">
        <v>8</v>
      </c>
      <c r="F640" t="s">
        <v>781</v>
      </c>
      <c r="G640" t="s">
        <v>1526</v>
      </c>
      <c r="H640" t="s">
        <v>1527</v>
      </c>
      <c r="I640" t="s">
        <v>784</v>
      </c>
    </row>
    <row r="641" spans="1:9" x14ac:dyDescent="0.25">
      <c r="A641" s="1" t="str">
        <f>HYPERLINK("https://lynxcrm-apac--c.eu19.visual.force.com/0011i000001xoMhAAI","Chee, Weng Sun")</f>
        <v>Chee, Weng Sun</v>
      </c>
      <c r="B641" t="s">
        <v>1528</v>
      </c>
      <c r="C641" t="s">
        <v>28</v>
      </c>
      <c r="D641" t="s">
        <v>1529</v>
      </c>
      <c r="E641" t="s">
        <v>8</v>
      </c>
      <c r="F641" t="s">
        <v>1530</v>
      </c>
      <c r="G641" t="s">
        <v>1531</v>
      </c>
      <c r="H641" t="s">
        <v>1532</v>
      </c>
      <c r="I641" t="s">
        <v>1533</v>
      </c>
    </row>
    <row r="642" spans="1:9" x14ac:dyDescent="0.25">
      <c r="A642" s="1" t="str">
        <f>HYPERLINK("https://lynxcrm-apac--c.eu19.visual.force.com/0011i000001xoOMAAY","Chee, Weng Yew Daniel")</f>
        <v>Chee, Weng Yew Daniel</v>
      </c>
      <c r="B642" t="s">
        <v>1534</v>
      </c>
      <c r="C642" t="s">
        <v>28</v>
      </c>
      <c r="D642" t="s">
        <v>90</v>
      </c>
      <c r="E642" t="s">
        <v>8</v>
      </c>
      <c r="F642" t="s">
        <v>90</v>
      </c>
      <c r="G642" t="s">
        <v>91</v>
      </c>
      <c r="H642" t="s">
        <v>91</v>
      </c>
      <c r="I642" t="s">
        <v>92</v>
      </c>
    </row>
    <row r="643" spans="1:9" x14ac:dyDescent="0.25">
      <c r="A643" s="1" t="str">
        <f>HYPERLINK("https://lynxcrm-apac--c.eu19.visual.force.com/0011i000001xoOMAAY","Chee, Weng Yew Daniel")</f>
        <v>Chee, Weng Yew Daniel</v>
      </c>
      <c r="B643" t="s">
        <v>1534</v>
      </c>
      <c r="C643" t="s">
        <v>28</v>
      </c>
      <c r="D643" t="s">
        <v>520</v>
      </c>
      <c r="E643" t="s">
        <v>8</v>
      </c>
      <c r="F643" t="s">
        <v>90</v>
      </c>
      <c r="G643" t="s">
        <v>521</v>
      </c>
      <c r="H643" t="s">
        <v>521</v>
      </c>
      <c r="I643" t="s">
        <v>92</v>
      </c>
    </row>
    <row r="644" spans="1:9" x14ac:dyDescent="0.25">
      <c r="A644" s="1" t="str">
        <f>HYPERLINK("https://lynxcrm-apac--c.eu19.visual.force.com/0011i00000Xf1HEAAZ","Chee, Yen Lin")</f>
        <v>Chee, Yen Lin</v>
      </c>
      <c r="B644" t="s">
        <v>1535</v>
      </c>
      <c r="C644" t="s">
        <v>28</v>
      </c>
      <c r="D644" t="s">
        <v>429</v>
      </c>
      <c r="E644" t="s">
        <v>8</v>
      </c>
      <c r="F644" t="s">
        <v>594</v>
      </c>
      <c r="G644" t="s">
        <v>595</v>
      </c>
      <c r="H644" t="s">
        <v>8</v>
      </c>
      <c r="I644" t="s">
        <v>596</v>
      </c>
    </row>
    <row r="645" spans="1:9" x14ac:dyDescent="0.25">
      <c r="A645" s="1" t="str">
        <f>HYPERLINK("https://lynxcrm-apac--c.eu19.visual.force.com/0011i000001xoLnAAI","Chee, Yew Wen Ewen")</f>
        <v>Chee, Yew Wen Ewen</v>
      </c>
      <c r="B645" t="s">
        <v>1536</v>
      </c>
      <c r="C645" t="s">
        <v>28</v>
      </c>
      <c r="D645" t="s">
        <v>1537</v>
      </c>
      <c r="E645" t="s">
        <v>8</v>
      </c>
      <c r="F645" t="s">
        <v>1538</v>
      </c>
      <c r="G645" t="s">
        <v>1539</v>
      </c>
      <c r="H645" t="s">
        <v>1540</v>
      </c>
      <c r="I645" t="s">
        <v>1541</v>
      </c>
    </row>
    <row r="646" spans="1:9" x14ac:dyDescent="0.25">
      <c r="A646" s="1" t="str">
        <f>HYPERLINK("https://lynxcrm-apac--c.eu19.visual.force.com/0011i000001xnzpAAA","Chee, Yuet Ching Carol")</f>
        <v>Chee, Yuet Ching Carol</v>
      </c>
      <c r="B646" t="s">
        <v>1542</v>
      </c>
      <c r="C646" t="s">
        <v>28</v>
      </c>
      <c r="D646" t="s">
        <v>1543</v>
      </c>
      <c r="E646" t="s">
        <v>8</v>
      </c>
      <c r="F646" t="s">
        <v>1544</v>
      </c>
      <c r="G646" t="s">
        <v>1544</v>
      </c>
      <c r="H646" t="s">
        <v>8</v>
      </c>
      <c r="I646" t="s">
        <v>1545</v>
      </c>
    </row>
    <row r="647" spans="1:9" x14ac:dyDescent="0.25">
      <c r="A647" s="1" t="str">
        <f>HYPERLINK("https://lynxcrm-apac--c.eu19.visual.force.com/0011i000001xmm3AAA","Chee Heart Specialist Clinic Pte Ltd")</f>
        <v>Chee Heart Specialist Clinic Pte Ltd</v>
      </c>
      <c r="B647" t="s">
        <v>1546</v>
      </c>
      <c r="C647" t="s">
        <v>10</v>
      </c>
      <c r="D647" t="s">
        <v>8</v>
      </c>
      <c r="E647" t="s">
        <v>8</v>
      </c>
      <c r="F647" t="s">
        <v>781</v>
      </c>
      <c r="G647" t="s">
        <v>1526</v>
      </c>
      <c r="H647" t="s">
        <v>1527</v>
      </c>
      <c r="I647" t="s">
        <v>784</v>
      </c>
    </row>
    <row r="648" spans="1:9" x14ac:dyDescent="0.25">
      <c r="A648" s="1" t="str">
        <f>HYPERLINK("https://lynxcrm-apac--c.eu19.visual.force.com/0011i000001xo0XAAQ","Chen, Chih Min")</f>
        <v>Chen, Chih Min</v>
      </c>
      <c r="B648" t="s">
        <v>1547</v>
      </c>
      <c r="C648" t="s">
        <v>28</v>
      </c>
      <c r="D648" t="s">
        <v>1187</v>
      </c>
      <c r="E648" t="s">
        <v>8</v>
      </c>
      <c r="F648" t="s">
        <v>1548</v>
      </c>
      <c r="G648" t="s">
        <v>1549</v>
      </c>
      <c r="H648" t="s">
        <v>1549</v>
      </c>
      <c r="I648" t="s">
        <v>1550</v>
      </c>
    </row>
    <row r="649" spans="1:9" x14ac:dyDescent="0.25">
      <c r="A649" s="1" t="str">
        <f>HYPERLINK("https://lynxcrm-apac--c.eu19.visual.force.com/0011i000001xopIAAQ","Chen, Ian")</f>
        <v>Chen, Ian</v>
      </c>
      <c r="B649" t="s">
        <v>1551</v>
      </c>
      <c r="C649" t="s">
        <v>28</v>
      </c>
      <c r="D649" t="s">
        <v>1552</v>
      </c>
      <c r="E649" t="s">
        <v>8</v>
      </c>
      <c r="F649" t="s">
        <v>1553</v>
      </c>
      <c r="G649" t="s">
        <v>1554</v>
      </c>
      <c r="H649" t="s">
        <v>1554</v>
      </c>
      <c r="I649" t="s">
        <v>1555</v>
      </c>
    </row>
    <row r="650" spans="1:9" x14ac:dyDescent="0.25">
      <c r="A650" s="1" t="str">
        <f>HYPERLINK("https://lynxcrm-apac--c.eu19.visual.force.com/0011i00000C6tL0AAJ","Chen, Jason Zhenfeng")</f>
        <v>Chen, Jason Zhenfeng</v>
      </c>
      <c r="B650" t="s">
        <v>1556</v>
      </c>
      <c r="C650" t="s">
        <v>28</v>
      </c>
      <c r="D650" t="s">
        <v>429</v>
      </c>
      <c r="E650" t="s">
        <v>8</v>
      </c>
      <c r="F650" t="s">
        <v>429</v>
      </c>
      <c r="G650" t="s">
        <v>428</v>
      </c>
      <c r="H650" t="s">
        <v>428</v>
      </c>
      <c r="I650" t="s">
        <v>430</v>
      </c>
    </row>
    <row r="651" spans="1:9" x14ac:dyDescent="0.25">
      <c r="A651" s="1" t="str">
        <f>HYPERLINK("https://lynxcrm-apac--c.eu19.visual.force.com/0011i000001xnv7AAA","Chen, Jenn Yuh")</f>
        <v>Chen, Jenn Yuh</v>
      </c>
      <c r="B651" t="s">
        <v>1557</v>
      </c>
      <c r="C651" t="s">
        <v>28</v>
      </c>
      <c r="D651" t="s">
        <v>1558</v>
      </c>
      <c r="E651" t="s">
        <v>8</v>
      </c>
      <c r="F651" t="s">
        <v>1559</v>
      </c>
      <c r="G651" t="s">
        <v>1560</v>
      </c>
      <c r="H651" t="s">
        <v>1560</v>
      </c>
      <c r="I651" t="s">
        <v>161</v>
      </c>
    </row>
    <row r="652" spans="1:9" x14ac:dyDescent="0.25">
      <c r="A652" s="1" t="str">
        <f>HYPERLINK("https://lynxcrm-apac--c.eu19.visual.force.com/0011i000001xoJtAAI","Chen, Jerry")</f>
        <v>Chen, Jerry</v>
      </c>
      <c r="B652" t="s">
        <v>1561</v>
      </c>
      <c r="C652" t="s">
        <v>28</v>
      </c>
      <c r="D652" t="s">
        <v>1562</v>
      </c>
      <c r="E652" t="s">
        <v>8</v>
      </c>
      <c r="F652" t="s">
        <v>252</v>
      </c>
      <c r="G652" t="s">
        <v>251</v>
      </c>
      <c r="H652" t="s">
        <v>251</v>
      </c>
      <c r="I652" t="s">
        <v>253</v>
      </c>
    </row>
    <row r="653" spans="1:9" x14ac:dyDescent="0.25">
      <c r="A653" s="1" t="str">
        <f>HYPERLINK("https://lynxcrm-apac--c.eu19.visual.force.com/0011i000001xo0hAAA","Chen, Jer Shih")</f>
        <v>Chen, Jer Shih</v>
      </c>
      <c r="B653" t="s">
        <v>1563</v>
      </c>
      <c r="C653" t="s">
        <v>28</v>
      </c>
      <c r="D653" t="s">
        <v>147</v>
      </c>
      <c r="E653" t="s">
        <v>8</v>
      </c>
      <c r="F653" t="s">
        <v>147</v>
      </c>
      <c r="G653" t="s">
        <v>148</v>
      </c>
      <c r="H653" t="s">
        <v>148</v>
      </c>
      <c r="I653" t="s">
        <v>149</v>
      </c>
    </row>
    <row r="654" spans="1:9" x14ac:dyDescent="0.25">
      <c r="A654" s="1" t="str">
        <f>HYPERLINK("https://lynxcrm-apac--c.eu19.visual.force.com/0011i000001xo0hAAA","Chen, Jer Shih")</f>
        <v>Chen, Jer Shih</v>
      </c>
      <c r="B654" t="s">
        <v>1563</v>
      </c>
      <c r="C654" t="s">
        <v>28</v>
      </c>
      <c r="D654" t="s">
        <v>148</v>
      </c>
      <c r="E654" t="s">
        <v>8</v>
      </c>
      <c r="F654" t="s">
        <v>147</v>
      </c>
      <c r="G654" t="s">
        <v>147</v>
      </c>
      <c r="H654" t="s">
        <v>534</v>
      </c>
      <c r="I654" t="s">
        <v>149</v>
      </c>
    </row>
    <row r="655" spans="1:9" x14ac:dyDescent="0.25">
      <c r="A655" s="1" t="str">
        <f>HYPERLINK("https://lynxcrm-apac--c.eu19.visual.force.com/0011i000001xo0AAAQ","Chen, Li Tat John")</f>
        <v>Chen, Li Tat John</v>
      </c>
      <c r="B655" t="s">
        <v>1564</v>
      </c>
      <c r="C655" t="s">
        <v>28</v>
      </c>
      <c r="D655" t="s">
        <v>251</v>
      </c>
      <c r="E655" t="s">
        <v>8</v>
      </c>
      <c r="F655" t="s">
        <v>427</v>
      </c>
      <c r="G655" t="s">
        <v>252</v>
      </c>
      <c r="H655" t="s">
        <v>858</v>
      </c>
      <c r="I655" t="s">
        <v>253</v>
      </c>
    </row>
    <row r="656" spans="1:9" x14ac:dyDescent="0.25">
      <c r="A656" s="1" t="str">
        <f>HYPERLINK("https://lynxcrm-apac--c.eu19.visual.force.com/0011i000002Id9sAAC","Chen, Marcus")</f>
        <v>Chen, Marcus</v>
      </c>
      <c r="B656" t="s">
        <v>1565</v>
      </c>
      <c r="C656" t="s">
        <v>28</v>
      </c>
      <c r="D656" t="s">
        <v>58</v>
      </c>
      <c r="E656" t="s">
        <v>8</v>
      </c>
      <c r="F656" t="s">
        <v>57</v>
      </c>
      <c r="G656" t="s">
        <v>57</v>
      </c>
      <c r="H656" t="s">
        <v>8</v>
      </c>
      <c r="I656" t="s">
        <v>59</v>
      </c>
    </row>
    <row r="657" spans="1:9" x14ac:dyDescent="0.25">
      <c r="A657" s="1" t="str">
        <f>HYPERLINK("https://lynxcrm-apac--c.eu19.visual.force.com/0011i000001xoOIAAY","Chen, Pei Siang Judy")</f>
        <v>Chen, Pei Siang Judy</v>
      </c>
      <c r="B657" t="s">
        <v>1566</v>
      </c>
      <c r="C657" t="s">
        <v>28</v>
      </c>
      <c r="D657" t="s">
        <v>1567</v>
      </c>
      <c r="E657" t="s">
        <v>8</v>
      </c>
      <c r="F657" t="s">
        <v>1568</v>
      </c>
      <c r="G657" t="s">
        <v>1569</v>
      </c>
      <c r="H657" t="s">
        <v>1570</v>
      </c>
      <c r="I657" t="s">
        <v>1571</v>
      </c>
    </row>
    <row r="658" spans="1:9" x14ac:dyDescent="0.25">
      <c r="A658" s="1" t="str">
        <f>HYPERLINK("https://lynxcrm-apac--c.eu19.visual.force.com/0011i000001xngyAAA","Chen, Peter")</f>
        <v>Chen, Peter</v>
      </c>
      <c r="B658" t="s">
        <v>1572</v>
      </c>
      <c r="C658" t="s">
        <v>28</v>
      </c>
      <c r="D658" t="s">
        <v>1573</v>
      </c>
      <c r="E658" t="s">
        <v>8</v>
      </c>
      <c r="F658" t="s">
        <v>881</v>
      </c>
      <c r="G658" t="s">
        <v>1574</v>
      </c>
      <c r="H658" t="s">
        <v>1574</v>
      </c>
      <c r="I658" t="s">
        <v>883</v>
      </c>
    </row>
    <row r="659" spans="1:9" x14ac:dyDescent="0.25">
      <c r="A659" s="1" t="str">
        <f>HYPERLINK("https://lynxcrm-apac--c.eu19.visual.force.com/0011i000007F9u3AAC","Chen, Ruth WeiXian")</f>
        <v>Chen, Ruth WeiXian</v>
      </c>
      <c r="B659" t="s">
        <v>1575</v>
      </c>
      <c r="C659" t="s">
        <v>28</v>
      </c>
      <c r="D659" t="s">
        <v>429</v>
      </c>
      <c r="E659" t="s">
        <v>8</v>
      </c>
      <c r="F659" t="s">
        <v>429</v>
      </c>
      <c r="G659" t="s">
        <v>428</v>
      </c>
      <c r="H659" t="s">
        <v>428</v>
      </c>
      <c r="I659" t="s">
        <v>430</v>
      </c>
    </row>
    <row r="660" spans="1:9" x14ac:dyDescent="0.25">
      <c r="A660" s="1" t="str">
        <f>HYPERLINK("https://lynxcrm-apac--c.eu19.visual.force.com/0011i000002IdA4AAK","Chen, Si Xian")</f>
        <v>Chen, Si Xian</v>
      </c>
      <c r="B660" t="s">
        <v>1576</v>
      </c>
      <c r="C660" t="s">
        <v>28</v>
      </c>
      <c r="D660" t="s">
        <v>12</v>
      </c>
      <c r="E660" t="s">
        <v>8</v>
      </c>
      <c r="F660" t="s">
        <v>11</v>
      </c>
      <c r="G660" t="s">
        <v>11</v>
      </c>
      <c r="H660" t="s">
        <v>8</v>
      </c>
      <c r="I660" t="s">
        <v>13</v>
      </c>
    </row>
    <row r="661" spans="1:9" x14ac:dyDescent="0.25">
      <c r="A661" s="1" t="str">
        <f>HYPERLINK("https://lynxcrm-apac--c.eu19.visual.force.com/0011i000001xoOtAAI","Chen, Sze Sin")</f>
        <v>Chen, Sze Sin</v>
      </c>
      <c r="B661" t="s">
        <v>1577</v>
      </c>
      <c r="C661" t="s">
        <v>28</v>
      </c>
      <c r="D661" t="s">
        <v>1578</v>
      </c>
      <c r="E661" t="s">
        <v>8</v>
      </c>
      <c r="F661" t="s">
        <v>1579</v>
      </c>
      <c r="G661" t="s">
        <v>1580</v>
      </c>
      <c r="H661" t="s">
        <v>1581</v>
      </c>
      <c r="I661" t="s">
        <v>1582</v>
      </c>
    </row>
    <row r="662" spans="1:9" x14ac:dyDescent="0.25">
      <c r="A662" s="1" t="str">
        <f>HYPERLINK("https://lynxcrm-apac--c.eu19.visual.force.com/0011i000001xoP4AAI","Chen, Tsung Mong Beatrice")</f>
        <v>Chen, Tsung Mong Beatrice</v>
      </c>
      <c r="B662" t="s">
        <v>1583</v>
      </c>
      <c r="C662" t="s">
        <v>28</v>
      </c>
      <c r="D662" t="s">
        <v>1584</v>
      </c>
      <c r="E662" t="s">
        <v>8</v>
      </c>
      <c r="F662" t="s">
        <v>781</v>
      </c>
      <c r="G662" t="s">
        <v>1585</v>
      </c>
      <c r="H662" t="s">
        <v>1586</v>
      </c>
      <c r="I662" t="s">
        <v>784</v>
      </c>
    </row>
    <row r="663" spans="1:9" x14ac:dyDescent="0.25">
      <c r="A663" s="1" t="str">
        <f>HYPERLINK("https://lynxcrm-apac--c.eu19.visual.force.com/0011i00000Ju24xAAB","Chen, Yanjun")</f>
        <v>Chen, Yanjun</v>
      </c>
      <c r="B663" t="s">
        <v>1587</v>
      </c>
      <c r="C663" t="s">
        <v>28</v>
      </c>
      <c r="D663" t="s">
        <v>429</v>
      </c>
      <c r="E663" t="s">
        <v>8</v>
      </c>
      <c r="F663" t="s">
        <v>429</v>
      </c>
      <c r="G663" t="s">
        <v>428</v>
      </c>
      <c r="H663" t="s">
        <v>428</v>
      </c>
      <c r="I663" t="s">
        <v>430</v>
      </c>
    </row>
    <row r="664" spans="1:9" x14ac:dyDescent="0.25">
      <c r="A664" s="1" t="str">
        <f>HYPERLINK("https://lynxcrm-apac--c.eu19.visual.force.com/0011i000001xoESAAY","Chen, Yuanxin Christine")</f>
        <v>Chen, Yuanxin Christine</v>
      </c>
      <c r="B664" t="s">
        <v>1588</v>
      </c>
      <c r="C664" t="s">
        <v>28</v>
      </c>
      <c r="D664" t="s">
        <v>545</v>
      </c>
      <c r="E664" t="s">
        <v>8</v>
      </c>
      <c r="F664" t="s">
        <v>844</v>
      </c>
      <c r="G664" t="s">
        <v>845</v>
      </c>
      <c r="H664" t="s">
        <v>846</v>
      </c>
      <c r="I664" t="s">
        <v>847</v>
      </c>
    </row>
    <row r="665" spans="1:9" x14ac:dyDescent="0.25">
      <c r="A665" s="1" t="str">
        <f>HYPERLINK("https://lynxcrm-apac--c.eu19.visual.force.com/0011i00000UMnUlAAL","Chen, Ze Peng")</f>
        <v>Chen, Ze Peng</v>
      </c>
      <c r="B665" t="s">
        <v>1589</v>
      </c>
      <c r="C665" t="s">
        <v>28</v>
      </c>
      <c r="D665" t="s">
        <v>8</v>
      </c>
      <c r="E665" t="s">
        <v>8</v>
      </c>
      <c r="F665" t="s">
        <v>579</v>
      </c>
      <c r="G665" t="s">
        <v>1590</v>
      </c>
      <c r="H665" t="s">
        <v>1591</v>
      </c>
      <c r="I665" t="s">
        <v>581</v>
      </c>
    </row>
    <row r="666" spans="1:9" x14ac:dyDescent="0.25">
      <c r="A666" s="1" t="str">
        <f>HYPERLINK("https://lynxcrm-apac--c.eu19.visual.force.com/0011i00000UMnUlAAL","Chen, Ze Peng")</f>
        <v>Chen, Ze Peng</v>
      </c>
      <c r="B666" t="s">
        <v>1589</v>
      </c>
      <c r="C666" t="s">
        <v>28</v>
      </c>
      <c r="D666" t="s">
        <v>1592</v>
      </c>
      <c r="E666" t="s">
        <v>8</v>
      </c>
      <c r="F666" t="s">
        <v>579</v>
      </c>
      <c r="G666" t="s">
        <v>1590</v>
      </c>
      <c r="H666" t="s">
        <v>1591</v>
      </c>
      <c r="I666" t="s">
        <v>581</v>
      </c>
    </row>
    <row r="667" spans="1:9" x14ac:dyDescent="0.25">
      <c r="A667" s="1" t="str">
        <f>HYPERLINK("https://lynxcrm-apac--c.eu19.visual.force.com/0011i000001xnKrAAI","Chen &amp; Low Family Doctors")</f>
        <v>Chen &amp; Low Family Doctors</v>
      </c>
      <c r="B667" t="s">
        <v>1593</v>
      </c>
      <c r="C667" t="s">
        <v>10</v>
      </c>
      <c r="D667" t="s">
        <v>8</v>
      </c>
      <c r="E667" t="s">
        <v>8</v>
      </c>
      <c r="F667" t="s">
        <v>1594</v>
      </c>
      <c r="G667" t="s">
        <v>1595</v>
      </c>
      <c r="H667" t="s">
        <v>1596</v>
      </c>
      <c r="I667" t="s">
        <v>161</v>
      </c>
    </row>
    <row r="668" spans="1:9" x14ac:dyDescent="0.25">
      <c r="A668" s="1" t="str">
        <f>HYPERLINK("https://lynxcrm-apac--c.eu19.visual.force.com/0011i000001xo0KAAQ","Cheng, Alfred")</f>
        <v>Cheng, Alfred</v>
      </c>
      <c r="B668" t="s">
        <v>1597</v>
      </c>
      <c r="C668" t="s">
        <v>28</v>
      </c>
      <c r="D668" t="s">
        <v>1598</v>
      </c>
      <c r="E668" t="s">
        <v>8</v>
      </c>
      <c r="F668" t="s">
        <v>377</v>
      </c>
      <c r="G668" t="s">
        <v>384</v>
      </c>
      <c r="H668" t="s">
        <v>385</v>
      </c>
      <c r="I668" t="s">
        <v>123</v>
      </c>
    </row>
    <row r="669" spans="1:9" x14ac:dyDescent="0.25">
      <c r="A669" s="1" t="str">
        <f>HYPERLINK("https://lynxcrm-apac--c.eu19.visual.force.com/0011i000001xoPWAAY","Cheng, Heng Lee")</f>
        <v>Cheng, Heng Lee</v>
      </c>
      <c r="B669" t="s">
        <v>1599</v>
      </c>
      <c r="C669" t="s">
        <v>28</v>
      </c>
      <c r="D669" t="s">
        <v>1600</v>
      </c>
      <c r="E669" t="s">
        <v>8</v>
      </c>
      <c r="F669" t="s">
        <v>1601</v>
      </c>
      <c r="G669" t="s">
        <v>1602</v>
      </c>
      <c r="H669" t="s">
        <v>1602</v>
      </c>
      <c r="I669" t="s">
        <v>1603</v>
      </c>
    </row>
    <row r="670" spans="1:9" x14ac:dyDescent="0.25">
      <c r="A670" s="1" t="str">
        <f>HYPERLINK("https://lynxcrm-apac--c.eu19.visual.force.com/0011i000001xoeRAAQ","Cheng, Hern Wang Matthew")</f>
        <v>Cheng, Hern Wang Matthew</v>
      </c>
      <c r="B670" t="s">
        <v>1604</v>
      </c>
      <c r="C670" t="s">
        <v>28</v>
      </c>
      <c r="D670" t="s">
        <v>261</v>
      </c>
      <c r="E670" t="s">
        <v>8</v>
      </c>
      <c r="F670" t="s">
        <v>1605</v>
      </c>
      <c r="G670" t="s">
        <v>258</v>
      </c>
      <c r="H670" t="s">
        <v>258</v>
      </c>
      <c r="I670" t="s">
        <v>260</v>
      </c>
    </row>
    <row r="671" spans="1:9" x14ac:dyDescent="0.25">
      <c r="A671" s="1" t="str">
        <f>HYPERLINK("https://lynxcrm-apac--c.eu19.visual.force.com/0011i000001xoPkAAI","Cheng, Hung Henry")</f>
        <v>Cheng, Hung Henry</v>
      </c>
      <c r="B671" t="s">
        <v>1606</v>
      </c>
      <c r="C671" t="s">
        <v>28</v>
      </c>
      <c r="D671" t="s">
        <v>1143</v>
      </c>
      <c r="E671" t="s">
        <v>8</v>
      </c>
      <c r="F671" t="s">
        <v>69</v>
      </c>
      <c r="G671" t="s">
        <v>1314</v>
      </c>
      <c r="H671" t="s">
        <v>1607</v>
      </c>
      <c r="I671" t="s">
        <v>67</v>
      </c>
    </row>
    <row r="672" spans="1:9" x14ac:dyDescent="0.25">
      <c r="A672" s="1" t="str">
        <f>HYPERLINK("https://lynxcrm-apac--c.eu19.visual.force.com/0011i00000Y0Ks0AAF","Cheng, Ivy")</f>
        <v>Cheng, Ivy</v>
      </c>
      <c r="B672" t="s">
        <v>1608</v>
      </c>
      <c r="C672" t="s">
        <v>28</v>
      </c>
      <c r="D672" t="s">
        <v>8</v>
      </c>
      <c r="E672" t="s">
        <v>8</v>
      </c>
      <c r="F672" t="s">
        <v>251</v>
      </c>
      <c r="G672" t="s">
        <v>252</v>
      </c>
      <c r="H672" t="s">
        <v>858</v>
      </c>
      <c r="I672" t="s">
        <v>1609</v>
      </c>
    </row>
    <row r="673" spans="1:9" x14ac:dyDescent="0.25">
      <c r="A673" s="1" t="str">
        <f>HYPERLINK("https://lynxcrm-apac--c.eu19.visual.force.com/0011i00000Y0Ks0AAF","Cheng, Ivy")</f>
        <v>Cheng, Ivy</v>
      </c>
      <c r="B673" t="s">
        <v>1608</v>
      </c>
      <c r="C673" t="s">
        <v>28</v>
      </c>
      <c r="D673" t="s">
        <v>251</v>
      </c>
      <c r="E673" t="s">
        <v>8</v>
      </c>
      <c r="F673" t="s">
        <v>251</v>
      </c>
      <c r="G673" t="s">
        <v>252</v>
      </c>
      <c r="H673" t="s">
        <v>858</v>
      </c>
      <c r="I673" t="s">
        <v>1609</v>
      </c>
    </row>
    <row r="674" spans="1:9" x14ac:dyDescent="0.25">
      <c r="A674" s="1" t="str">
        <f>HYPERLINK("https://lynxcrm-apac--c.eu19.visual.force.com/0011i00000Y0JndAAF","Cheng, Ivy")</f>
        <v>Cheng, Ivy</v>
      </c>
      <c r="B674" t="s">
        <v>1610</v>
      </c>
      <c r="C674" t="s">
        <v>28</v>
      </c>
      <c r="D674" t="s">
        <v>1611</v>
      </c>
      <c r="E674" t="s">
        <v>8</v>
      </c>
      <c r="F674" t="s">
        <v>1612</v>
      </c>
      <c r="G674" t="s">
        <v>1613</v>
      </c>
      <c r="H674" t="s">
        <v>8</v>
      </c>
      <c r="I674" t="s">
        <v>1614</v>
      </c>
    </row>
    <row r="675" spans="1:9" x14ac:dyDescent="0.25">
      <c r="A675" s="1" t="str">
        <f>HYPERLINK("https://lynxcrm-apac--c.eu19.visual.force.com/0011i000001xoWRAAY","Cheng, Kah Ling Grace")</f>
        <v>Cheng, Kah Ling Grace</v>
      </c>
      <c r="B675" t="s">
        <v>1615</v>
      </c>
      <c r="C675" t="s">
        <v>28</v>
      </c>
      <c r="D675" t="s">
        <v>1616</v>
      </c>
      <c r="E675" t="s">
        <v>8</v>
      </c>
      <c r="F675" t="s">
        <v>1617</v>
      </c>
      <c r="G675" t="s">
        <v>402</v>
      </c>
      <c r="H675" t="s">
        <v>1618</v>
      </c>
      <c r="I675" t="s">
        <v>1619</v>
      </c>
    </row>
    <row r="676" spans="1:9" x14ac:dyDescent="0.25">
      <c r="A676" s="1" t="str">
        <f>HYPERLINK("https://lynxcrm-apac--c.eu19.visual.force.com/0011i000001xocBAAQ","Cheng, Ke Yi")</f>
        <v>Cheng, Ke Yi</v>
      </c>
      <c r="B676" t="s">
        <v>1620</v>
      </c>
      <c r="C676" t="s">
        <v>28</v>
      </c>
      <c r="D676" t="s">
        <v>392</v>
      </c>
      <c r="E676" t="s">
        <v>8</v>
      </c>
      <c r="F676" t="s">
        <v>393</v>
      </c>
      <c r="G676" t="s">
        <v>393</v>
      </c>
      <c r="H676" t="s">
        <v>8</v>
      </c>
      <c r="I676" t="s">
        <v>396</v>
      </c>
    </row>
    <row r="677" spans="1:9" x14ac:dyDescent="0.25">
      <c r="A677" s="1" t="str">
        <f>HYPERLINK("https://lynxcrm-apac--c.eu19.visual.force.com/0011i000001xoQcAAI","Cheng, Soong Keng Kenny")</f>
        <v>Cheng, Soong Keng Kenny</v>
      </c>
      <c r="B677" t="s">
        <v>1621</v>
      </c>
      <c r="C677" t="s">
        <v>28</v>
      </c>
      <c r="D677" t="s">
        <v>578</v>
      </c>
      <c r="E677" t="s">
        <v>8</v>
      </c>
      <c r="F677" t="s">
        <v>730</v>
      </c>
      <c r="G677" t="s">
        <v>731</v>
      </c>
      <c r="H677" t="s">
        <v>732</v>
      </c>
      <c r="I677" t="s">
        <v>733</v>
      </c>
    </row>
    <row r="678" spans="1:9" x14ac:dyDescent="0.25">
      <c r="A678" s="1" t="str">
        <f>HYPERLINK("https://lynxcrm-apac--c.eu19.visual.force.com/0011i000001xo0LAAQ","Cheng, Wai Sam")</f>
        <v>Cheng, Wai Sam</v>
      </c>
      <c r="B678" t="s">
        <v>1622</v>
      </c>
      <c r="C678" t="s">
        <v>28</v>
      </c>
      <c r="D678" t="s">
        <v>251</v>
      </c>
      <c r="E678" t="s">
        <v>8</v>
      </c>
      <c r="F678" t="s">
        <v>251</v>
      </c>
      <c r="G678" t="s">
        <v>252</v>
      </c>
      <c r="H678" t="s">
        <v>252</v>
      </c>
      <c r="I678" t="s">
        <v>253</v>
      </c>
    </row>
    <row r="679" spans="1:9" x14ac:dyDescent="0.25">
      <c r="A679" s="1" t="str">
        <f>HYPERLINK("https://lynxcrm-apac--c.eu19.visual.force.com/0011i000001xo0LAAQ","Cheng, Wai Sam")</f>
        <v>Cheng, Wai Sam</v>
      </c>
      <c r="B679" t="s">
        <v>1622</v>
      </c>
      <c r="C679" t="s">
        <v>28</v>
      </c>
      <c r="D679" t="s">
        <v>1623</v>
      </c>
      <c r="E679" t="s">
        <v>8</v>
      </c>
      <c r="F679" t="s">
        <v>252</v>
      </c>
      <c r="G679" t="s">
        <v>251</v>
      </c>
      <c r="H679" t="s">
        <v>251</v>
      </c>
      <c r="I679" t="s">
        <v>253</v>
      </c>
    </row>
    <row r="680" spans="1:9" x14ac:dyDescent="0.25">
      <c r="A680" s="1" t="str">
        <f>HYPERLINK("https://lynxcrm-apac--c.eu19.visual.force.com/0011i000001xo2qAAA","Cheng, Yew Kuang")</f>
        <v>Cheng, Yew Kuang</v>
      </c>
      <c r="B680" t="s">
        <v>1624</v>
      </c>
      <c r="C680" t="s">
        <v>28</v>
      </c>
      <c r="D680" t="s">
        <v>1625</v>
      </c>
      <c r="E680" t="s">
        <v>8</v>
      </c>
      <c r="F680" t="s">
        <v>69</v>
      </c>
      <c r="G680" t="s">
        <v>398</v>
      </c>
      <c r="H680" t="s">
        <v>399</v>
      </c>
      <c r="I680" t="s">
        <v>67</v>
      </c>
    </row>
    <row r="681" spans="1:9" x14ac:dyDescent="0.25">
      <c r="A681" s="1" t="str">
        <f>HYPERLINK("https://lynxcrm-apac--c.eu19.visual.force.com/0011i000001xn23AAA","Cheng Clinic")</f>
        <v>Cheng Clinic</v>
      </c>
      <c r="B681" t="s">
        <v>1626</v>
      </c>
      <c r="C681" t="s">
        <v>10</v>
      </c>
      <c r="D681" t="s">
        <v>8</v>
      </c>
      <c r="E681" t="s">
        <v>8</v>
      </c>
      <c r="F681" t="s">
        <v>1601</v>
      </c>
      <c r="G681" t="s">
        <v>1602</v>
      </c>
      <c r="H681" t="s">
        <v>1602</v>
      </c>
      <c r="I681" t="s">
        <v>1603</v>
      </c>
    </row>
    <row r="682" spans="1:9" x14ac:dyDescent="0.25">
      <c r="A682" s="1" t="str">
        <f>HYPERLINK("https://lynxcrm-apac--c.eu19.visual.force.com/0011i000001xnYrAAI","Cheng Jun Gastroenterology &amp; Medical Clinic")</f>
        <v>Cheng Jun Gastroenterology &amp; Medical Clinic</v>
      </c>
      <c r="B682" t="s">
        <v>1627</v>
      </c>
      <c r="C682" t="s">
        <v>10</v>
      </c>
      <c r="D682" t="s">
        <v>8</v>
      </c>
      <c r="E682" t="s">
        <v>8</v>
      </c>
      <c r="F682" t="s">
        <v>377</v>
      </c>
      <c r="G682" t="s">
        <v>1628</v>
      </c>
      <c r="H682" t="s">
        <v>1629</v>
      </c>
      <c r="I682" t="s">
        <v>123</v>
      </c>
    </row>
    <row r="683" spans="1:9" x14ac:dyDescent="0.25">
      <c r="A683" s="1" t="str">
        <f>HYPERLINK("https://lynxcrm-apac--c.eu19.visual.force.com/0011i000001xmuYAAQ","Cheng Orthopaedic, Spine &amp; Resconstructive Surgery")</f>
        <v>Cheng Orthopaedic, Spine &amp; Resconstructive Surgery</v>
      </c>
      <c r="B683" t="s">
        <v>1630</v>
      </c>
      <c r="C683" t="s">
        <v>10</v>
      </c>
      <c r="D683" t="s">
        <v>8</v>
      </c>
      <c r="E683" t="s">
        <v>8</v>
      </c>
      <c r="F683" t="s">
        <v>373</v>
      </c>
      <c r="G683" t="s">
        <v>1631</v>
      </c>
      <c r="H683" t="s">
        <v>1632</v>
      </c>
      <c r="I683" t="s">
        <v>123</v>
      </c>
    </row>
    <row r="684" spans="1:9" x14ac:dyDescent="0.25">
      <c r="A684" s="1" t="str">
        <f>HYPERLINK("https://lynxcrm-apac--c.eu19.visual.force.com/0011i000001xoNaAAI","Cheok, C S Christopher")</f>
        <v>Cheok, C S Christopher</v>
      </c>
      <c r="B684" t="s">
        <v>1633</v>
      </c>
      <c r="C684" t="s">
        <v>28</v>
      </c>
      <c r="D684" t="s">
        <v>815</v>
      </c>
      <c r="E684" t="s">
        <v>8</v>
      </c>
      <c r="F684" t="s">
        <v>816</v>
      </c>
      <c r="G684" t="s">
        <v>815</v>
      </c>
      <c r="H684" t="s">
        <v>815</v>
      </c>
      <c r="I684" t="s">
        <v>817</v>
      </c>
    </row>
    <row r="685" spans="1:9" x14ac:dyDescent="0.25">
      <c r="A685" s="1" t="str">
        <f>HYPERLINK("https://lynxcrm-apac--c.eu19.visual.force.com/0011i000001xon7AAA","Cheong, Cher Chee")</f>
        <v>Cheong, Cher Chee</v>
      </c>
      <c r="B685" t="s">
        <v>1634</v>
      </c>
      <c r="C685" t="s">
        <v>28</v>
      </c>
      <c r="D685" t="s">
        <v>1635</v>
      </c>
      <c r="E685" t="s">
        <v>8</v>
      </c>
      <c r="F685" t="s">
        <v>1636</v>
      </c>
      <c r="G685" t="s">
        <v>1637</v>
      </c>
      <c r="H685" t="s">
        <v>1637</v>
      </c>
      <c r="I685" t="s">
        <v>1638</v>
      </c>
    </row>
    <row r="686" spans="1:9" x14ac:dyDescent="0.25">
      <c r="A686" s="1" t="str">
        <f>HYPERLINK("https://lynxcrm-apac--c.eu19.visual.force.com/0011i000001xoleAAA","Cheong, Dora")</f>
        <v>Cheong, Dora</v>
      </c>
      <c r="B686" t="s">
        <v>1639</v>
      </c>
      <c r="C686" t="s">
        <v>28</v>
      </c>
      <c r="D686" t="s">
        <v>1640</v>
      </c>
      <c r="E686" t="s">
        <v>8</v>
      </c>
      <c r="F686" t="s">
        <v>1641</v>
      </c>
      <c r="G686" t="s">
        <v>1642</v>
      </c>
      <c r="H686" t="s">
        <v>1642</v>
      </c>
      <c r="I686" t="s">
        <v>1643</v>
      </c>
    </row>
    <row r="687" spans="1:9" x14ac:dyDescent="0.25">
      <c r="A687" s="1" t="str">
        <f>HYPERLINK("https://lynxcrm-apac--c.eu19.visual.force.com/0011i000001xoleAAA","Cheong, Dora")</f>
        <v>Cheong, Dora</v>
      </c>
      <c r="B687" t="s">
        <v>1639</v>
      </c>
      <c r="C687" t="s">
        <v>28</v>
      </c>
      <c r="D687" t="s">
        <v>1640</v>
      </c>
      <c r="E687" t="s">
        <v>8</v>
      </c>
      <c r="F687" t="s">
        <v>1644</v>
      </c>
      <c r="G687" t="s">
        <v>1645</v>
      </c>
      <c r="H687" t="s">
        <v>1645</v>
      </c>
      <c r="I687" t="s">
        <v>1643</v>
      </c>
    </row>
    <row r="688" spans="1:9" x14ac:dyDescent="0.25">
      <c r="A688" s="1" t="str">
        <f>HYPERLINK("https://lynxcrm-apac--c.eu19.visual.force.com/0011i000001xosJAAQ","Cheong, Hong Fai")</f>
        <v>Cheong, Hong Fai</v>
      </c>
      <c r="B688" t="s">
        <v>1646</v>
      </c>
      <c r="C688" t="s">
        <v>28</v>
      </c>
      <c r="D688" t="s">
        <v>1170</v>
      </c>
      <c r="E688" t="s">
        <v>8</v>
      </c>
      <c r="F688" t="s">
        <v>1647</v>
      </c>
      <c r="G688" t="s">
        <v>1648</v>
      </c>
      <c r="H688" t="s">
        <v>1648</v>
      </c>
      <c r="I688" t="s">
        <v>1649</v>
      </c>
    </row>
    <row r="689" spans="1:9" x14ac:dyDescent="0.25">
      <c r="A689" s="1" t="str">
        <f>HYPERLINK("https://lynxcrm-apac--c.eu19.visual.force.com/0011i000001xoRYAAY","Cheong, Kwok Keong")</f>
        <v>Cheong, Kwok Keong</v>
      </c>
      <c r="B689" t="s">
        <v>1650</v>
      </c>
      <c r="C689" t="s">
        <v>28</v>
      </c>
      <c r="D689" t="s">
        <v>1651</v>
      </c>
      <c r="E689" t="s">
        <v>8</v>
      </c>
      <c r="F689" t="s">
        <v>1652</v>
      </c>
      <c r="G689" t="s">
        <v>1653</v>
      </c>
      <c r="H689" t="s">
        <v>1653</v>
      </c>
      <c r="I689" t="s">
        <v>1654</v>
      </c>
    </row>
    <row r="690" spans="1:9" x14ac:dyDescent="0.25">
      <c r="A690" s="1" t="str">
        <f>HYPERLINK("https://lynxcrm-apac--c.eu19.visual.force.com/0011i000001xoIdAAI","Cheong, Pak Yean")</f>
        <v>Cheong, Pak Yean</v>
      </c>
      <c r="B690" t="s">
        <v>1655</v>
      </c>
      <c r="C690" t="s">
        <v>28</v>
      </c>
      <c r="D690" t="s">
        <v>1656</v>
      </c>
      <c r="E690" t="s">
        <v>8</v>
      </c>
      <c r="F690" t="s">
        <v>1657</v>
      </c>
      <c r="G690" t="s">
        <v>1657</v>
      </c>
      <c r="H690" t="s">
        <v>1658</v>
      </c>
      <c r="I690" t="s">
        <v>1659</v>
      </c>
    </row>
    <row r="691" spans="1:9" x14ac:dyDescent="0.25">
      <c r="A691" s="1" t="str">
        <f>HYPERLINK("https://lynxcrm-apac--c.eu19.visual.force.com/0011i000001xo0NAAQ","Cheong, Seng Kwing")</f>
        <v>Cheong, Seng Kwing</v>
      </c>
      <c r="B691" t="s">
        <v>1660</v>
      </c>
      <c r="C691" t="s">
        <v>28</v>
      </c>
      <c r="D691" t="s">
        <v>1661</v>
      </c>
      <c r="E691" t="s">
        <v>8</v>
      </c>
      <c r="F691" t="s">
        <v>627</v>
      </c>
      <c r="G691" t="s">
        <v>628</v>
      </c>
      <c r="H691" t="s">
        <v>628</v>
      </c>
      <c r="I691" t="s">
        <v>624</v>
      </c>
    </row>
    <row r="692" spans="1:9" x14ac:dyDescent="0.25">
      <c r="A692" s="1" t="str">
        <f>HYPERLINK("https://lynxcrm-apac--c.eu19.visual.force.com/0011i000001xoRpAAI","Cheong, Tuck Hong")</f>
        <v>Cheong, Tuck Hong</v>
      </c>
      <c r="B692" t="s">
        <v>1662</v>
      </c>
      <c r="C692" t="s">
        <v>28</v>
      </c>
      <c r="D692" t="s">
        <v>1663</v>
      </c>
      <c r="E692" t="s">
        <v>8</v>
      </c>
      <c r="F692" t="s">
        <v>377</v>
      </c>
      <c r="G692" t="s">
        <v>1664</v>
      </c>
      <c r="H692" t="s">
        <v>1664</v>
      </c>
      <c r="I692" t="s">
        <v>123</v>
      </c>
    </row>
    <row r="693" spans="1:9" x14ac:dyDescent="0.25">
      <c r="A693" s="1" t="str">
        <f>HYPERLINK("https://lynxcrm-apac--c.eu19.visual.force.com/0011i000001xo0OAAQ","Cheong, Wai Kit")</f>
        <v>Cheong, Wai Kit</v>
      </c>
      <c r="B693" t="s">
        <v>1665</v>
      </c>
      <c r="C693" t="s">
        <v>28</v>
      </c>
      <c r="D693" t="s">
        <v>429</v>
      </c>
      <c r="E693" t="s">
        <v>8</v>
      </c>
      <c r="F693" t="s">
        <v>1666</v>
      </c>
      <c r="G693" t="s">
        <v>428</v>
      </c>
      <c r="H693" t="s">
        <v>1320</v>
      </c>
      <c r="I693" t="s">
        <v>430</v>
      </c>
    </row>
    <row r="694" spans="1:9" x14ac:dyDescent="0.25">
      <c r="A694" s="1" t="str">
        <f>HYPERLINK("https://lynxcrm-apac--c.eu19.visual.force.com/0011i000001xoWqAAI","Cheong, Y Y Pauline")</f>
        <v>Cheong, Y Y Pauline</v>
      </c>
      <c r="B694" t="s">
        <v>1667</v>
      </c>
      <c r="C694" t="s">
        <v>28</v>
      </c>
      <c r="D694" t="s">
        <v>1668</v>
      </c>
      <c r="E694" t="s">
        <v>8</v>
      </c>
      <c r="F694" t="s">
        <v>69</v>
      </c>
      <c r="G694" t="s">
        <v>1669</v>
      </c>
      <c r="H694" t="s">
        <v>1670</v>
      </c>
      <c r="I694" t="s">
        <v>67</v>
      </c>
    </row>
    <row r="695" spans="1:9" x14ac:dyDescent="0.25">
      <c r="A695" s="1" t="str">
        <f>HYPERLINK("https://lynxcrm-apac--c.eu19.visual.force.com/0011i000001xnKiAAI","Cheong Clinic")</f>
        <v>Cheong Clinic</v>
      </c>
      <c r="B695" t="s">
        <v>1671</v>
      </c>
      <c r="C695" t="s">
        <v>10</v>
      </c>
      <c r="D695" t="s">
        <v>8</v>
      </c>
      <c r="E695" t="s">
        <v>8</v>
      </c>
      <c r="F695" t="s">
        <v>1672</v>
      </c>
      <c r="G695" t="s">
        <v>1673</v>
      </c>
      <c r="H695" t="s">
        <v>1674</v>
      </c>
      <c r="I695" t="s">
        <v>1675</v>
      </c>
    </row>
    <row r="696" spans="1:9" x14ac:dyDescent="0.25">
      <c r="A696" s="1" t="str">
        <f>HYPERLINK("https://lynxcrm-apac--c.eu19.visual.force.com/0011i000001xmejAAA","Cheong Medical Clinic")</f>
        <v>Cheong Medical Clinic</v>
      </c>
      <c r="B696" t="s">
        <v>1676</v>
      </c>
      <c r="C696" t="s">
        <v>10</v>
      </c>
      <c r="D696" t="s">
        <v>8</v>
      </c>
      <c r="E696" t="s">
        <v>8</v>
      </c>
      <c r="F696" t="s">
        <v>1657</v>
      </c>
      <c r="G696" t="s">
        <v>1657</v>
      </c>
      <c r="H696" t="s">
        <v>1658</v>
      </c>
      <c r="I696" t="s">
        <v>1659</v>
      </c>
    </row>
    <row r="697" spans="1:9" x14ac:dyDescent="0.25">
      <c r="A697" s="1" t="str">
        <f>HYPERLINK("https://lynxcrm-apac--c.eu19.visual.force.com/0011i000001xocUAAQ","Cheriyan, A.K.")</f>
        <v>Cheriyan, A.K.</v>
      </c>
      <c r="B697" t="s">
        <v>1677</v>
      </c>
      <c r="C697" t="s">
        <v>28</v>
      </c>
      <c r="D697" t="s">
        <v>1678</v>
      </c>
      <c r="E697" t="s">
        <v>8</v>
      </c>
      <c r="F697" t="s">
        <v>469</v>
      </c>
      <c r="G697" t="s">
        <v>1679</v>
      </c>
      <c r="H697" t="s">
        <v>1679</v>
      </c>
      <c r="I697" t="s">
        <v>67</v>
      </c>
    </row>
    <row r="698" spans="1:9" x14ac:dyDescent="0.25">
      <c r="A698" s="1" t="str">
        <f>HYPERLINK("https://lynxcrm-apac--c.eu19.visual.force.com/0011i000001xnPwAAI","Chern Medical Clinic")</f>
        <v>Chern Medical Clinic</v>
      </c>
      <c r="B698" t="s">
        <v>1680</v>
      </c>
      <c r="C698" t="s">
        <v>10</v>
      </c>
      <c r="D698" t="s">
        <v>8</v>
      </c>
      <c r="E698" t="s">
        <v>8</v>
      </c>
      <c r="F698" t="s">
        <v>1681</v>
      </c>
      <c r="G698" t="s">
        <v>1682</v>
      </c>
      <c r="H698" t="s">
        <v>1682</v>
      </c>
      <c r="I698" t="s">
        <v>1683</v>
      </c>
    </row>
    <row r="699" spans="1:9" x14ac:dyDescent="0.25">
      <c r="A699" s="1" t="str">
        <f>HYPERLINK("https://lynxcrm-apac--c.eu19.visual.force.com/0011i000001xoScAAI","Chew, Ban Soon")</f>
        <v>Chew, Ban Soon</v>
      </c>
      <c r="B699" t="s">
        <v>1684</v>
      </c>
      <c r="C699" t="s">
        <v>28</v>
      </c>
      <c r="D699" t="s">
        <v>1685</v>
      </c>
      <c r="E699" t="s">
        <v>8</v>
      </c>
      <c r="F699" t="s">
        <v>974</v>
      </c>
      <c r="G699" t="s">
        <v>975</v>
      </c>
      <c r="H699" t="s">
        <v>976</v>
      </c>
      <c r="I699" t="s">
        <v>977</v>
      </c>
    </row>
    <row r="700" spans="1:9" x14ac:dyDescent="0.25">
      <c r="A700" s="1" t="str">
        <f>HYPERLINK("https://lynxcrm-apac--c.eu19.visual.force.com/0011i000001xoSpAAI","Chew, Beng Keng")</f>
        <v>Chew, Beng Keng</v>
      </c>
      <c r="B700" t="s">
        <v>1686</v>
      </c>
      <c r="C700" t="s">
        <v>28</v>
      </c>
      <c r="D700" t="s">
        <v>1687</v>
      </c>
      <c r="E700" t="s">
        <v>8</v>
      </c>
      <c r="F700" t="s">
        <v>1688</v>
      </c>
      <c r="G700" t="s">
        <v>1689</v>
      </c>
      <c r="H700" t="s">
        <v>1690</v>
      </c>
      <c r="I700" t="s">
        <v>1691</v>
      </c>
    </row>
    <row r="701" spans="1:9" x14ac:dyDescent="0.25">
      <c r="A701" s="1" t="str">
        <f>HYPERLINK("https://lynxcrm-apac--c.eu19.visual.force.com/0011i000001xoSzAAI","Chew, Chay Noi")</f>
        <v>Chew, Chay Noi</v>
      </c>
      <c r="B701" t="s">
        <v>1692</v>
      </c>
      <c r="C701" t="s">
        <v>28</v>
      </c>
      <c r="D701" t="s">
        <v>1693</v>
      </c>
      <c r="E701" t="s">
        <v>8</v>
      </c>
      <c r="F701" t="s">
        <v>202</v>
      </c>
      <c r="G701" t="s">
        <v>1694</v>
      </c>
      <c r="H701" t="s">
        <v>1695</v>
      </c>
      <c r="I701" t="s">
        <v>200</v>
      </c>
    </row>
    <row r="702" spans="1:9" x14ac:dyDescent="0.25">
      <c r="A702" s="1" t="str">
        <f>HYPERLINK("https://lynxcrm-apac--c.eu19.visual.force.com/0011i000001xo7sAAA","Chew, Chee Kian")</f>
        <v>Chew, Chee Kian</v>
      </c>
      <c r="B702" t="s">
        <v>1696</v>
      </c>
      <c r="C702" t="s">
        <v>28</v>
      </c>
      <c r="D702" t="s">
        <v>261</v>
      </c>
      <c r="E702" t="s">
        <v>8</v>
      </c>
      <c r="F702" t="s">
        <v>246</v>
      </c>
      <c r="G702" t="s">
        <v>258</v>
      </c>
      <c r="H702" t="s">
        <v>259</v>
      </c>
      <c r="I702" t="s">
        <v>260</v>
      </c>
    </row>
    <row r="703" spans="1:9" x14ac:dyDescent="0.25">
      <c r="A703" s="1" t="str">
        <f>HYPERLINK("https://lynxcrm-apac--c.eu19.visual.force.com/0011i000001xo7sAAA","Chew, Chee Kian")</f>
        <v>Chew, Chee Kian</v>
      </c>
      <c r="B703" t="s">
        <v>1696</v>
      </c>
      <c r="C703" t="s">
        <v>28</v>
      </c>
      <c r="D703" t="s">
        <v>261</v>
      </c>
      <c r="E703" t="s">
        <v>8</v>
      </c>
      <c r="F703" t="s">
        <v>261</v>
      </c>
      <c r="G703" t="s">
        <v>347</v>
      </c>
      <c r="H703" t="s">
        <v>347</v>
      </c>
      <c r="I703" t="s">
        <v>260</v>
      </c>
    </row>
    <row r="704" spans="1:9" x14ac:dyDescent="0.25">
      <c r="A704" s="1" t="str">
        <f>HYPERLINK("https://lynxcrm-apac--c.eu19.visual.force.com/0011i000001xo18AAA","Chew, Chee Yen Annabel")</f>
        <v>Chew, Chee Yen Annabel</v>
      </c>
      <c r="B704" t="s">
        <v>1697</v>
      </c>
      <c r="C704" t="s">
        <v>28</v>
      </c>
      <c r="D704" t="s">
        <v>1698</v>
      </c>
      <c r="E704" t="s">
        <v>8</v>
      </c>
      <c r="F704" t="s">
        <v>1699</v>
      </c>
      <c r="G704" t="s">
        <v>1521</v>
      </c>
      <c r="H704" t="s">
        <v>1700</v>
      </c>
      <c r="I704" t="s">
        <v>1701</v>
      </c>
    </row>
    <row r="705" spans="1:9" x14ac:dyDescent="0.25">
      <c r="A705" s="1" t="str">
        <f>HYPERLINK("https://lynxcrm-apac--c.eu19.visual.force.com/0011i000001xoeMAAQ","Chew, Chin Hin")</f>
        <v>Chew, Chin Hin</v>
      </c>
      <c r="B705" t="s">
        <v>1702</v>
      </c>
      <c r="C705" t="s">
        <v>28</v>
      </c>
      <c r="D705" t="s">
        <v>1703</v>
      </c>
      <c r="E705" t="s">
        <v>8</v>
      </c>
      <c r="F705" t="s">
        <v>258</v>
      </c>
      <c r="G705" t="s">
        <v>261</v>
      </c>
      <c r="H705" t="s">
        <v>261</v>
      </c>
      <c r="I705" t="s">
        <v>260</v>
      </c>
    </row>
    <row r="706" spans="1:9" x14ac:dyDescent="0.25">
      <c r="A706" s="1" t="str">
        <f>HYPERLINK("https://lynxcrm-apac--c.eu19.visual.force.com/0011i000001xoTiAAI","Chew, Chun Yang")</f>
        <v>Chew, Chun Yang</v>
      </c>
      <c r="B706" t="s">
        <v>1704</v>
      </c>
      <c r="C706" t="s">
        <v>28</v>
      </c>
      <c r="D706" t="s">
        <v>752</v>
      </c>
      <c r="E706" t="s">
        <v>8</v>
      </c>
      <c r="F706" t="s">
        <v>753</v>
      </c>
      <c r="G706" t="s">
        <v>753</v>
      </c>
      <c r="H706" t="s">
        <v>8</v>
      </c>
      <c r="I706" t="s">
        <v>137</v>
      </c>
    </row>
    <row r="707" spans="1:9" x14ac:dyDescent="0.25">
      <c r="A707" s="1" t="str">
        <f>HYPERLINK("https://lynxcrm-apac--c.eu19.visual.force.com/0011i000001xnMQAAY","Chew, Da Costa Pte Ltd")</f>
        <v>Chew, Da Costa Pte Ltd</v>
      </c>
      <c r="B707" t="s">
        <v>1705</v>
      </c>
      <c r="C707" t="s">
        <v>10</v>
      </c>
      <c r="D707" t="s">
        <v>8</v>
      </c>
      <c r="E707" t="s">
        <v>8</v>
      </c>
      <c r="F707" t="s">
        <v>1688</v>
      </c>
      <c r="G707" t="s">
        <v>1689</v>
      </c>
      <c r="H707" t="s">
        <v>1689</v>
      </c>
      <c r="I707" t="s">
        <v>1691</v>
      </c>
    </row>
    <row r="708" spans="1:9" x14ac:dyDescent="0.25">
      <c r="A708" s="1" t="str">
        <f>HYPERLINK("https://lynxcrm-apac--c.eu19.visual.force.com/0011i000001xo3zAAA","Chew, Hock Leong Maurice")</f>
        <v>Chew, Hock Leong Maurice</v>
      </c>
      <c r="B708" t="s">
        <v>1706</v>
      </c>
      <c r="C708" t="s">
        <v>28</v>
      </c>
      <c r="D708" t="s">
        <v>1707</v>
      </c>
      <c r="E708" t="s">
        <v>8</v>
      </c>
      <c r="F708" t="s">
        <v>1708</v>
      </c>
      <c r="G708" t="s">
        <v>1709</v>
      </c>
      <c r="H708" t="s">
        <v>1710</v>
      </c>
      <c r="I708" t="s">
        <v>1711</v>
      </c>
    </row>
    <row r="709" spans="1:9" x14ac:dyDescent="0.25">
      <c r="A709" s="1" t="str">
        <f>HYPERLINK("https://lynxcrm-apac--c.eu19.visual.force.com/0011i000001xoTmAAI","Chew, Khet Kuen")</f>
        <v>Chew, Khet Kuen</v>
      </c>
      <c r="B709" t="s">
        <v>1712</v>
      </c>
      <c r="C709" t="s">
        <v>28</v>
      </c>
      <c r="D709" t="s">
        <v>1713</v>
      </c>
      <c r="E709" t="s">
        <v>8</v>
      </c>
      <c r="F709" t="s">
        <v>69</v>
      </c>
      <c r="G709" t="s">
        <v>1714</v>
      </c>
      <c r="H709" t="s">
        <v>1715</v>
      </c>
      <c r="I709" t="s">
        <v>67</v>
      </c>
    </row>
    <row r="710" spans="1:9" x14ac:dyDescent="0.25">
      <c r="A710" s="1" t="str">
        <f>HYPERLINK("https://lynxcrm-apac--c.eu19.visual.force.com/0011i000001xoTtAAI","Chew, Kian Ann")</f>
        <v>Chew, Kian Ann</v>
      </c>
      <c r="B710" t="s">
        <v>1716</v>
      </c>
      <c r="C710" t="s">
        <v>28</v>
      </c>
      <c r="D710" t="s">
        <v>1717</v>
      </c>
      <c r="E710" t="s">
        <v>8</v>
      </c>
      <c r="F710" t="s">
        <v>1718</v>
      </c>
      <c r="G710" t="s">
        <v>1719</v>
      </c>
      <c r="H710" t="s">
        <v>1720</v>
      </c>
      <c r="I710" t="s">
        <v>1721</v>
      </c>
    </row>
    <row r="711" spans="1:9" x14ac:dyDescent="0.25">
      <c r="A711" s="1" t="str">
        <f>HYPERLINK("https://lynxcrm-apac--c.eu19.visual.force.com/0011i000001xojbAAA","Chew, Kong Ming")</f>
        <v>Chew, Kong Ming</v>
      </c>
      <c r="B711" t="s">
        <v>1722</v>
      </c>
      <c r="C711" t="s">
        <v>28</v>
      </c>
      <c r="D711" t="s">
        <v>937</v>
      </c>
      <c r="E711" t="s">
        <v>8</v>
      </c>
      <c r="F711" t="s">
        <v>1723</v>
      </c>
      <c r="G711" t="s">
        <v>1724</v>
      </c>
      <c r="H711" t="s">
        <v>1724</v>
      </c>
      <c r="I711" t="s">
        <v>1725</v>
      </c>
    </row>
    <row r="712" spans="1:9" x14ac:dyDescent="0.25">
      <c r="A712" s="1" t="str">
        <f>HYPERLINK("https://lynxcrm-apac--c.eu19.visual.force.com/0011i000001xo4tAAA","Chew, Kuok Ming")</f>
        <v>Chew, Kuok Ming</v>
      </c>
      <c r="B712" t="s">
        <v>1726</v>
      </c>
      <c r="C712" t="s">
        <v>28</v>
      </c>
      <c r="D712" t="s">
        <v>1727</v>
      </c>
      <c r="E712" t="s">
        <v>8</v>
      </c>
      <c r="F712" t="s">
        <v>1728</v>
      </c>
      <c r="G712" t="s">
        <v>1729</v>
      </c>
      <c r="H712" t="s">
        <v>1729</v>
      </c>
      <c r="I712" t="s">
        <v>1730</v>
      </c>
    </row>
    <row r="713" spans="1:9" x14ac:dyDescent="0.25">
      <c r="A713" s="1" t="str">
        <f>HYPERLINK("https://lynxcrm-apac--c.eu19.visual.force.com/0011i000001xof2AAA","Chew, Li-Ching")</f>
        <v>Chew, Li-Ching</v>
      </c>
      <c r="B713" t="s">
        <v>1731</v>
      </c>
      <c r="C713" t="s">
        <v>28</v>
      </c>
      <c r="D713" t="s">
        <v>251</v>
      </c>
      <c r="E713" t="s">
        <v>8</v>
      </c>
      <c r="F713" t="s">
        <v>1703</v>
      </c>
      <c r="G713" t="s">
        <v>252</v>
      </c>
      <c r="H713" t="s">
        <v>858</v>
      </c>
      <c r="I713" t="s">
        <v>253</v>
      </c>
    </row>
    <row r="714" spans="1:9" x14ac:dyDescent="0.25">
      <c r="A714" s="1" t="str">
        <f>HYPERLINK("https://lynxcrm-apac--c.eu19.visual.force.com/0011i000001xoHrAAI","Chew, May Ling")</f>
        <v>Chew, May Ling</v>
      </c>
      <c r="B714" t="s">
        <v>1732</v>
      </c>
      <c r="C714" t="s">
        <v>28</v>
      </c>
      <c r="D714" t="s">
        <v>1733</v>
      </c>
      <c r="E714" t="s">
        <v>8</v>
      </c>
      <c r="F714" t="s">
        <v>1559</v>
      </c>
      <c r="G714" t="s">
        <v>1734</v>
      </c>
      <c r="H714" t="s">
        <v>1735</v>
      </c>
      <c r="I714" t="s">
        <v>161</v>
      </c>
    </row>
    <row r="715" spans="1:9" x14ac:dyDescent="0.25">
      <c r="A715" s="1" t="str">
        <f>HYPERLINK("https://lynxcrm-apac--c.eu19.visual.force.com/0011i000001xnkuAAA","Chew, Ming Wei")</f>
        <v>Chew, Ming Wei</v>
      </c>
      <c r="B715" t="s">
        <v>1736</v>
      </c>
      <c r="C715" t="s">
        <v>28</v>
      </c>
      <c r="D715" t="s">
        <v>1737</v>
      </c>
      <c r="E715" t="s">
        <v>8</v>
      </c>
      <c r="F715" t="s">
        <v>1738</v>
      </c>
      <c r="G715" t="s">
        <v>1739</v>
      </c>
      <c r="H715" t="s">
        <v>1739</v>
      </c>
      <c r="I715" t="s">
        <v>1740</v>
      </c>
    </row>
    <row r="716" spans="1:9" x14ac:dyDescent="0.25">
      <c r="A716" s="1" t="str">
        <f>HYPERLINK("https://lynxcrm-apac--c.eu19.visual.force.com/0011i000001xofCAAQ","Chew, Ming Xian")</f>
        <v>Chew, Ming Xian</v>
      </c>
      <c r="B716" t="s">
        <v>1741</v>
      </c>
      <c r="C716" t="s">
        <v>28</v>
      </c>
      <c r="D716" t="s">
        <v>148</v>
      </c>
      <c r="E716" t="s">
        <v>8</v>
      </c>
      <c r="F716" t="s">
        <v>736</v>
      </c>
      <c r="G716" t="s">
        <v>736</v>
      </c>
      <c r="H716" t="s">
        <v>8</v>
      </c>
      <c r="I716" t="s">
        <v>149</v>
      </c>
    </row>
    <row r="717" spans="1:9" x14ac:dyDescent="0.25">
      <c r="A717" s="1" t="str">
        <f>HYPERLINK("https://lynxcrm-apac--c.eu19.visual.force.com/0011i000001xoKaAAI","Chew, Peng Hoe")</f>
        <v>Chew, Peng Hoe</v>
      </c>
      <c r="B717" t="s">
        <v>1742</v>
      </c>
      <c r="C717" t="s">
        <v>28</v>
      </c>
      <c r="D717" t="s">
        <v>1743</v>
      </c>
      <c r="E717" t="s">
        <v>8</v>
      </c>
      <c r="F717" t="s">
        <v>325</v>
      </c>
      <c r="G717" t="s">
        <v>326</v>
      </c>
      <c r="H717" t="s">
        <v>326</v>
      </c>
      <c r="I717" t="s">
        <v>310</v>
      </c>
    </row>
    <row r="718" spans="1:9" x14ac:dyDescent="0.25">
      <c r="A718" s="1" t="str">
        <f>HYPERLINK("https://lynxcrm-apac--c.eu19.visual.force.com/0011i000001xoUbAAI","Chew, Pin Kee @ Chew Ee Hern Kevin")</f>
        <v>Chew, Pin Kee @ Chew Ee Hern Kevin</v>
      </c>
      <c r="B718" t="s">
        <v>1744</v>
      </c>
      <c r="C718" t="s">
        <v>28</v>
      </c>
      <c r="D718" t="s">
        <v>1745</v>
      </c>
      <c r="E718" t="s">
        <v>8</v>
      </c>
      <c r="F718" t="s">
        <v>1746</v>
      </c>
      <c r="G718" t="s">
        <v>1454</v>
      </c>
      <c r="H718" t="s">
        <v>1747</v>
      </c>
      <c r="I718" t="s">
        <v>1748</v>
      </c>
    </row>
    <row r="719" spans="1:9" x14ac:dyDescent="0.25">
      <c r="A719" s="1" t="str">
        <f>HYPERLINK("https://lynxcrm-apac--c.eu19.visual.force.com/0011i000001xoSlAAI","Chew, Samuel")</f>
        <v>Chew, Samuel</v>
      </c>
      <c r="B719" t="s">
        <v>1749</v>
      </c>
      <c r="C719" t="s">
        <v>28</v>
      </c>
      <c r="D719" t="s">
        <v>583</v>
      </c>
      <c r="E719" t="s">
        <v>8</v>
      </c>
      <c r="F719" t="s">
        <v>583</v>
      </c>
      <c r="G719" t="s">
        <v>584</v>
      </c>
      <c r="H719" t="s">
        <v>584</v>
      </c>
      <c r="I719" t="s">
        <v>585</v>
      </c>
    </row>
    <row r="720" spans="1:9" x14ac:dyDescent="0.25">
      <c r="A720" s="1" t="str">
        <f>HYPERLINK("https://lynxcrm-apac--c.eu19.visual.force.com/0011i000001xoUtAAI","Chew, Sek Yuen")</f>
        <v>Chew, Sek Yuen</v>
      </c>
      <c r="B720" t="s">
        <v>1750</v>
      </c>
      <c r="C720" t="s">
        <v>28</v>
      </c>
      <c r="D720" t="s">
        <v>1751</v>
      </c>
      <c r="E720" t="s">
        <v>8</v>
      </c>
      <c r="F720" t="s">
        <v>69</v>
      </c>
      <c r="G720" t="s">
        <v>1752</v>
      </c>
      <c r="H720" t="s">
        <v>1753</v>
      </c>
      <c r="I720" t="s">
        <v>67</v>
      </c>
    </row>
    <row r="721" spans="1:9" x14ac:dyDescent="0.25">
      <c r="A721" s="1" t="str">
        <f>HYPERLINK("https://lynxcrm-apac--c.eu19.visual.force.com/0011i000001xo0UAAQ","Chew, Soo Ping")</f>
        <v>Chew, Soo Ping</v>
      </c>
      <c r="B721" t="s">
        <v>1754</v>
      </c>
      <c r="C721" t="s">
        <v>28</v>
      </c>
      <c r="D721" t="s">
        <v>261</v>
      </c>
      <c r="E721" t="s">
        <v>8</v>
      </c>
      <c r="F721" t="s">
        <v>261</v>
      </c>
      <c r="G721" t="s">
        <v>347</v>
      </c>
      <c r="H721" t="s">
        <v>347</v>
      </c>
      <c r="I721" t="s">
        <v>260</v>
      </c>
    </row>
    <row r="722" spans="1:9" x14ac:dyDescent="0.25">
      <c r="A722" s="1" t="str">
        <f>HYPERLINK("https://lynxcrm-apac--c.eu19.visual.force.com/0011i000001xo0UAAQ","Chew, Soo Ping")</f>
        <v>Chew, Soo Ping</v>
      </c>
      <c r="B722" t="s">
        <v>1754</v>
      </c>
      <c r="C722" t="s">
        <v>28</v>
      </c>
      <c r="D722" t="s">
        <v>1242</v>
      </c>
      <c r="E722" t="s">
        <v>8</v>
      </c>
      <c r="F722" t="s">
        <v>258</v>
      </c>
      <c r="G722" t="s">
        <v>261</v>
      </c>
      <c r="H722" t="s">
        <v>261</v>
      </c>
      <c r="I722" t="s">
        <v>260</v>
      </c>
    </row>
    <row r="723" spans="1:9" x14ac:dyDescent="0.25">
      <c r="A723" s="1" t="str">
        <f>HYPERLINK("https://lynxcrm-apac--c.eu19.visual.force.com/0011i000001xo0VAAQ","Chew, Sze Mun")</f>
        <v>Chew, Sze Mun</v>
      </c>
      <c r="B723" t="s">
        <v>1755</v>
      </c>
      <c r="C723" t="s">
        <v>28</v>
      </c>
      <c r="D723" t="s">
        <v>103</v>
      </c>
      <c r="E723" t="s">
        <v>8</v>
      </c>
      <c r="F723" t="s">
        <v>103</v>
      </c>
      <c r="G723" t="s">
        <v>104</v>
      </c>
      <c r="H723" t="s">
        <v>104</v>
      </c>
      <c r="I723" t="s">
        <v>105</v>
      </c>
    </row>
    <row r="724" spans="1:9" x14ac:dyDescent="0.25">
      <c r="A724" s="1" t="str">
        <f>HYPERLINK("https://lynxcrm-apac--c.eu19.visual.force.com/0011i000001xofFAAQ","Chew, Tec Hock Jeffrey")</f>
        <v>Chew, Tec Hock Jeffrey</v>
      </c>
      <c r="B724" t="s">
        <v>1756</v>
      </c>
      <c r="C724" t="s">
        <v>28</v>
      </c>
      <c r="D724" t="s">
        <v>1757</v>
      </c>
      <c r="E724" t="s">
        <v>8</v>
      </c>
      <c r="F724" t="s">
        <v>1102</v>
      </c>
      <c r="G724" t="s">
        <v>121</v>
      </c>
      <c r="H724" t="s">
        <v>121</v>
      </c>
      <c r="I724" t="s">
        <v>123</v>
      </c>
    </row>
    <row r="725" spans="1:9" x14ac:dyDescent="0.25">
      <c r="A725" s="1" t="str">
        <f>HYPERLINK("https://lynxcrm-apac--c.eu19.visual.force.com/0011i000001xoYiAAI","Chew, Wei Ling")</f>
        <v>Chew, Wei Ling</v>
      </c>
      <c r="B725" t="s">
        <v>1758</v>
      </c>
      <c r="C725" t="s">
        <v>28</v>
      </c>
      <c r="D725" t="s">
        <v>335</v>
      </c>
      <c r="E725" t="s">
        <v>8</v>
      </c>
      <c r="F725" t="s">
        <v>336</v>
      </c>
      <c r="G725" t="s">
        <v>337</v>
      </c>
      <c r="H725" t="s">
        <v>337</v>
      </c>
      <c r="I725" t="s">
        <v>338</v>
      </c>
    </row>
    <row r="726" spans="1:9" x14ac:dyDescent="0.25">
      <c r="A726" s="1" t="str">
        <f>HYPERLINK("https://lynxcrm-apac--c.eu19.visual.force.com/0011i000001xoYiAAI","Chew, Wei Ling")</f>
        <v>Chew, Wei Ling</v>
      </c>
      <c r="B726" t="s">
        <v>1758</v>
      </c>
      <c r="C726" t="s">
        <v>28</v>
      </c>
      <c r="D726" t="s">
        <v>335</v>
      </c>
      <c r="E726" t="s">
        <v>8</v>
      </c>
      <c r="F726" t="s">
        <v>339</v>
      </c>
      <c r="G726" t="s">
        <v>337</v>
      </c>
      <c r="H726" t="s">
        <v>340</v>
      </c>
      <c r="I726" t="s">
        <v>338</v>
      </c>
    </row>
    <row r="727" spans="1:9" x14ac:dyDescent="0.25">
      <c r="A727" s="1" t="str">
        <f>HYPERLINK("https://lynxcrm-apac--c.eu19.visual.force.com/0011i000001xoYCAAY","Chew, Wuen Ming")</f>
        <v>Chew, Wuen Ming</v>
      </c>
      <c r="B727" t="s">
        <v>1759</v>
      </c>
      <c r="C727" t="s">
        <v>28</v>
      </c>
      <c r="D727" t="s">
        <v>445</v>
      </c>
      <c r="E727" t="s">
        <v>8</v>
      </c>
      <c r="F727" t="s">
        <v>258</v>
      </c>
      <c r="G727" t="s">
        <v>261</v>
      </c>
      <c r="H727" t="s">
        <v>261</v>
      </c>
      <c r="I727" t="s">
        <v>260</v>
      </c>
    </row>
    <row r="728" spans="1:9" x14ac:dyDescent="0.25">
      <c r="A728" s="1" t="str">
        <f>HYPERLINK("https://lynxcrm-apac--c.eu19.visual.force.com/0011i000001xoVKAAY","Chew, Yee Chian Christopher")</f>
        <v>Chew, Yee Chian Christopher</v>
      </c>
      <c r="B728" t="s">
        <v>1760</v>
      </c>
      <c r="C728" t="s">
        <v>28</v>
      </c>
      <c r="D728" t="s">
        <v>1761</v>
      </c>
      <c r="E728" t="s">
        <v>8</v>
      </c>
      <c r="F728" t="s">
        <v>373</v>
      </c>
      <c r="G728" t="s">
        <v>1762</v>
      </c>
      <c r="H728" t="s">
        <v>1763</v>
      </c>
      <c r="I728" t="s">
        <v>123</v>
      </c>
    </row>
    <row r="729" spans="1:9" x14ac:dyDescent="0.25">
      <c r="A729" s="1" t="str">
        <f>HYPERLINK("https://lynxcrm-apac--c.eu19.visual.force.com/0011i00000Eh4YkAAJ","Chew, Yun Chi Kenneth")</f>
        <v>Chew, Yun Chi Kenneth</v>
      </c>
      <c r="B729" t="s">
        <v>1764</v>
      </c>
      <c r="C729" t="s">
        <v>28</v>
      </c>
      <c r="D729" t="s">
        <v>449</v>
      </c>
      <c r="E729" t="s">
        <v>8</v>
      </c>
      <c r="F729" t="s">
        <v>450</v>
      </c>
      <c r="G729" t="s">
        <v>449</v>
      </c>
      <c r="H729" t="s">
        <v>449</v>
      </c>
      <c r="I729" t="s">
        <v>451</v>
      </c>
    </row>
    <row r="730" spans="1:9" x14ac:dyDescent="0.25">
      <c r="A730" s="1" t="str">
        <f>HYPERLINK("https://lynxcrm-apac--c.eu19.visual.force.com/0011i00000Eh4YkAAJ","Chew, Yun Chi Kenneth")</f>
        <v>Chew, Yun Chi Kenneth</v>
      </c>
      <c r="B730" t="s">
        <v>1764</v>
      </c>
      <c r="C730" t="s">
        <v>28</v>
      </c>
      <c r="D730" t="s">
        <v>449</v>
      </c>
      <c r="E730" t="s">
        <v>8</v>
      </c>
      <c r="F730" t="s">
        <v>234</v>
      </c>
      <c r="G730" t="s">
        <v>452</v>
      </c>
      <c r="H730" t="s">
        <v>453</v>
      </c>
      <c r="I730" t="s">
        <v>454</v>
      </c>
    </row>
    <row r="731" spans="1:9" x14ac:dyDescent="0.25">
      <c r="A731" s="1" t="str">
        <f>HYPERLINK("https://lynxcrm-apac--c.eu19.visual.force.com/0011i00000wTa38AAC","Chew, Zonghui")</f>
        <v>Chew, Zonghui</v>
      </c>
      <c r="B731" t="s">
        <v>1765</v>
      </c>
      <c r="C731" t="s">
        <v>28</v>
      </c>
      <c r="D731" t="s">
        <v>8</v>
      </c>
      <c r="E731" t="s">
        <v>8</v>
      </c>
      <c r="F731" t="s">
        <v>257</v>
      </c>
      <c r="G731" t="s">
        <v>258</v>
      </c>
      <c r="H731" t="s">
        <v>259</v>
      </c>
      <c r="I731" t="s">
        <v>260</v>
      </c>
    </row>
    <row r="732" spans="1:9" x14ac:dyDescent="0.25">
      <c r="A732" s="1" t="str">
        <f>HYPERLINK("https://lynxcrm-apac--c.eu19.visual.force.com/0011i00000wTa38AAC","Chew, Zonghui")</f>
        <v>Chew, Zonghui</v>
      </c>
      <c r="B732" t="s">
        <v>1765</v>
      </c>
      <c r="C732" t="s">
        <v>28</v>
      </c>
      <c r="D732" t="s">
        <v>261</v>
      </c>
      <c r="E732" t="s">
        <v>8</v>
      </c>
      <c r="F732" t="s">
        <v>257</v>
      </c>
      <c r="G732" t="s">
        <v>258</v>
      </c>
      <c r="H732" t="s">
        <v>259</v>
      </c>
      <c r="I732" t="s">
        <v>260</v>
      </c>
    </row>
    <row r="733" spans="1:9" x14ac:dyDescent="0.25">
      <c r="A733" s="1" t="str">
        <f>HYPERLINK("https://lynxcrm-apac--c.eu19.visual.force.com/0011i000001xoVaAAI","Chia, Boon Hock")</f>
        <v>Chia, Boon Hock</v>
      </c>
      <c r="B733" t="s">
        <v>1766</v>
      </c>
      <c r="C733" t="s">
        <v>28</v>
      </c>
      <c r="D733" t="s">
        <v>1767</v>
      </c>
      <c r="E733" t="s">
        <v>8</v>
      </c>
      <c r="F733" t="s">
        <v>1768</v>
      </c>
      <c r="G733" t="s">
        <v>1769</v>
      </c>
      <c r="H733" t="s">
        <v>1770</v>
      </c>
      <c r="I733" t="s">
        <v>47</v>
      </c>
    </row>
    <row r="734" spans="1:9" x14ac:dyDescent="0.25">
      <c r="A734" s="1" t="str">
        <f>HYPERLINK("https://lynxcrm-apac--c.eu19.visual.force.com/0011i000001xoVgAAI","Chia, Chai Nah Patrick")</f>
        <v>Chia, Chai Nah Patrick</v>
      </c>
      <c r="B734" t="s">
        <v>1771</v>
      </c>
      <c r="C734" t="s">
        <v>28</v>
      </c>
      <c r="D734" t="s">
        <v>1772</v>
      </c>
      <c r="E734" t="s">
        <v>8</v>
      </c>
      <c r="F734" t="s">
        <v>1773</v>
      </c>
      <c r="G734" t="s">
        <v>1774</v>
      </c>
      <c r="H734" t="s">
        <v>1775</v>
      </c>
      <c r="I734" t="s">
        <v>1776</v>
      </c>
    </row>
    <row r="735" spans="1:9" x14ac:dyDescent="0.25">
      <c r="A735" s="1" t="str">
        <f>HYPERLINK("https://lynxcrm-apac--c.eu19.visual.force.com/0011i000001xo4JAAQ","Chia, Chung King")</f>
        <v>Chia, Chung King</v>
      </c>
      <c r="B735" t="s">
        <v>1777</v>
      </c>
      <c r="C735" t="s">
        <v>28</v>
      </c>
      <c r="D735" t="s">
        <v>1305</v>
      </c>
      <c r="E735" t="s">
        <v>8</v>
      </c>
      <c r="F735" t="s">
        <v>1306</v>
      </c>
      <c r="G735" t="s">
        <v>1307</v>
      </c>
      <c r="H735" t="s">
        <v>612</v>
      </c>
      <c r="I735" t="s">
        <v>610</v>
      </c>
    </row>
    <row r="736" spans="1:9" x14ac:dyDescent="0.25">
      <c r="A736" s="1" t="str">
        <f>HYPERLINK("https://lynxcrm-apac--c.eu19.visual.force.com/0011i000001xoVqAAI","Chia, Hiang Kiat")</f>
        <v>Chia, Hiang Kiat</v>
      </c>
      <c r="B736" t="s">
        <v>1778</v>
      </c>
      <c r="C736" t="s">
        <v>28</v>
      </c>
      <c r="D736" t="s">
        <v>1779</v>
      </c>
      <c r="E736" t="s">
        <v>8</v>
      </c>
      <c r="F736" t="s">
        <v>1780</v>
      </c>
      <c r="G736" t="s">
        <v>1781</v>
      </c>
      <c r="H736" t="s">
        <v>1782</v>
      </c>
      <c r="I736" t="s">
        <v>1783</v>
      </c>
    </row>
    <row r="737" spans="1:9" x14ac:dyDescent="0.25">
      <c r="A737" s="1" t="str">
        <f>HYPERLINK("https://lynxcrm-apac--c.eu19.visual.force.com/0011i000001xoIPAAY","Chia, Hwee Ai Catherine")</f>
        <v>Chia, Hwee Ai Catherine</v>
      </c>
      <c r="B737" t="s">
        <v>1784</v>
      </c>
      <c r="C737" t="s">
        <v>28</v>
      </c>
      <c r="D737" t="s">
        <v>1785</v>
      </c>
      <c r="E737" t="s">
        <v>8</v>
      </c>
      <c r="F737" t="s">
        <v>1786</v>
      </c>
      <c r="G737" t="s">
        <v>1787</v>
      </c>
      <c r="H737" t="s">
        <v>1788</v>
      </c>
      <c r="I737" t="s">
        <v>1789</v>
      </c>
    </row>
    <row r="738" spans="1:9" x14ac:dyDescent="0.25">
      <c r="A738" s="1" t="str">
        <f>HYPERLINK("https://lynxcrm-apac--c.eu19.visual.force.com/0011i000001xoW0AAI","Chia, Irene")</f>
        <v>Chia, Irene</v>
      </c>
      <c r="B738" t="s">
        <v>1790</v>
      </c>
      <c r="C738" t="s">
        <v>28</v>
      </c>
      <c r="D738" t="s">
        <v>183</v>
      </c>
      <c r="E738" t="s">
        <v>8</v>
      </c>
      <c r="F738" t="s">
        <v>183</v>
      </c>
      <c r="G738" t="s">
        <v>184</v>
      </c>
      <c r="H738" t="s">
        <v>184</v>
      </c>
      <c r="I738" t="s">
        <v>185</v>
      </c>
    </row>
    <row r="739" spans="1:9" x14ac:dyDescent="0.25">
      <c r="A739" s="1" t="str">
        <f>HYPERLINK("https://lynxcrm-apac--c.eu19.visual.force.com/0011i000001xoWIAAY","Chia, Kian Chua")</f>
        <v>Chia, Kian Chua</v>
      </c>
      <c r="B739" t="s">
        <v>1791</v>
      </c>
      <c r="C739" t="s">
        <v>28</v>
      </c>
      <c r="D739" t="s">
        <v>1792</v>
      </c>
      <c r="E739" t="s">
        <v>8</v>
      </c>
      <c r="F739" t="s">
        <v>312</v>
      </c>
      <c r="G739" t="s">
        <v>313</v>
      </c>
      <c r="H739" t="s">
        <v>314</v>
      </c>
      <c r="I739" t="s">
        <v>315</v>
      </c>
    </row>
    <row r="740" spans="1:9" x14ac:dyDescent="0.25">
      <c r="A740" s="1" t="str">
        <f>HYPERLINK("https://lynxcrm-apac--c.eu19.visual.force.com/0011i000001xoWSAAY","Chia, Kiat Swan")</f>
        <v>Chia, Kiat Swan</v>
      </c>
      <c r="B740" t="s">
        <v>1793</v>
      </c>
      <c r="C740" t="s">
        <v>28</v>
      </c>
      <c r="D740" t="s">
        <v>1794</v>
      </c>
      <c r="E740" t="s">
        <v>8</v>
      </c>
      <c r="F740" t="s">
        <v>1795</v>
      </c>
      <c r="G740" t="s">
        <v>1796</v>
      </c>
      <c r="H740" t="s">
        <v>1797</v>
      </c>
      <c r="I740" t="s">
        <v>1798</v>
      </c>
    </row>
    <row r="741" spans="1:9" x14ac:dyDescent="0.25">
      <c r="A741" s="1" t="str">
        <f>HYPERLINK("https://lynxcrm-apac--c.eu19.visual.force.com/0011i00000oYBjoAAG","Chia, Kok Hoong")</f>
        <v>Chia, Kok Hoong</v>
      </c>
      <c r="B741" t="s">
        <v>1799</v>
      </c>
      <c r="C741" t="s">
        <v>28</v>
      </c>
      <c r="D741" t="s">
        <v>1800</v>
      </c>
      <c r="E741" t="s">
        <v>8</v>
      </c>
      <c r="F741" t="s">
        <v>1801</v>
      </c>
      <c r="G741" t="s">
        <v>1802</v>
      </c>
      <c r="H741" t="s">
        <v>8</v>
      </c>
      <c r="I741" t="s">
        <v>1803</v>
      </c>
    </row>
    <row r="742" spans="1:9" x14ac:dyDescent="0.25">
      <c r="A742" s="1" t="str">
        <f>HYPERLINK("https://lynxcrm-apac--c.eu19.visual.force.com/0011i000001xoWfAAI","Chia, Kwok Wah")</f>
        <v>Chia, Kwok Wah</v>
      </c>
      <c r="B742" t="s">
        <v>1804</v>
      </c>
      <c r="C742" t="s">
        <v>28</v>
      </c>
      <c r="D742" t="s">
        <v>1805</v>
      </c>
      <c r="E742" t="s">
        <v>8</v>
      </c>
      <c r="F742" t="s">
        <v>947</v>
      </c>
      <c r="G742" t="s">
        <v>1806</v>
      </c>
      <c r="H742" t="s">
        <v>1807</v>
      </c>
      <c r="I742" t="s">
        <v>950</v>
      </c>
    </row>
    <row r="743" spans="1:9" x14ac:dyDescent="0.25">
      <c r="A743" s="1" t="str">
        <f>HYPERLINK("https://lynxcrm-apac--c.eu19.visual.force.com/0011i000001xofEAAQ","Chia, Li Ann Faith")</f>
        <v>Chia, Li Ann Faith</v>
      </c>
      <c r="B743" t="s">
        <v>1808</v>
      </c>
      <c r="C743" t="s">
        <v>28</v>
      </c>
      <c r="D743" t="s">
        <v>261</v>
      </c>
      <c r="E743" t="s">
        <v>8</v>
      </c>
      <c r="F743" t="s">
        <v>1703</v>
      </c>
      <c r="G743" t="s">
        <v>258</v>
      </c>
      <c r="H743" t="s">
        <v>259</v>
      </c>
      <c r="I743" t="s">
        <v>260</v>
      </c>
    </row>
    <row r="744" spans="1:9" x14ac:dyDescent="0.25">
      <c r="A744" s="1" t="str">
        <f>HYPERLINK("https://lynxcrm-apac--c.eu19.visual.force.com/0011i000001xngeAAA","Chia, Min Shan")</f>
        <v>Chia, Min Shan</v>
      </c>
      <c r="B744" t="s">
        <v>1809</v>
      </c>
      <c r="C744" t="s">
        <v>28</v>
      </c>
      <c r="D744" t="s">
        <v>335</v>
      </c>
      <c r="E744" t="s">
        <v>8</v>
      </c>
      <c r="F744" t="s">
        <v>336</v>
      </c>
      <c r="G744" t="s">
        <v>337</v>
      </c>
      <c r="H744" t="s">
        <v>337</v>
      </c>
      <c r="I744" t="s">
        <v>338</v>
      </c>
    </row>
    <row r="745" spans="1:9" x14ac:dyDescent="0.25">
      <c r="A745" s="1" t="str">
        <f>HYPERLINK("https://lynxcrm-apac--c.eu19.visual.force.com/0011i000001xngeAAA","Chia, Min Shan")</f>
        <v>Chia, Min Shan</v>
      </c>
      <c r="B745" t="s">
        <v>1809</v>
      </c>
      <c r="C745" t="s">
        <v>28</v>
      </c>
      <c r="D745" t="s">
        <v>1810</v>
      </c>
      <c r="E745" t="s">
        <v>8</v>
      </c>
      <c r="F745" t="s">
        <v>1811</v>
      </c>
      <c r="G745" t="s">
        <v>1812</v>
      </c>
      <c r="H745" t="s">
        <v>1812</v>
      </c>
      <c r="I745" t="s">
        <v>883</v>
      </c>
    </row>
    <row r="746" spans="1:9" x14ac:dyDescent="0.25">
      <c r="A746" s="1" t="str">
        <f>HYPERLINK("https://lynxcrm-apac--c.eu19.visual.force.com/0011i000001xngeAAA","Chia, Min Shan")</f>
        <v>Chia, Min Shan</v>
      </c>
      <c r="B746" t="s">
        <v>1809</v>
      </c>
      <c r="C746" t="s">
        <v>28</v>
      </c>
      <c r="D746" t="s">
        <v>1810</v>
      </c>
      <c r="E746" t="s">
        <v>8</v>
      </c>
      <c r="F746" t="s">
        <v>1813</v>
      </c>
      <c r="G746" t="s">
        <v>1814</v>
      </c>
      <c r="H746" t="s">
        <v>1814</v>
      </c>
      <c r="I746" t="s">
        <v>883</v>
      </c>
    </row>
    <row r="747" spans="1:9" x14ac:dyDescent="0.25">
      <c r="A747" s="1" t="str">
        <f>HYPERLINK("https://lynxcrm-apac--c.eu19.visual.force.com/0011i000001xngeAAA","Chia, Min Shan")</f>
        <v>Chia, Min Shan</v>
      </c>
      <c r="B747" t="s">
        <v>1809</v>
      </c>
      <c r="C747" t="s">
        <v>28</v>
      </c>
      <c r="D747" t="s">
        <v>1810</v>
      </c>
      <c r="E747" t="s">
        <v>8</v>
      </c>
      <c r="F747" t="s">
        <v>1815</v>
      </c>
      <c r="G747" t="s">
        <v>1814</v>
      </c>
      <c r="H747" t="s">
        <v>1814</v>
      </c>
      <c r="I747" t="s">
        <v>1816</v>
      </c>
    </row>
    <row r="748" spans="1:9" x14ac:dyDescent="0.25">
      <c r="A748" s="1" t="str">
        <f>HYPERLINK("https://lynxcrm-apac--c.eu19.visual.force.com/0011i000001xoJsAAI","Chia, Min Wee")</f>
        <v>Chia, Min Wee</v>
      </c>
      <c r="B748" t="s">
        <v>1817</v>
      </c>
      <c r="C748" t="s">
        <v>28</v>
      </c>
      <c r="D748" t="s">
        <v>583</v>
      </c>
      <c r="E748" t="s">
        <v>8</v>
      </c>
      <c r="F748" t="s">
        <v>583</v>
      </c>
      <c r="G748" t="s">
        <v>584</v>
      </c>
      <c r="H748" t="s">
        <v>584</v>
      </c>
      <c r="I748" t="s">
        <v>585</v>
      </c>
    </row>
    <row r="749" spans="1:9" x14ac:dyDescent="0.25">
      <c r="A749" s="1" t="str">
        <f>HYPERLINK("https://lynxcrm-apac--c.eu19.visual.force.com/0011i000001xoJsAAI","Chia, Min Wee")</f>
        <v>Chia, Min Wee</v>
      </c>
      <c r="B749" t="s">
        <v>1817</v>
      </c>
      <c r="C749" t="s">
        <v>28</v>
      </c>
      <c r="D749" t="s">
        <v>635</v>
      </c>
      <c r="E749" t="s">
        <v>8</v>
      </c>
      <c r="F749" t="s">
        <v>584</v>
      </c>
      <c r="G749" t="s">
        <v>583</v>
      </c>
      <c r="H749" t="s">
        <v>583</v>
      </c>
      <c r="I749" t="s">
        <v>585</v>
      </c>
    </row>
    <row r="750" spans="1:9" x14ac:dyDescent="0.25">
      <c r="A750" s="1" t="str">
        <f>HYPERLINK("https://lynxcrm-apac--c.eu19.visual.force.com/0011i000001xni3AAA","Chia, Pow Li")</f>
        <v>Chia, Pow Li</v>
      </c>
      <c r="B750" t="s">
        <v>1818</v>
      </c>
      <c r="C750" t="s">
        <v>28</v>
      </c>
      <c r="D750" t="s">
        <v>261</v>
      </c>
      <c r="E750" t="s">
        <v>8</v>
      </c>
      <c r="F750" t="s">
        <v>261</v>
      </c>
      <c r="G750" t="s">
        <v>347</v>
      </c>
      <c r="H750" t="s">
        <v>347</v>
      </c>
      <c r="I750" t="s">
        <v>260</v>
      </c>
    </row>
    <row r="751" spans="1:9" x14ac:dyDescent="0.25">
      <c r="A751" s="1" t="str">
        <f>HYPERLINK("https://lynxcrm-apac--c.eu19.visual.force.com/0011i00000Xf1HqAAJ","Chia, Puey Ling")</f>
        <v>Chia, Puey Ling</v>
      </c>
      <c r="B751" t="s">
        <v>1819</v>
      </c>
      <c r="C751" t="s">
        <v>28</v>
      </c>
      <c r="D751" t="s">
        <v>261</v>
      </c>
      <c r="E751" t="s">
        <v>8</v>
      </c>
      <c r="F751" t="s">
        <v>347</v>
      </c>
      <c r="G751" t="s">
        <v>1820</v>
      </c>
      <c r="H751" t="s">
        <v>8</v>
      </c>
      <c r="I751" t="s">
        <v>260</v>
      </c>
    </row>
    <row r="752" spans="1:9" x14ac:dyDescent="0.25">
      <c r="A752" s="1" t="str">
        <f>HYPERLINK("https://lynxcrm-apac--c.eu19.visual.force.com/0011i000001xoigAAA","Chia, Shih Nang Bertram")</f>
        <v>Chia, Shih Nang Bertram</v>
      </c>
      <c r="B752" t="s">
        <v>1821</v>
      </c>
      <c r="C752" t="s">
        <v>28</v>
      </c>
      <c r="D752" t="s">
        <v>937</v>
      </c>
      <c r="E752" t="s">
        <v>8</v>
      </c>
      <c r="F752" t="s">
        <v>1822</v>
      </c>
      <c r="G752" t="s">
        <v>1823</v>
      </c>
      <c r="H752" t="s">
        <v>1823</v>
      </c>
      <c r="I752" t="s">
        <v>1824</v>
      </c>
    </row>
    <row r="753" spans="1:9" x14ac:dyDescent="0.25">
      <c r="A753" s="1" t="str">
        <f>HYPERLINK("https://lynxcrm-apac--c.eu19.visual.force.com/0011i000001xoMyAAI","Chia, Shi-Lu")</f>
        <v>Chia, Shi-Lu</v>
      </c>
      <c r="B753" t="s">
        <v>1825</v>
      </c>
      <c r="C753" t="s">
        <v>28</v>
      </c>
      <c r="D753" t="s">
        <v>427</v>
      </c>
      <c r="E753" t="s">
        <v>8</v>
      </c>
      <c r="F753" t="s">
        <v>252</v>
      </c>
      <c r="G753" t="s">
        <v>251</v>
      </c>
      <c r="H753" t="s">
        <v>251</v>
      </c>
      <c r="I753" t="s">
        <v>253</v>
      </c>
    </row>
    <row r="754" spans="1:9" x14ac:dyDescent="0.25">
      <c r="A754" s="1" t="str">
        <f>HYPERLINK("https://lynxcrm-apac--c.eu19.visual.force.com/0011i000001xoW9AAI","Chia, Siew Cheng")</f>
        <v>Chia, Siew Cheng</v>
      </c>
      <c r="B754" t="s">
        <v>1826</v>
      </c>
      <c r="C754" t="s">
        <v>28</v>
      </c>
      <c r="D754" t="s">
        <v>1827</v>
      </c>
      <c r="E754" t="s">
        <v>8</v>
      </c>
      <c r="F754" t="s">
        <v>198</v>
      </c>
      <c r="G754" t="s">
        <v>208</v>
      </c>
      <c r="H754" t="s">
        <v>208</v>
      </c>
      <c r="I754" t="s">
        <v>200</v>
      </c>
    </row>
    <row r="755" spans="1:9" x14ac:dyDescent="0.25">
      <c r="A755" s="1" t="str">
        <f>HYPERLINK("https://lynxcrm-apac--c.eu19.visual.force.com/0011i00000LHDrwAAH","Chia, Sing Joo")</f>
        <v>Chia, Sing Joo</v>
      </c>
      <c r="B755" t="s">
        <v>1828</v>
      </c>
      <c r="C755" t="s">
        <v>28</v>
      </c>
      <c r="D755" t="s">
        <v>1829</v>
      </c>
      <c r="E755" t="s">
        <v>8</v>
      </c>
      <c r="F755" t="s">
        <v>1830</v>
      </c>
      <c r="G755" t="s">
        <v>1831</v>
      </c>
      <c r="H755" t="s">
        <v>8</v>
      </c>
      <c r="I755" t="s">
        <v>1832</v>
      </c>
    </row>
    <row r="756" spans="1:9" x14ac:dyDescent="0.25">
      <c r="A756" s="1" t="str">
        <f>HYPERLINK("https://lynxcrm-apac--c.eu19.visual.force.com/0011i000001xoXAAAY","Chia, Stanley")</f>
        <v>Chia, Stanley</v>
      </c>
      <c r="B756" t="s">
        <v>1833</v>
      </c>
      <c r="C756" t="s">
        <v>28</v>
      </c>
      <c r="D756" t="s">
        <v>1834</v>
      </c>
      <c r="E756" t="s">
        <v>8</v>
      </c>
      <c r="F756" t="s">
        <v>686</v>
      </c>
      <c r="G756" t="s">
        <v>687</v>
      </c>
      <c r="H756" t="s">
        <v>687</v>
      </c>
      <c r="I756" t="s">
        <v>344</v>
      </c>
    </row>
    <row r="757" spans="1:9" x14ac:dyDescent="0.25">
      <c r="A757" s="1" t="str">
        <f>HYPERLINK("https://lynxcrm-apac--c.eu19.visual.force.com/0011i000001xoXrAAI","Chia, Su-Ynn")</f>
        <v>Chia, Su-Ynn</v>
      </c>
      <c r="B757" t="s">
        <v>1835</v>
      </c>
      <c r="C757" t="s">
        <v>28</v>
      </c>
      <c r="D757" t="s">
        <v>1836</v>
      </c>
      <c r="E757" t="s">
        <v>8</v>
      </c>
      <c r="F757" t="s">
        <v>1837</v>
      </c>
      <c r="G757" t="s">
        <v>1838</v>
      </c>
      <c r="H757" t="s">
        <v>1838</v>
      </c>
      <c r="I757" t="s">
        <v>344</v>
      </c>
    </row>
    <row r="758" spans="1:9" x14ac:dyDescent="0.25">
      <c r="A758" s="1" t="str">
        <f>HYPERLINK("https://lynxcrm-apac--c.eu19.visual.force.com/0011i000001xorEAAQ","Chia, S Y Dawn")</f>
        <v>Chia, S Y Dawn</v>
      </c>
      <c r="B758" t="s">
        <v>1839</v>
      </c>
      <c r="C758" t="s">
        <v>28</v>
      </c>
      <c r="D758" t="s">
        <v>261</v>
      </c>
      <c r="E758" t="s">
        <v>8</v>
      </c>
      <c r="F758" t="s">
        <v>427</v>
      </c>
      <c r="G758" t="s">
        <v>258</v>
      </c>
      <c r="H758" t="s">
        <v>258</v>
      </c>
      <c r="I758" t="s">
        <v>415</v>
      </c>
    </row>
    <row r="759" spans="1:9" x14ac:dyDescent="0.25">
      <c r="A759" s="1" t="str">
        <f>HYPERLINK("https://lynxcrm-apac--c.eu19.visual.force.com/0011i000001xoWuAAI","Chia, Tat Sien")</f>
        <v>Chia, Tat Sien</v>
      </c>
      <c r="B759" t="s">
        <v>1840</v>
      </c>
      <c r="C759" t="s">
        <v>28</v>
      </c>
      <c r="D759" t="s">
        <v>1841</v>
      </c>
      <c r="E759" t="s">
        <v>8</v>
      </c>
      <c r="F759" t="s">
        <v>1842</v>
      </c>
      <c r="G759" t="s">
        <v>1843</v>
      </c>
      <c r="H759" t="s">
        <v>1844</v>
      </c>
      <c r="I759" t="s">
        <v>1845</v>
      </c>
    </row>
    <row r="760" spans="1:9" x14ac:dyDescent="0.25">
      <c r="A760" s="1" t="str">
        <f>HYPERLINK("https://lynxcrm-apac--c.eu19.visual.force.com/0011i000001xoNXAAY","Chia, Tee Hien")</f>
        <v>Chia, Tee Hien</v>
      </c>
      <c r="B760" t="s">
        <v>1846</v>
      </c>
      <c r="C760" t="s">
        <v>28</v>
      </c>
      <c r="D760" t="s">
        <v>21</v>
      </c>
      <c r="E760" t="s">
        <v>8</v>
      </c>
      <c r="F760" t="s">
        <v>699</v>
      </c>
      <c r="G760" t="s">
        <v>699</v>
      </c>
      <c r="H760" t="s">
        <v>8</v>
      </c>
      <c r="I760" t="s">
        <v>22</v>
      </c>
    </row>
    <row r="761" spans="1:9" x14ac:dyDescent="0.25">
      <c r="A761" s="1" t="str">
        <f>HYPERLINK("https://lynxcrm-apac--c.eu19.visual.force.com/0011i000001xoNXAAY","Chia, Tee Hien")</f>
        <v>Chia, Tee Hien</v>
      </c>
      <c r="B761" t="s">
        <v>1846</v>
      </c>
      <c r="C761" t="s">
        <v>28</v>
      </c>
      <c r="D761" t="s">
        <v>20</v>
      </c>
      <c r="E761" t="s">
        <v>8</v>
      </c>
      <c r="F761" t="s">
        <v>20</v>
      </c>
      <c r="G761" t="s">
        <v>21</v>
      </c>
      <c r="H761" t="s">
        <v>21</v>
      </c>
      <c r="I761" t="s">
        <v>22</v>
      </c>
    </row>
    <row r="762" spans="1:9" x14ac:dyDescent="0.25">
      <c r="A762" s="1" t="str">
        <f>HYPERLINK("https://lynxcrm-apac--c.eu19.visual.force.com/0011i000001xoOwAAI","Chia, Woodworth Clarice")</f>
        <v>Chia, Woodworth Clarice</v>
      </c>
      <c r="B762" t="s">
        <v>1847</v>
      </c>
      <c r="C762" t="s">
        <v>28</v>
      </c>
      <c r="D762" t="s">
        <v>1848</v>
      </c>
      <c r="E762" t="s">
        <v>8</v>
      </c>
      <c r="F762" t="s">
        <v>1849</v>
      </c>
      <c r="G762" t="s">
        <v>1850</v>
      </c>
      <c r="H762" t="s">
        <v>1850</v>
      </c>
      <c r="I762" t="s">
        <v>47</v>
      </c>
    </row>
    <row r="763" spans="1:9" x14ac:dyDescent="0.25">
      <c r="A763" s="1" t="str">
        <f>HYPERLINK("https://lynxcrm-apac--c.eu19.visual.force.com/0011i00000Xf1HtAAJ","Chia, Yee Hong")</f>
        <v>Chia, Yee Hong</v>
      </c>
      <c r="B763" t="s">
        <v>1851</v>
      </c>
      <c r="C763" t="s">
        <v>28</v>
      </c>
      <c r="D763" t="s">
        <v>261</v>
      </c>
      <c r="E763" t="s">
        <v>8</v>
      </c>
      <c r="F763" t="s">
        <v>347</v>
      </c>
      <c r="G763" t="s">
        <v>1820</v>
      </c>
      <c r="H763" t="s">
        <v>8</v>
      </c>
      <c r="I763" t="s">
        <v>260</v>
      </c>
    </row>
    <row r="764" spans="1:9" x14ac:dyDescent="0.25">
      <c r="A764" s="1" t="str">
        <f>HYPERLINK("https://lynxcrm-apac--c.eu19.visual.force.com/0011i000001xoQiAAI","Chia, Yee Tien")</f>
        <v>Chia, Yee Tien</v>
      </c>
      <c r="B764" t="s">
        <v>1852</v>
      </c>
      <c r="C764" t="s">
        <v>28</v>
      </c>
      <c r="D764" t="s">
        <v>1853</v>
      </c>
      <c r="E764" t="s">
        <v>8</v>
      </c>
      <c r="F764" t="s">
        <v>377</v>
      </c>
      <c r="G764" t="s">
        <v>1854</v>
      </c>
      <c r="H764" t="s">
        <v>1855</v>
      </c>
      <c r="I764" t="s">
        <v>123</v>
      </c>
    </row>
    <row r="765" spans="1:9" x14ac:dyDescent="0.25">
      <c r="A765" s="1" t="str">
        <f>HYPERLINK("https://lynxcrm-apac--c.eu19.visual.force.com/0011i000001xnqQAAQ","Chia, Yew Woon")</f>
        <v>Chia, Yew Woon</v>
      </c>
      <c r="B765" t="s">
        <v>1856</v>
      </c>
      <c r="C765" t="s">
        <v>28</v>
      </c>
      <c r="D765" t="s">
        <v>261</v>
      </c>
      <c r="E765" t="s">
        <v>8</v>
      </c>
      <c r="F765" t="s">
        <v>261</v>
      </c>
      <c r="G765" t="s">
        <v>347</v>
      </c>
      <c r="H765" t="s">
        <v>347</v>
      </c>
      <c r="I765" t="s">
        <v>260</v>
      </c>
    </row>
    <row r="766" spans="1:9" x14ac:dyDescent="0.25">
      <c r="A766" s="1" t="str">
        <f>HYPERLINK("https://lynxcrm-apac--c.eu19.visual.force.com/0011i000001xoQfAAI","Chia, Yih Woei")</f>
        <v>Chia, Yih Woei</v>
      </c>
      <c r="B766" t="s">
        <v>1857</v>
      </c>
      <c r="C766" t="s">
        <v>28</v>
      </c>
      <c r="D766" t="s">
        <v>1858</v>
      </c>
      <c r="E766" t="s">
        <v>8</v>
      </c>
      <c r="F766" t="s">
        <v>1859</v>
      </c>
      <c r="G766" t="s">
        <v>1860</v>
      </c>
      <c r="H766" t="s">
        <v>1861</v>
      </c>
      <c r="I766" t="s">
        <v>1862</v>
      </c>
    </row>
    <row r="767" spans="1:9" x14ac:dyDescent="0.25">
      <c r="A767" s="1" t="str">
        <f>HYPERLINK("https://lynxcrm-apac--c.eu19.visual.force.com/0011i000001xomjAAA","Chia, Yng Kew Cynthia")</f>
        <v>Chia, Yng Kew Cynthia</v>
      </c>
      <c r="B767" t="s">
        <v>1863</v>
      </c>
      <c r="C767" t="s">
        <v>28</v>
      </c>
      <c r="D767" t="s">
        <v>1864</v>
      </c>
      <c r="E767" t="s">
        <v>8</v>
      </c>
      <c r="F767" t="s">
        <v>1865</v>
      </c>
      <c r="G767" t="s">
        <v>343</v>
      </c>
      <c r="H767" t="s">
        <v>343</v>
      </c>
      <c r="I767" t="s">
        <v>344</v>
      </c>
    </row>
    <row r="768" spans="1:9" x14ac:dyDescent="0.25">
      <c r="A768" s="1" t="str">
        <f>HYPERLINK("https://lynxcrm-apac--c.eu19.visual.force.com/0011i000001xo01AAA","Chia, Yook Fong")</f>
        <v>Chia, Yook Fong</v>
      </c>
      <c r="B768" t="s">
        <v>1866</v>
      </c>
      <c r="C768" t="s">
        <v>28</v>
      </c>
      <c r="D768" t="s">
        <v>709</v>
      </c>
      <c r="E768" t="s">
        <v>8</v>
      </c>
      <c r="F768" t="s">
        <v>710</v>
      </c>
      <c r="G768" t="s">
        <v>135</v>
      </c>
      <c r="H768" t="s">
        <v>135</v>
      </c>
      <c r="I768" t="s">
        <v>711</v>
      </c>
    </row>
    <row r="769" spans="1:9" x14ac:dyDescent="0.25">
      <c r="A769" s="1" t="str">
        <f>HYPERLINK("https://lynxcrm-apac--c.eu19.visual.force.com/0011i000001xo01AAA","Chia, Yook Fong")</f>
        <v>Chia, Yook Fong</v>
      </c>
      <c r="B769" t="s">
        <v>1866</v>
      </c>
      <c r="C769" t="s">
        <v>28</v>
      </c>
      <c r="D769" t="s">
        <v>1867</v>
      </c>
      <c r="E769" t="s">
        <v>8</v>
      </c>
      <c r="F769" t="s">
        <v>135</v>
      </c>
      <c r="G769" t="s">
        <v>709</v>
      </c>
      <c r="H769" t="s">
        <v>709</v>
      </c>
      <c r="I769" t="s">
        <v>711</v>
      </c>
    </row>
    <row r="770" spans="1:9" x14ac:dyDescent="0.25">
      <c r="A770" s="1" t="str">
        <f>HYPERLINK("https://lynxcrm-apac--c.eu19.visual.force.com/0011i000001xoXDAAY","Chia, Yuen Tat")</f>
        <v>Chia, Yuen Tat</v>
      </c>
      <c r="B770" t="s">
        <v>1868</v>
      </c>
      <c r="C770" t="s">
        <v>28</v>
      </c>
      <c r="D770" t="s">
        <v>1869</v>
      </c>
      <c r="E770" t="s">
        <v>8</v>
      </c>
      <c r="F770" t="s">
        <v>1870</v>
      </c>
      <c r="G770" t="s">
        <v>1871</v>
      </c>
      <c r="H770" t="s">
        <v>1871</v>
      </c>
      <c r="I770" t="s">
        <v>1872</v>
      </c>
    </row>
    <row r="771" spans="1:9" x14ac:dyDescent="0.25">
      <c r="A771" s="1" t="str">
        <f>HYPERLINK("https://lynxcrm-apac--c.eu19.visual.force.com/0011i000001xoXJAAY","Chia, Yuit Keen")</f>
        <v>Chia, Yuit Keen</v>
      </c>
      <c r="B771" t="s">
        <v>1873</v>
      </c>
      <c r="C771" t="s">
        <v>28</v>
      </c>
      <c r="D771" t="s">
        <v>578</v>
      </c>
      <c r="E771" t="s">
        <v>8</v>
      </c>
      <c r="F771" t="s">
        <v>1874</v>
      </c>
      <c r="G771" t="s">
        <v>1875</v>
      </c>
      <c r="H771" t="s">
        <v>1875</v>
      </c>
      <c r="I771" t="s">
        <v>1876</v>
      </c>
    </row>
    <row r="772" spans="1:9" x14ac:dyDescent="0.25">
      <c r="A772" s="1" t="str">
        <f>HYPERLINK("https://lynxcrm-apac--c.eu19.visual.force.com/0011i000001xn5wAAA","Chia Clinic")</f>
        <v>Chia Clinic</v>
      </c>
      <c r="B772" t="s">
        <v>1877</v>
      </c>
      <c r="C772" t="s">
        <v>10</v>
      </c>
      <c r="D772" t="s">
        <v>8</v>
      </c>
      <c r="E772" t="s">
        <v>8</v>
      </c>
      <c r="F772" t="s">
        <v>1842</v>
      </c>
      <c r="G772" t="s">
        <v>1843</v>
      </c>
      <c r="H772" t="s">
        <v>1844</v>
      </c>
      <c r="I772" t="s">
        <v>1845</v>
      </c>
    </row>
    <row r="773" spans="1:9" x14ac:dyDescent="0.25">
      <c r="A773" s="1" t="str">
        <f>HYPERLINK("https://lynxcrm-apac--c.eu19.visual.force.com/0011i000001xoJPAAY","Chiam, Choon Huan Eric")</f>
        <v>Chiam, Choon Huan Eric</v>
      </c>
      <c r="B773" t="s">
        <v>1878</v>
      </c>
      <c r="C773" t="s">
        <v>28</v>
      </c>
      <c r="D773" t="s">
        <v>1879</v>
      </c>
      <c r="E773" t="s">
        <v>8</v>
      </c>
      <c r="F773" t="s">
        <v>1880</v>
      </c>
      <c r="G773" t="s">
        <v>1881</v>
      </c>
      <c r="H773" t="s">
        <v>1882</v>
      </c>
      <c r="I773" t="s">
        <v>1883</v>
      </c>
    </row>
    <row r="774" spans="1:9" x14ac:dyDescent="0.25">
      <c r="A774" s="1" t="str">
        <f>HYPERLINK("https://lynxcrm-apac--c.eu19.visual.force.com/0011i000001xohLAAQ","Chiam, Heng Tin John")</f>
        <v>Chiam, Heng Tin John</v>
      </c>
      <c r="B774" t="s">
        <v>1884</v>
      </c>
      <c r="C774" t="s">
        <v>28</v>
      </c>
      <c r="D774" t="s">
        <v>1885</v>
      </c>
      <c r="E774" t="s">
        <v>8</v>
      </c>
      <c r="F774" t="s">
        <v>1131</v>
      </c>
      <c r="G774" t="s">
        <v>1132</v>
      </c>
      <c r="H774" t="s">
        <v>1133</v>
      </c>
      <c r="I774" t="s">
        <v>1134</v>
      </c>
    </row>
    <row r="775" spans="1:9" x14ac:dyDescent="0.25">
      <c r="A775" s="1" t="str">
        <f>HYPERLINK("https://lynxcrm-apac--c.eu19.visual.force.com/0011i000001xo0eAAA","Chiam, Peak Chiang")</f>
        <v>Chiam, Peak Chiang</v>
      </c>
      <c r="B775" t="s">
        <v>1886</v>
      </c>
      <c r="C775" t="s">
        <v>28</v>
      </c>
      <c r="D775" t="s">
        <v>815</v>
      </c>
      <c r="E775" t="s">
        <v>8</v>
      </c>
      <c r="F775" t="s">
        <v>1887</v>
      </c>
      <c r="G775" t="s">
        <v>816</v>
      </c>
      <c r="H775" t="s">
        <v>1888</v>
      </c>
      <c r="I775" t="s">
        <v>817</v>
      </c>
    </row>
    <row r="776" spans="1:9" x14ac:dyDescent="0.25">
      <c r="A776" s="1" t="str">
        <f>HYPERLINK("https://lynxcrm-apac--c.eu19.visual.force.com/0011i000001xoczAAA","Chiam, Yih Hsing John")</f>
        <v>Chiam, Yih Hsing John</v>
      </c>
      <c r="B776" t="s">
        <v>1889</v>
      </c>
      <c r="C776" t="s">
        <v>28</v>
      </c>
      <c r="D776" t="s">
        <v>1890</v>
      </c>
      <c r="E776" t="s">
        <v>8</v>
      </c>
      <c r="F776" t="s">
        <v>1891</v>
      </c>
      <c r="G776" t="s">
        <v>1653</v>
      </c>
      <c r="H776" t="s">
        <v>1653</v>
      </c>
      <c r="I776" t="s">
        <v>1892</v>
      </c>
    </row>
    <row r="777" spans="1:9" x14ac:dyDescent="0.25">
      <c r="A777" s="1" t="str">
        <f>HYPERLINK("https://lynxcrm-apac--c.eu19.visual.force.com/0011i000001xoXlAAI","Chiang, Shih Chen Lynda")</f>
        <v>Chiang, Shih Chen Lynda</v>
      </c>
      <c r="B777" t="s">
        <v>1893</v>
      </c>
      <c r="C777" t="s">
        <v>28</v>
      </c>
      <c r="D777" t="s">
        <v>1894</v>
      </c>
      <c r="E777" t="s">
        <v>8</v>
      </c>
      <c r="F777" t="s">
        <v>343</v>
      </c>
      <c r="G777" t="s">
        <v>1895</v>
      </c>
      <c r="H777" t="s">
        <v>1895</v>
      </c>
      <c r="I777" t="s">
        <v>344</v>
      </c>
    </row>
    <row r="778" spans="1:9" x14ac:dyDescent="0.25">
      <c r="A778" s="1" t="str">
        <f>HYPERLINK("https://lynxcrm-apac--c.eu19.visual.force.com/0011i000001xnl3AAA","Chiang, Shu Qi Benita")</f>
        <v>Chiang, Shu Qi Benita</v>
      </c>
      <c r="B778" t="s">
        <v>1896</v>
      </c>
      <c r="C778" t="s">
        <v>28</v>
      </c>
      <c r="D778" t="s">
        <v>261</v>
      </c>
      <c r="E778" t="s">
        <v>8</v>
      </c>
      <c r="F778" t="s">
        <v>261</v>
      </c>
      <c r="G778" t="s">
        <v>347</v>
      </c>
      <c r="H778" t="s">
        <v>347</v>
      </c>
      <c r="I778" t="s">
        <v>260</v>
      </c>
    </row>
    <row r="779" spans="1:9" x14ac:dyDescent="0.25">
      <c r="A779" s="1" t="str">
        <f>HYPERLINK("https://lynxcrm-apac--c.eu19.visual.force.com/0011i000001xochAAA","Chiew, Chee Wei Darryl")</f>
        <v>Chiew, Chee Wei Darryl</v>
      </c>
      <c r="B779" t="s">
        <v>1897</v>
      </c>
      <c r="C779" t="s">
        <v>28</v>
      </c>
      <c r="D779" t="s">
        <v>1898</v>
      </c>
      <c r="E779" t="s">
        <v>8</v>
      </c>
      <c r="F779" t="s">
        <v>1899</v>
      </c>
      <c r="G779" t="s">
        <v>1900</v>
      </c>
      <c r="H779" t="s">
        <v>1901</v>
      </c>
      <c r="I779" t="s">
        <v>1902</v>
      </c>
    </row>
    <row r="780" spans="1:9" x14ac:dyDescent="0.25">
      <c r="A780" s="1" t="str">
        <f>HYPERLINK("https://lynxcrm-apac--c.eu19.visual.force.com/0011i000001xoTPAAY","Chiew, Ing Hai")</f>
        <v>Chiew, Ing Hai</v>
      </c>
      <c r="B780" t="s">
        <v>1903</v>
      </c>
      <c r="C780" t="s">
        <v>28</v>
      </c>
      <c r="D780" t="s">
        <v>1904</v>
      </c>
      <c r="E780" t="s">
        <v>8</v>
      </c>
      <c r="F780" t="s">
        <v>1905</v>
      </c>
      <c r="G780" t="s">
        <v>1906</v>
      </c>
      <c r="H780" t="s">
        <v>1907</v>
      </c>
      <c r="I780" t="s">
        <v>1908</v>
      </c>
    </row>
    <row r="781" spans="1:9" x14ac:dyDescent="0.25">
      <c r="A781" s="1" t="str">
        <f>HYPERLINK("https://lynxcrm-apac--c.eu19.visual.force.com/0011i000007DNKHAA4","Chik, Hui Shan")</f>
        <v>Chik, Hui Shan</v>
      </c>
      <c r="B781" t="s">
        <v>1909</v>
      </c>
      <c r="C781" t="s">
        <v>28</v>
      </c>
      <c r="D781" t="s">
        <v>709</v>
      </c>
      <c r="E781" t="s">
        <v>8</v>
      </c>
      <c r="F781" t="s">
        <v>710</v>
      </c>
      <c r="G781" t="s">
        <v>135</v>
      </c>
      <c r="H781" t="s">
        <v>135</v>
      </c>
      <c r="I781" t="s">
        <v>711</v>
      </c>
    </row>
    <row r="782" spans="1:9" x14ac:dyDescent="0.25">
      <c r="A782" s="1" t="str">
        <f>HYPERLINK("https://lynxcrm-apac--c.eu19.visual.force.com/0011i000001xmvcAAA","Child &amp; Family Guidance Clinic")</f>
        <v>Child &amp; Family Guidance Clinic</v>
      </c>
      <c r="B782" t="s">
        <v>1910</v>
      </c>
      <c r="C782" t="s">
        <v>10</v>
      </c>
      <c r="D782" t="s">
        <v>8</v>
      </c>
      <c r="E782" t="s">
        <v>8</v>
      </c>
      <c r="F782" t="s">
        <v>1911</v>
      </c>
      <c r="G782" t="s">
        <v>69</v>
      </c>
      <c r="H782" t="s">
        <v>69</v>
      </c>
      <c r="I782" t="s">
        <v>67</v>
      </c>
    </row>
    <row r="783" spans="1:9" x14ac:dyDescent="0.25">
      <c r="A783" s="1" t="str">
        <f>HYPERLINK("https://lynxcrm-apac--c.eu19.visual.force.com/0011i000001xoEOAAY","Chin, Chao Wu David")</f>
        <v>Chin, Chao Wu David</v>
      </c>
      <c r="B783" t="s">
        <v>1912</v>
      </c>
      <c r="C783" t="s">
        <v>28</v>
      </c>
      <c r="D783" t="s">
        <v>261</v>
      </c>
      <c r="E783" t="s">
        <v>8</v>
      </c>
      <c r="F783" t="s">
        <v>261</v>
      </c>
      <c r="G783" t="s">
        <v>347</v>
      </c>
      <c r="H783" t="s">
        <v>347</v>
      </c>
      <c r="I783" t="s">
        <v>260</v>
      </c>
    </row>
    <row r="784" spans="1:9" x14ac:dyDescent="0.25">
      <c r="A784" s="1" t="str">
        <f>HYPERLINK("https://lynxcrm-apac--c.eu19.visual.force.com/0011i000001xoEOAAY","Chin, Chao Wu David")</f>
        <v>Chin, Chao Wu David</v>
      </c>
      <c r="B784" t="s">
        <v>1912</v>
      </c>
      <c r="C784" t="s">
        <v>28</v>
      </c>
      <c r="D784" t="s">
        <v>261</v>
      </c>
      <c r="E784" t="s">
        <v>8</v>
      </c>
      <c r="F784" t="s">
        <v>258</v>
      </c>
      <c r="G784" t="s">
        <v>258</v>
      </c>
      <c r="H784" t="s">
        <v>8</v>
      </c>
      <c r="I784" t="s">
        <v>260</v>
      </c>
    </row>
    <row r="785" spans="1:9" x14ac:dyDescent="0.25">
      <c r="A785" s="1" t="str">
        <f>HYPERLINK("https://lynxcrm-apac--c.eu19.visual.force.com/0011i000001xoaCAAQ","Chin, Chee Yang")</f>
        <v>Chin, Chee Yang</v>
      </c>
      <c r="B785" t="s">
        <v>1913</v>
      </c>
      <c r="C785" t="s">
        <v>28</v>
      </c>
      <c r="D785" t="s">
        <v>1486</v>
      </c>
      <c r="E785" t="s">
        <v>8</v>
      </c>
      <c r="F785" t="s">
        <v>1486</v>
      </c>
      <c r="G785" t="s">
        <v>1487</v>
      </c>
      <c r="H785" t="s">
        <v>1487</v>
      </c>
      <c r="I785" t="s">
        <v>1488</v>
      </c>
    </row>
    <row r="786" spans="1:9" x14ac:dyDescent="0.25">
      <c r="A786" s="1" t="str">
        <f>HYPERLINK("https://lynxcrm-apac--c.eu19.visual.force.com/0011i000001xoY0AAI","Chin, En Loy Conrad")</f>
        <v>Chin, En Loy Conrad</v>
      </c>
      <c r="B786" t="s">
        <v>1914</v>
      </c>
      <c r="C786" t="s">
        <v>28</v>
      </c>
      <c r="D786" t="s">
        <v>1915</v>
      </c>
      <c r="E786" t="s">
        <v>8</v>
      </c>
      <c r="F786" t="s">
        <v>1916</v>
      </c>
      <c r="G786" t="s">
        <v>1917</v>
      </c>
      <c r="H786" t="s">
        <v>1918</v>
      </c>
      <c r="I786" t="s">
        <v>1919</v>
      </c>
    </row>
    <row r="787" spans="1:9" x14ac:dyDescent="0.25">
      <c r="A787" s="1" t="str">
        <f>HYPERLINK("https://lynxcrm-apac--c.eu19.visual.force.com/0011i000001xnyuAAA","Chin, Huay Feng")</f>
        <v>Chin, Huay Feng</v>
      </c>
      <c r="B787" t="s">
        <v>1920</v>
      </c>
      <c r="C787" t="s">
        <v>28</v>
      </c>
      <c r="D787" t="s">
        <v>1921</v>
      </c>
      <c r="E787" t="s">
        <v>8</v>
      </c>
      <c r="F787" t="s">
        <v>1895</v>
      </c>
      <c r="G787" t="s">
        <v>1922</v>
      </c>
      <c r="H787" t="s">
        <v>1922</v>
      </c>
      <c r="I787" t="s">
        <v>344</v>
      </c>
    </row>
    <row r="788" spans="1:9" x14ac:dyDescent="0.25">
      <c r="A788" s="1" t="str">
        <f>HYPERLINK("https://lynxcrm-apac--c.eu19.visual.force.com/0011i00000oYBI3AAO","Chin, Joanne")</f>
        <v>Chin, Joanne</v>
      </c>
      <c r="B788" t="s">
        <v>1923</v>
      </c>
      <c r="C788" t="s">
        <v>28</v>
      </c>
      <c r="D788" t="s">
        <v>8</v>
      </c>
      <c r="E788" t="s">
        <v>8</v>
      </c>
      <c r="F788" t="s">
        <v>393</v>
      </c>
      <c r="G788" t="s">
        <v>394</v>
      </c>
      <c r="H788" t="s">
        <v>395</v>
      </c>
      <c r="I788" t="s">
        <v>396</v>
      </c>
    </row>
    <row r="789" spans="1:9" x14ac:dyDescent="0.25">
      <c r="A789" s="1" t="str">
        <f>HYPERLINK("https://lynxcrm-apac--c.eu19.visual.force.com/0011i00000oYBI3AAO","Chin, Joanne")</f>
        <v>Chin, Joanne</v>
      </c>
      <c r="B789" t="s">
        <v>1923</v>
      </c>
      <c r="C789" t="s">
        <v>28</v>
      </c>
      <c r="D789" t="s">
        <v>392</v>
      </c>
      <c r="E789" t="s">
        <v>8</v>
      </c>
      <c r="F789" t="s">
        <v>393</v>
      </c>
      <c r="G789" t="s">
        <v>394</v>
      </c>
      <c r="H789" t="s">
        <v>395</v>
      </c>
      <c r="I789" t="s">
        <v>396</v>
      </c>
    </row>
    <row r="790" spans="1:9" x14ac:dyDescent="0.25">
      <c r="A790" s="1" t="str">
        <f>HYPERLINK("https://lynxcrm-apac--c.eu19.visual.force.com/0011i000001xoYJAAY","Chin, Koy Nam")</f>
        <v>Chin, Koy Nam</v>
      </c>
      <c r="B790" t="s">
        <v>1924</v>
      </c>
      <c r="C790" t="s">
        <v>28</v>
      </c>
      <c r="D790" t="s">
        <v>1925</v>
      </c>
      <c r="E790" t="s">
        <v>8</v>
      </c>
      <c r="F790" t="s">
        <v>786</v>
      </c>
      <c r="G790" t="s">
        <v>787</v>
      </c>
      <c r="H790" t="s">
        <v>1926</v>
      </c>
      <c r="I790" t="s">
        <v>788</v>
      </c>
    </row>
    <row r="791" spans="1:9" x14ac:dyDescent="0.25">
      <c r="A791" s="1" t="str">
        <f>HYPERLINK("https://lynxcrm-apac--c.eu19.visual.force.com/0011i000001xoYJAAY","Chin, Koy Nam")</f>
        <v>Chin, Koy Nam</v>
      </c>
      <c r="B791" t="s">
        <v>1924</v>
      </c>
      <c r="C791" t="s">
        <v>28</v>
      </c>
      <c r="D791" t="s">
        <v>1927</v>
      </c>
      <c r="E791" t="s">
        <v>8</v>
      </c>
      <c r="F791" t="s">
        <v>786</v>
      </c>
      <c r="G791" t="s">
        <v>1928</v>
      </c>
      <c r="H791" t="s">
        <v>8</v>
      </c>
      <c r="I791" t="s">
        <v>788</v>
      </c>
    </row>
    <row r="792" spans="1:9" x14ac:dyDescent="0.25">
      <c r="A792" s="1" t="str">
        <f>HYPERLINK("https://lynxcrm-apac--c.eu19.visual.force.com/0011i000001xoDRAAY","Chin, Kuen Loong")</f>
        <v>Chin, Kuen Loong</v>
      </c>
      <c r="B792" t="s">
        <v>1929</v>
      </c>
      <c r="C792" t="s">
        <v>28</v>
      </c>
      <c r="D792" t="s">
        <v>583</v>
      </c>
      <c r="E792" t="s">
        <v>8</v>
      </c>
      <c r="F792" t="s">
        <v>583</v>
      </c>
      <c r="G792" t="s">
        <v>584</v>
      </c>
      <c r="H792" t="s">
        <v>584</v>
      </c>
      <c r="I792" t="s">
        <v>585</v>
      </c>
    </row>
    <row r="793" spans="1:9" x14ac:dyDescent="0.25">
      <c r="A793" s="1" t="str">
        <f>HYPERLINK("https://lynxcrm-apac--c.eu19.visual.force.com/0011i000001xoDRAAY","Chin, Kuen Loong")</f>
        <v>Chin, Kuen Loong</v>
      </c>
      <c r="B793" t="s">
        <v>1929</v>
      </c>
      <c r="C793" t="s">
        <v>28</v>
      </c>
      <c r="D793" t="s">
        <v>1930</v>
      </c>
      <c r="E793" t="s">
        <v>8</v>
      </c>
      <c r="F793" t="s">
        <v>584</v>
      </c>
      <c r="G793" t="s">
        <v>583</v>
      </c>
      <c r="H793" t="s">
        <v>583</v>
      </c>
      <c r="I793" t="s">
        <v>585</v>
      </c>
    </row>
    <row r="794" spans="1:9" x14ac:dyDescent="0.25">
      <c r="A794" s="1" t="str">
        <f>HYPERLINK("https://lynxcrm-apac--c.eu19.visual.force.com/0011i000001xnwfAAA","Chin, Mei Lin Adeline")</f>
        <v>Chin, Mei Lin Adeline</v>
      </c>
      <c r="B794" t="s">
        <v>1931</v>
      </c>
      <c r="C794" t="s">
        <v>28</v>
      </c>
      <c r="D794" t="s">
        <v>261</v>
      </c>
      <c r="E794" t="s">
        <v>8</v>
      </c>
      <c r="F794" t="s">
        <v>257</v>
      </c>
      <c r="G794" t="s">
        <v>258</v>
      </c>
      <c r="H794" t="s">
        <v>259</v>
      </c>
      <c r="I794" t="s">
        <v>260</v>
      </c>
    </row>
    <row r="795" spans="1:9" x14ac:dyDescent="0.25">
      <c r="A795" s="1" t="str">
        <f>HYPERLINK("https://lynxcrm-apac--c.eu19.visual.force.com/0011i000001xnwfAAA","Chin, Mei Lin Adeline")</f>
        <v>Chin, Mei Lin Adeline</v>
      </c>
      <c r="B795" t="s">
        <v>1931</v>
      </c>
      <c r="C795" t="s">
        <v>28</v>
      </c>
      <c r="D795" t="s">
        <v>261</v>
      </c>
      <c r="E795" t="s">
        <v>8</v>
      </c>
      <c r="F795" t="s">
        <v>261</v>
      </c>
      <c r="G795" t="s">
        <v>347</v>
      </c>
      <c r="H795" t="s">
        <v>347</v>
      </c>
      <c r="I795" t="s">
        <v>260</v>
      </c>
    </row>
    <row r="796" spans="1:9" x14ac:dyDescent="0.25">
      <c r="A796" s="1" t="str">
        <f>HYPERLINK("https://lynxcrm-apac--c.eu19.visual.force.com/0011i000001xoADAAY","Chin, Mun Foo David")</f>
        <v>Chin, Mun Foo David</v>
      </c>
      <c r="B796" t="s">
        <v>1932</v>
      </c>
      <c r="C796" t="s">
        <v>28</v>
      </c>
      <c r="D796" t="s">
        <v>1933</v>
      </c>
      <c r="E796" t="s">
        <v>8</v>
      </c>
      <c r="F796" t="s">
        <v>1934</v>
      </c>
      <c r="G796" t="s">
        <v>1935</v>
      </c>
      <c r="H796" t="s">
        <v>1935</v>
      </c>
      <c r="I796" t="s">
        <v>111</v>
      </c>
    </row>
    <row r="797" spans="1:9" x14ac:dyDescent="0.25">
      <c r="A797" s="1" t="str">
        <f>HYPERLINK("https://lynxcrm-apac--c.eu19.visual.force.com/0011i000001xoYgAAI","Chin, Nyat Kooi")</f>
        <v>Chin, Nyat Kooi</v>
      </c>
      <c r="B797" t="s">
        <v>1936</v>
      </c>
      <c r="C797" t="s">
        <v>28</v>
      </c>
      <c r="D797" t="s">
        <v>1937</v>
      </c>
      <c r="E797" t="s">
        <v>8</v>
      </c>
      <c r="F797" t="s">
        <v>377</v>
      </c>
      <c r="G797" t="s">
        <v>1938</v>
      </c>
      <c r="H797" t="s">
        <v>1938</v>
      </c>
      <c r="I797" t="s">
        <v>123</v>
      </c>
    </row>
    <row r="798" spans="1:9" x14ac:dyDescent="0.25">
      <c r="A798" s="1" t="str">
        <f>HYPERLINK("https://lynxcrm-apac--c.eu19.visual.force.com/0011i000001xodpAAA","Chin, Pak Lin")</f>
        <v>Chin, Pak Lin</v>
      </c>
      <c r="B798" t="s">
        <v>1939</v>
      </c>
      <c r="C798" t="s">
        <v>28</v>
      </c>
      <c r="D798" t="s">
        <v>1940</v>
      </c>
      <c r="E798" t="s">
        <v>8</v>
      </c>
      <c r="F798" t="s">
        <v>1941</v>
      </c>
      <c r="G798" t="s">
        <v>1942</v>
      </c>
      <c r="H798" t="s">
        <v>1942</v>
      </c>
      <c r="I798" t="s">
        <v>344</v>
      </c>
    </row>
    <row r="799" spans="1:9" x14ac:dyDescent="0.25">
      <c r="A799" s="1" t="str">
        <f>HYPERLINK("https://lynxcrm-apac--c.eu19.visual.force.com/0011i00000ULbZCAA1","Chin, Rui Ting")</f>
        <v>Chin, Rui Ting</v>
      </c>
      <c r="B799" t="s">
        <v>1943</v>
      </c>
      <c r="C799" t="s">
        <v>28</v>
      </c>
      <c r="D799" t="s">
        <v>429</v>
      </c>
      <c r="E799" t="s">
        <v>8</v>
      </c>
      <c r="F799" t="s">
        <v>429</v>
      </c>
      <c r="G799" t="s">
        <v>428</v>
      </c>
      <c r="H799" t="s">
        <v>428</v>
      </c>
      <c r="I799" t="s">
        <v>430</v>
      </c>
    </row>
    <row r="800" spans="1:9" x14ac:dyDescent="0.25">
      <c r="A800" s="1" t="str">
        <f>HYPERLINK("https://lynxcrm-apac--c.eu19.visual.force.com/0011i00000ULbZCAA1","Chin, Rui Ting")</f>
        <v>Chin, Rui Ting</v>
      </c>
      <c r="B800" t="s">
        <v>1943</v>
      </c>
      <c r="C800" t="s">
        <v>28</v>
      </c>
      <c r="D800" t="s">
        <v>8</v>
      </c>
      <c r="E800" t="s">
        <v>8</v>
      </c>
      <c r="F800" t="s">
        <v>246</v>
      </c>
      <c r="G800" t="s">
        <v>428</v>
      </c>
      <c r="H800" t="s">
        <v>1320</v>
      </c>
      <c r="I800" t="s">
        <v>430</v>
      </c>
    </row>
    <row r="801" spans="1:9" x14ac:dyDescent="0.25">
      <c r="A801" s="1" t="str">
        <f>HYPERLINK("https://lynxcrm-apac--c.eu19.visual.force.com/0011i000001xoe2AAA","Chin, Thaim Wai")</f>
        <v>Chin, Thaim Wai</v>
      </c>
      <c r="B801" t="s">
        <v>1944</v>
      </c>
      <c r="C801" t="s">
        <v>28</v>
      </c>
      <c r="D801" t="s">
        <v>501</v>
      </c>
      <c r="E801" t="s">
        <v>8</v>
      </c>
      <c r="F801" t="s">
        <v>427</v>
      </c>
      <c r="G801" t="s">
        <v>502</v>
      </c>
      <c r="H801" t="s">
        <v>503</v>
      </c>
      <c r="I801" t="s">
        <v>506</v>
      </c>
    </row>
    <row r="802" spans="1:9" x14ac:dyDescent="0.25">
      <c r="A802" s="1" t="str">
        <f>HYPERLINK("https://lynxcrm-apac--c.eu19.visual.force.com/0011i000001xoZGAAY","Chin, Yew Liang Alan")</f>
        <v>Chin, Yew Liang Alan</v>
      </c>
      <c r="B802" t="s">
        <v>1945</v>
      </c>
      <c r="C802" t="s">
        <v>28</v>
      </c>
      <c r="D802" t="s">
        <v>1946</v>
      </c>
      <c r="E802" t="s">
        <v>8</v>
      </c>
      <c r="F802" t="s">
        <v>1947</v>
      </c>
      <c r="G802" t="s">
        <v>1948</v>
      </c>
      <c r="H802" t="s">
        <v>1948</v>
      </c>
      <c r="I802" t="s">
        <v>1949</v>
      </c>
    </row>
    <row r="803" spans="1:9" x14ac:dyDescent="0.25">
      <c r="A803" s="1" t="str">
        <f>HYPERLINK("https://lynxcrm-apac--c.eu19.visual.force.com/0011i000007CD9AAAW","Chin, Yun Ann")</f>
        <v>Chin, Yun Ann</v>
      </c>
      <c r="B803" t="s">
        <v>1950</v>
      </c>
      <c r="C803" t="s">
        <v>28</v>
      </c>
      <c r="D803" t="s">
        <v>583</v>
      </c>
      <c r="E803" t="s">
        <v>8</v>
      </c>
      <c r="F803" t="s">
        <v>583</v>
      </c>
      <c r="G803" t="s">
        <v>584</v>
      </c>
      <c r="H803" t="s">
        <v>584</v>
      </c>
      <c r="I803" t="s">
        <v>585</v>
      </c>
    </row>
    <row r="804" spans="1:9" x14ac:dyDescent="0.25">
      <c r="A804" s="1" t="str">
        <f>HYPERLINK("https://lynxcrm-apac--c.eu19.visual.force.com/0011i000007CD9AAAW","Chin, Yun Ann")</f>
        <v>Chin, Yun Ann</v>
      </c>
      <c r="B804" t="s">
        <v>1950</v>
      </c>
      <c r="C804" t="s">
        <v>28</v>
      </c>
      <c r="D804" t="s">
        <v>251</v>
      </c>
      <c r="E804" t="s">
        <v>8</v>
      </c>
      <c r="F804" t="s">
        <v>246</v>
      </c>
      <c r="G804" t="s">
        <v>252</v>
      </c>
      <c r="H804" t="s">
        <v>252</v>
      </c>
      <c r="I804" t="s">
        <v>253</v>
      </c>
    </row>
    <row r="805" spans="1:9" x14ac:dyDescent="0.25">
      <c r="A805" s="1" t="str">
        <f>HYPERLINK("https://lynxcrm-apac--c.eu19.visual.force.com/0011i000001xmhIAAQ","Chinatown Medical Centre")</f>
        <v>Chinatown Medical Centre</v>
      </c>
      <c r="B805" t="s">
        <v>1951</v>
      </c>
      <c r="C805" t="s">
        <v>10</v>
      </c>
      <c r="D805" t="s">
        <v>8</v>
      </c>
      <c r="E805" t="s">
        <v>8</v>
      </c>
      <c r="F805" t="s">
        <v>1952</v>
      </c>
      <c r="G805" t="s">
        <v>1953</v>
      </c>
      <c r="H805" t="s">
        <v>1954</v>
      </c>
      <c r="I805" t="s">
        <v>1955</v>
      </c>
    </row>
    <row r="806" spans="1:9" x14ac:dyDescent="0.25">
      <c r="A806" s="1" t="str">
        <f>HYPERLINK("https://lynxcrm-apac--c.eu19.visual.force.com/0011i000001xnC2AAI","Chin Choo Clinic")</f>
        <v>Chin Choo Clinic</v>
      </c>
      <c r="B806" t="s">
        <v>1956</v>
      </c>
      <c r="C806" t="s">
        <v>10</v>
      </c>
      <c r="D806" t="s">
        <v>8</v>
      </c>
      <c r="E806" t="s">
        <v>8</v>
      </c>
      <c r="F806" t="s">
        <v>1957</v>
      </c>
      <c r="G806" t="s">
        <v>1958</v>
      </c>
      <c r="H806" t="s">
        <v>1958</v>
      </c>
      <c r="I806" t="s">
        <v>1959</v>
      </c>
    </row>
    <row r="807" spans="1:9" x14ac:dyDescent="0.25">
      <c r="A807" s="1" t="str">
        <f>HYPERLINK("https://lynxcrm-apac--c.eu19.visual.force.com/0011i000001xofWAAQ","Ching, Min Er")</f>
        <v>Ching, Min Er</v>
      </c>
      <c r="B807" t="s">
        <v>1960</v>
      </c>
      <c r="C807" t="s">
        <v>28</v>
      </c>
      <c r="D807" t="s">
        <v>261</v>
      </c>
      <c r="E807" t="s">
        <v>8</v>
      </c>
      <c r="F807" t="s">
        <v>261</v>
      </c>
      <c r="G807" t="s">
        <v>347</v>
      </c>
      <c r="H807" t="s">
        <v>347</v>
      </c>
      <c r="I807" t="s">
        <v>260</v>
      </c>
    </row>
    <row r="808" spans="1:9" x14ac:dyDescent="0.25">
      <c r="A808" s="1" t="str">
        <f>HYPERLINK("https://lynxcrm-apac--c.eu19.visual.force.com/0011i000001xmbDAAQ","Chin Leong Clinic")</f>
        <v>Chin Leong Clinic</v>
      </c>
      <c r="B808" t="s">
        <v>1961</v>
      </c>
      <c r="C808" t="s">
        <v>10</v>
      </c>
      <c r="D808" t="s">
        <v>8</v>
      </c>
      <c r="E808" t="s">
        <v>8</v>
      </c>
      <c r="F808" t="s">
        <v>1962</v>
      </c>
      <c r="G808" t="s">
        <v>1963</v>
      </c>
      <c r="H808" t="s">
        <v>1963</v>
      </c>
      <c r="I808" t="s">
        <v>1964</v>
      </c>
    </row>
    <row r="809" spans="1:9" x14ac:dyDescent="0.25">
      <c r="A809" s="1" t="str">
        <f>HYPERLINK("https://lynxcrm-apac--c.eu19.visual.force.com/0011i000001xnE4AAI","Chin Y K Clinic for Women &amp; Menopause Centre")</f>
        <v>Chin Y K Clinic for Women &amp; Menopause Centre</v>
      </c>
      <c r="B809" t="s">
        <v>1965</v>
      </c>
      <c r="C809" t="s">
        <v>10</v>
      </c>
      <c r="D809" t="s">
        <v>8</v>
      </c>
      <c r="E809" t="s">
        <v>8</v>
      </c>
      <c r="F809" t="s">
        <v>69</v>
      </c>
      <c r="G809" t="s">
        <v>1966</v>
      </c>
      <c r="H809" t="s">
        <v>1967</v>
      </c>
      <c r="I809" t="s">
        <v>67</v>
      </c>
    </row>
    <row r="810" spans="1:9" x14ac:dyDescent="0.25">
      <c r="A810" s="1" t="str">
        <f>HYPERLINK("https://lynxcrm-apac--c.eu19.visual.force.com/0011i000001xoM1AAI","Chio, Han Sin Roy")</f>
        <v>Chio, Han Sin Roy</v>
      </c>
      <c r="B810" t="s">
        <v>1968</v>
      </c>
      <c r="C810" t="s">
        <v>28</v>
      </c>
      <c r="D810" t="s">
        <v>1969</v>
      </c>
      <c r="E810" t="s">
        <v>8</v>
      </c>
      <c r="F810" t="s">
        <v>1970</v>
      </c>
      <c r="G810" t="s">
        <v>1971</v>
      </c>
      <c r="H810" t="s">
        <v>1972</v>
      </c>
      <c r="I810" t="s">
        <v>1973</v>
      </c>
    </row>
    <row r="811" spans="1:9" x14ac:dyDescent="0.25">
      <c r="A811" s="1" t="str">
        <f>HYPERLINK("https://lynxcrm-apac--c.eu19.visual.force.com/0011i000001xo5BAAQ","Chiong, Chang Yin")</f>
        <v>Chiong, Chang Yin</v>
      </c>
      <c r="B811" t="s">
        <v>1974</v>
      </c>
      <c r="C811" t="s">
        <v>28</v>
      </c>
      <c r="D811" t="s">
        <v>583</v>
      </c>
      <c r="E811" t="s">
        <v>8</v>
      </c>
      <c r="F811" t="s">
        <v>583</v>
      </c>
      <c r="G811" t="s">
        <v>584</v>
      </c>
      <c r="H811" t="s">
        <v>584</v>
      </c>
      <c r="I811" t="s">
        <v>585</v>
      </c>
    </row>
    <row r="812" spans="1:9" x14ac:dyDescent="0.25">
      <c r="A812" s="1" t="str">
        <f>HYPERLINK("https://lynxcrm-apac--c.eu19.visual.force.com/0011i00000S3HGIAA3","Chiong, Cleo")</f>
        <v>Chiong, Cleo</v>
      </c>
      <c r="B812" t="s">
        <v>1975</v>
      </c>
      <c r="C812" t="s">
        <v>28</v>
      </c>
      <c r="D812" t="s">
        <v>147</v>
      </c>
      <c r="E812" t="s">
        <v>8</v>
      </c>
      <c r="F812" t="s">
        <v>147</v>
      </c>
      <c r="G812" t="s">
        <v>148</v>
      </c>
      <c r="H812" t="s">
        <v>148</v>
      </c>
      <c r="I812" t="s">
        <v>149</v>
      </c>
    </row>
    <row r="813" spans="1:9" x14ac:dyDescent="0.25">
      <c r="A813" s="1" t="str">
        <f>HYPERLINK("https://lynxcrm-apac--c.eu19.visual.force.com/0011i000001xocdAAA","Chiong, Jin Yeng")</f>
        <v>Chiong, Jin Yeng</v>
      </c>
      <c r="B813" t="s">
        <v>1976</v>
      </c>
      <c r="C813" t="s">
        <v>28</v>
      </c>
      <c r="D813" t="s">
        <v>1977</v>
      </c>
      <c r="E813" t="s">
        <v>8</v>
      </c>
      <c r="F813" t="s">
        <v>90</v>
      </c>
      <c r="G813" t="s">
        <v>91</v>
      </c>
      <c r="H813" t="s">
        <v>91</v>
      </c>
      <c r="I813" t="s">
        <v>92</v>
      </c>
    </row>
    <row r="814" spans="1:9" x14ac:dyDescent="0.25">
      <c r="A814" s="1" t="str">
        <f>HYPERLINK("https://lynxcrm-apac--c.eu19.visual.force.com/0011i000001xocdAAA","Chiong, Jin Yeng")</f>
        <v>Chiong, Jin Yeng</v>
      </c>
      <c r="B814" t="s">
        <v>1976</v>
      </c>
      <c r="C814" t="s">
        <v>28</v>
      </c>
      <c r="D814" t="s">
        <v>520</v>
      </c>
      <c r="E814" t="s">
        <v>8</v>
      </c>
      <c r="F814" t="s">
        <v>90</v>
      </c>
      <c r="G814" t="s">
        <v>521</v>
      </c>
      <c r="H814" t="s">
        <v>521</v>
      </c>
      <c r="I814" t="s">
        <v>92</v>
      </c>
    </row>
    <row r="815" spans="1:9" x14ac:dyDescent="0.25">
      <c r="A815" s="1" t="str">
        <f>HYPERLINK("https://lynxcrm-apac--c.eu19.visual.force.com/0011i000001xo21AAA","Chionh, Eng Hoe")</f>
        <v>Chionh, Eng Hoe</v>
      </c>
      <c r="B815" t="s">
        <v>1978</v>
      </c>
      <c r="C815" t="s">
        <v>28</v>
      </c>
      <c r="D815" t="s">
        <v>1979</v>
      </c>
      <c r="E815" t="s">
        <v>8</v>
      </c>
      <c r="F815" t="s">
        <v>1980</v>
      </c>
      <c r="G815" t="s">
        <v>1981</v>
      </c>
      <c r="H815" t="s">
        <v>1981</v>
      </c>
      <c r="I815" t="s">
        <v>1982</v>
      </c>
    </row>
    <row r="816" spans="1:9" x14ac:dyDescent="0.25">
      <c r="A816" s="1" t="str">
        <f>HYPERLINK("https://lynxcrm-apac--c.eu19.visual.force.com/0011i000001xo0lAAA","Chionh, Siok Bee")</f>
        <v>Chionh, Siok Bee</v>
      </c>
      <c r="B816" t="s">
        <v>1983</v>
      </c>
      <c r="C816" t="s">
        <v>28</v>
      </c>
      <c r="D816" t="s">
        <v>429</v>
      </c>
      <c r="E816" t="s">
        <v>8</v>
      </c>
      <c r="F816" t="s">
        <v>246</v>
      </c>
      <c r="G816" t="s">
        <v>428</v>
      </c>
      <c r="H816" t="s">
        <v>1320</v>
      </c>
      <c r="I816" t="s">
        <v>430</v>
      </c>
    </row>
    <row r="817" spans="1:9" x14ac:dyDescent="0.25">
      <c r="A817" s="1" t="str">
        <f>HYPERLINK("https://lynxcrm-apac--c.eu19.visual.force.com/0011i000001xo0lAAA","Chionh, Siok Bee")</f>
        <v>Chionh, Siok Bee</v>
      </c>
      <c r="B817" t="s">
        <v>1983</v>
      </c>
      <c r="C817" t="s">
        <v>28</v>
      </c>
      <c r="D817" t="s">
        <v>429</v>
      </c>
      <c r="E817" t="s">
        <v>8</v>
      </c>
      <c r="F817" t="s">
        <v>429</v>
      </c>
      <c r="G817" t="s">
        <v>428</v>
      </c>
      <c r="H817" t="s">
        <v>428</v>
      </c>
      <c r="I817" t="s">
        <v>430</v>
      </c>
    </row>
    <row r="818" spans="1:9" x14ac:dyDescent="0.25">
      <c r="A818" s="1" t="str">
        <f>HYPERLINK("https://lynxcrm-apac--c.eu19.visual.force.com/0011i000001xoGHAAY","Chitra, Muthusamy")</f>
        <v>Chitra, Muthusamy</v>
      </c>
      <c r="B818" t="s">
        <v>1984</v>
      </c>
      <c r="C818" t="s">
        <v>28</v>
      </c>
      <c r="D818" t="s">
        <v>251</v>
      </c>
      <c r="E818" t="s">
        <v>8</v>
      </c>
      <c r="F818" t="s">
        <v>651</v>
      </c>
      <c r="G818" t="s">
        <v>252</v>
      </c>
      <c r="H818" t="s">
        <v>252</v>
      </c>
      <c r="I818" t="s">
        <v>253</v>
      </c>
    </row>
    <row r="819" spans="1:9" x14ac:dyDescent="0.25">
      <c r="A819" s="1" t="str">
        <f>HYPERLINK("https://lynxcrm-apac--c.eu19.visual.force.com/0011i000001xo0mAAA","Chiu, Ming Terk")</f>
        <v>Chiu, Ming Terk</v>
      </c>
      <c r="B819" t="s">
        <v>1985</v>
      </c>
      <c r="C819" t="s">
        <v>28</v>
      </c>
      <c r="D819" t="s">
        <v>1242</v>
      </c>
      <c r="E819" t="s">
        <v>8</v>
      </c>
      <c r="F819" t="s">
        <v>258</v>
      </c>
      <c r="G819" t="s">
        <v>261</v>
      </c>
      <c r="H819" t="s">
        <v>261</v>
      </c>
      <c r="I819" t="s">
        <v>260</v>
      </c>
    </row>
    <row r="820" spans="1:9" x14ac:dyDescent="0.25">
      <c r="A820" s="1" t="str">
        <f>HYPERLINK("https://lynxcrm-apac--c.eu19.visual.force.com/0011i000001xnBVAAY","C H Lim Cardiology Clinic")</f>
        <v>C H Lim Cardiology Clinic</v>
      </c>
      <c r="B820" t="s">
        <v>1986</v>
      </c>
      <c r="C820" t="s">
        <v>10</v>
      </c>
      <c r="D820" t="s">
        <v>8</v>
      </c>
      <c r="E820" t="s">
        <v>8</v>
      </c>
      <c r="F820" t="s">
        <v>373</v>
      </c>
      <c r="G820" t="s">
        <v>1987</v>
      </c>
      <c r="H820" t="s">
        <v>1988</v>
      </c>
      <c r="I820" t="s">
        <v>123</v>
      </c>
    </row>
    <row r="821" spans="1:9" x14ac:dyDescent="0.25">
      <c r="A821" s="1" t="str">
        <f>HYPERLINK("https://lynxcrm-apac--c.eu19.visual.force.com/0011i000001xod6AAA","Chng, Jerry")</f>
        <v>Chng, Jerry</v>
      </c>
      <c r="B821" t="s">
        <v>1989</v>
      </c>
      <c r="C821" t="s">
        <v>28</v>
      </c>
      <c r="D821" t="s">
        <v>1990</v>
      </c>
      <c r="E821" t="s">
        <v>8</v>
      </c>
      <c r="F821" t="s">
        <v>1991</v>
      </c>
      <c r="G821" t="s">
        <v>1992</v>
      </c>
      <c r="H821" t="s">
        <v>1993</v>
      </c>
      <c r="I821" t="s">
        <v>1994</v>
      </c>
    </row>
    <row r="822" spans="1:9" x14ac:dyDescent="0.25">
      <c r="A822" s="1" t="str">
        <f>HYPERLINK("https://lynxcrm-apac--c.eu19.visual.force.com/0011i00000uPPxHAAW","Chng, Min")</f>
        <v>Chng, Min</v>
      </c>
      <c r="B822" t="s">
        <v>1995</v>
      </c>
      <c r="C822" t="s">
        <v>28</v>
      </c>
      <c r="D822" t="s">
        <v>148</v>
      </c>
      <c r="E822" t="s">
        <v>8</v>
      </c>
      <c r="F822" t="s">
        <v>736</v>
      </c>
      <c r="G822" t="s">
        <v>736</v>
      </c>
      <c r="H822" t="s">
        <v>8</v>
      </c>
      <c r="I822" t="s">
        <v>149</v>
      </c>
    </row>
    <row r="823" spans="1:9" x14ac:dyDescent="0.25">
      <c r="A823" s="1" t="str">
        <f>HYPERLINK("https://lynxcrm-apac--c.eu19.visual.force.com/0011i000001xoJTAAY","Chng, Siew Ping")</f>
        <v>Chng, Siew Ping</v>
      </c>
      <c r="B823" t="s">
        <v>1996</v>
      </c>
      <c r="C823" t="s">
        <v>28</v>
      </c>
      <c r="D823" t="s">
        <v>251</v>
      </c>
      <c r="E823" t="s">
        <v>8</v>
      </c>
      <c r="F823" t="s">
        <v>251</v>
      </c>
      <c r="G823" t="s">
        <v>252</v>
      </c>
      <c r="H823" t="s">
        <v>252</v>
      </c>
      <c r="I823" t="s">
        <v>253</v>
      </c>
    </row>
    <row r="824" spans="1:9" x14ac:dyDescent="0.25">
      <c r="A824" s="1" t="str">
        <f>HYPERLINK("https://lynxcrm-apac--c.eu19.visual.force.com/0011i000001xoJTAAY","Chng, Siew Ping")</f>
        <v>Chng, Siew Ping</v>
      </c>
      <c r="B824" t="s">
        <v>1996</v>
      </c>
      <c r="C824" t="s">
        <v>28</v>
      </c>
      <c r="D824" t="s">
        <v>251</v>
      </c>
      <c r="E824" t="s">
        <v>8</v>
      </c>
      <c r="F824" t="s">
        <v>366</v>
      </c>
      <c r="G824" t="s">
        <v>252</v>
      </c>
      <c r="H824" t="s">
        <v>858</v>
      </c>
      <c r="I824" t="s">
        <v>253</v>
      </c>
    </row>
    <row r="825" spans="1:9" x14ac:dyDescent="0.25">
      <c r="A825" s="1" t="str">
        <f>HYPERLINK("https://lynxcrm-apac--c.eu19.visual.force.com/0011i000001xmppAAA","Choa Chu Kang Polyclinic")</f>
        <v>Choa Chu Kang Polyclinic</v>
      </c>
      <c r="B825" t="s">
        <v>1997</v>
      </c>
      <c r="C825" t="s">
        <v>10</v>
      </c>
      <c r="D825" t="s">
        <v>8</v>
      </c>
      <c r="E825" t="s">
        <v>8</v>
      </c>
      <c r="F825" t="s">
        <v>90</v>
      </c>
      <c r="G825" t="s">
        <v>90</v>
      </c>
      <c r="H825" t="s">
        <v>8</v>
      </c>
      <c r="I825" t="s">
        <v>92</v>
      </c>
    </row>
    <row r="826" spans="1:9" x14ac:dyDescent="0.25">
      <c r="A826" s="1" t="str">
        <f>HYPERLINK("https://lynxcrm-apac--c.eu19.visual.force.com/0011i000001xmqmAAA","Choa Chu Kang Polyclinic")</f>
        <v>Choa Chu Kang Polyclinic</v>
      </c>
      <c r="B826" t="s">
        <v>1998</v>
      </c>
      <c r="C826" t="s">
        <v>10</v>
      </c>
      <c r="D826" t="s">
        <v>8</v>
      </c>
      <c r="E826" t="s">
        <v>8</v>
      </c>
      <c r="F826" t="s">
        <v>90</v>
      </c>
      <c r="G826" t="s">
        <v>90</v>
      </c>
      <c r="H826" t="s">
        <v>8</v>
      </c>
      <c r="I826" t="s">
        <v>92</v>
      </c>
    </row>
    <row r="827" spans="1:9" x14ac:dyDescent="0.25">
      <c r="A827" s="1" t="str">
        <f>HYPERLINK("https://lynxcrm-apac--c.eu19.visual.force.com/0011i000001xn7XAAQ","Choa Chu Kang Polyclinic")</f>
        <v>Choa Chu Kang Polyclinic</v>
      </c>
      <c r="B827" t="s">
        <v>1999</v>
      </c>
      <c r="C827" t="s">
        <v>10</v>
      </c>
      <c r="D827" t="s">
        <v>8</v>
      </c>
      <c r="E827" t="s">
        <v>8</v>
      </c>
      <c r="F827" t="s">
        <v>90</v>
      </c>
      <c r="G827" t="s">
        <v>90</v>
      </c>
      <c r="H827" t="s">
        <v>2000</v>
      </c>
      <c r="I827" t="s">
        <v>92</v>
      </c>
    </row>
    <row r="828" spans="1:9" x14ac:dyDescent="0.25">
      <c r="A828" s="1" t="str">
        <f>HYPERLINK("https://lynxcrm-apac--c.eu19.visual.force.com/0011i000001xnQqAAI","Choa Chu Kang Polyclinic")</f>
        <v>Choa Chu Kang Polyclinic</v>
      </c>
      <c r="B828" t="s">
        <v>2001</v>
      </c>
      <c r="C828" t="s">
        <v>10</v>
      </c>
      <c r="D828" t="s">
        <v>8</v>
      </c>
      <c r="E828" t="s">
        <v>8</v>
      </c>
      <c r="F828" t="s">
        <v>90</v>
      </c>
      <c r="G828" t="s">
        <v>90</v>
      </c>
      <c r="H828" t="s">
        <v>8</v>
      </c>
      <c r="I828" t="s">
        <v>92</v>
      </c>
    </row>
    <row r="829" spans="1:9" x14ac:dyDescent="0.25">
      <c r="A829" s="1" t="str">
        <f>HYPERLINK("https://lynxcrm-apac--c.eu19.visual.force.com/0011i000001xnz6AAA","Choi, Sai Wai")</f>
        <v>Choi, Sai Wai</v>
      </c>
      <c r="B829" t="s">
        <v>2002</v>
      </c>
      <c r="C829" t="s">
        <v>28</v>
      </c>
      <c r="D829" t="s">
        <v>1698</v>
      </c>
      <c r="E829" t="s">
        <v>8</v>
      </c>
      <c r="F829" t="s">
        <v>1699</v>
      </c>
      <c r="G829" t="s">
        <v>1521</v>
      </c>
      <c r="H829" t="s">
        <v>1700</v>
      </c>
      <c r="I829" t="s">
        <v>1701</v>
      </c>
    </row>
    <row r="830" spans="1:9" x14ac:dyDescent="0.25">
      <c r="A830" s="1" t="str">
        <f>HYPERLINK("https://lynxcrm-apac--c.eu19.visual.force.com/0011i000001xoaeAAA","Chok, Ching Chay")</f>
        <v>Chok, Ching Chay</v>
      </c>
      <c r="B830" t="s">
        <v>2003</v>
      </c>
      <c r="C830" t="s">
        <v>28</v>
      </c>
      <c r="D830" t="s">
        <v>2004</v>
      </c>
      <c r="E830" t="s">
        <v>8</v>
      </c>
      <c r="F830" t="s">
        <v>2005</v>
      </c>
      <c r="G830" t="s">
        <v>2006</v>
      </c>
      <c r="H830" t="s">
        <v>2006</v>
      </c>
      <c r="I830" t="s">
        <v>2007</v>
      </c>
    </row>
    <row r="831" spans="1:9" x14ac:dyDescent="0.25">
      <c r="A831" s="1" t="str">
        <f>HYPERLINK("https://lynxcrm-apac--c.eu19.visual.force.com/0011i000001xoasAAA","Chong, Bick Yew")</f>
        <v>Chong, Bick Yew</v>
      </c>
      <c r="B831" t="s">
        <v>2008</v>
      </c>
      <c r="C831" t="s">
        <v>28</v>
      </c>
      <c r="D831" t="s">
        <v>2009</v>
      </c>
      <c r="E831" t="s">
        <v>8</v>
      </c>
      <c r="F831" t="s">
        <v>2010</v>
      </c>
      <c r="G831" t="s">
        <v>2011</v>
      </c>
      <c r="H831" t="s">
        <v>2012</v>
      </c>
      <c r="I831" t="s">
        <v>2013</v>
      </c>
    </row>
    <row r="832" spans="1:9" x14ac:dyDescent="0.25">
      <c r="A832" s="1" t="str">
        <f>HYPERLINK("https://lynxcrm-apac--c.eu19.visual.force.com/0011i000007FG3YAAW","Chong, Calista")</f>
        <v>Chong, Calista</v>
      </c>
      <c r="B832" t="s">
        <v>2014</v>
      </c>
      <c r="C832" t="s">
        <v>28</v>
      </c>
      <c r="D832" t="s">
        <v>2015</v>
      </c>
      <c r="E832" t="s">
        <v>8</v>
      </c>
      <c r="F832" t="s">
        <v>2016</v>
      </c>
      <c r="G832" t="s">
        <v>1642</v>
      </c>
      <c r="H832" t="s">
        <v>1642</v>
      </c>
      <c r="I832" t="s">
        <v>2017</v>
      </c>
    </row>
    <row r="833" spans="1:9" x14ac:dyDescent="0.25">
      <c r="A833" s="1" t="str">
        <f>HYPERLINK("https://lynxcrm-apac--c.eu19.visual.force.com/0011i000001xo0nAAA","Chong, Chee Keong")</f>
        <v>Chong, Chee Keong</v>
      </c>
      <c r="B833" t="s">
        <v>2018</v>
      </c>
      <c r="C833" t="s">
        <v>28</v>
      </c>
      <c r="D833" t="s">
        <v>2019</v>
      </c>
      <c r="E833" t="s">
        <v>8</v>
      </c>
      <c r="F833" t="s">
        <v>2020</v>
      </c>
      <c r="G833" t="s">
        <v>2021</v>
      </c>
      <c r="H833" t="s">
        <v>2021</v>
      </c>
      <c r="I833" t="s">
        <v>344</v>
      </c>
    </row>
    <row r="834" spans="1:9" x14ac:dyDescent="0.25">
      <c r="A834" s="1" t="str">
        <f>HYPERLINK("https://lynxcrm-apac--c.eu19.visual.force.com/0011i000001xo5iAAA","Chong, Cher Cheong")</f>
        <v>Chong, Cher Cheong</v>
      </c>
      <c r="B834" t="s">
        <v>2022</v>
      </c>
      <c r="C834" t="s">
        <v>28</v>
      </c>
      <c r="D834" t="s">
        <v>583</v>
      </c>
      <c r="E834" t="s">
        <v>8</v>
      </c>
      <c r="F834" t="s">
        <v>583</v>
      </c>
      <c r="G834" t="s">
        <v>584</v>
      </c>
      <c r="H834" t="s">
        <v>584</v>
      </c>
      <c r="I834" t="s">
        <v>585</v>
      </c>
    </row>
    <row r="835" spans="1:9" x14ac:dyDescent="0.25">
      <c r="A835" s="1" t="str">
        <f>HYPERLINK("https://lynxcrm-apac--c.eu19.visual.force.com/0011i000001xo5iAAA","Chong, Cher Cheong")</f>
        <v>Chong, Cher Cheong</v>
      </c>
      <c r="B835" t="s">
        <v>2022</v>
      </c>
      <c r="C835" t="s">
        <v>28</v>
      </c>
      <c r="D835" t="s">
        <v>368</v>
      </c>
      <c r="E835" t="s">
        <v>8</v>
      </c>
      <c r="F835" t="s">
        <v>584</v>
      </c>
      <c r="G835" t="s">
        <v>583</v>
      </c>
      <c r="H835" t="s">
        <v>583</v>
      </c>
      <c r="I835" t="s">
        <v>585</v>
      </c>
    </row>
    <row r="836" spans="1:9" x14ac:dyDescent="0.25">
      <c r="A836" s="1" t="str">
        <f>HYPERLINK("https://lynxcrm-apac--c.eu19.visual.force.com/0011i000001xoVbAAI","Chong, Chris")</f>
        <v>Chong, Chris</v>
      </c>
      <c r="B836" t="s">
        <v>2023</v>
      </c>
      <c r="C836" t="s">
        <v>28</v>
      </c>
      <c r="D836" t="s">
        <v>1661</v>
      </c>
      <c r="E836" t="s">
        <v>8</v>
      </c>
      <c r="F836" t="s">
        <v>627</v>
      </c>
      <c r="G836" t="s">
        <v>628</v>
      </c>
      <c r="H836" t="s">
        <v>628</v>
      </c>
      <c r="I836" t="s">
        <v>624</v>
      </c>
    </row>
    <row r="837" spans="1:9" x14ac:dyDescent="0.25">
      <c r="A837" s="1" t="str">
        <f>HYPERLINK("https://lynxcrm-apac--c.eu19.visual.force.com/0011i000001xo0oAAA","Chong, Chung Ann Danel")</f>
        <v>Chong, Chung Ann Danel</v>
      </c>
      <c r="B837" t="s">
        <v>2024</v>
      </c>
      <c r="C837" t="s">
        <v>28</v>
      </c>
      <c r="D837" t="s">
        <v>2025</v>
      </c>
      <c r="E837" t="s">
        <v>8</v>
      </c>
      <c r="F837" t="s">
        <v>258</v>
      </c>
      <c r="G837" t="s">
        <v>261</v>
      </c>
      <c r="H837" t="s">
        <v>261</v>
      </c>
      <c r="I837" t="s">
        <v>260</v>
      </c>
    </row>
    <row r="838" spans="1:9" x14ac:dyDescent="0.25">
      <c r="A838" s="1" t="str">
        <f>HYPERLINK("https://lynxcrm-apac--c.eu19.visual.force.com/0011i000001xo0oAAA","Chong, Chung Ann Danel")</f>
        <v>Chong, Chung Ann Danel</v>
      </c>
      <c r="B838" t="s">
        <v>2024</v>
      </c>
      <c r="C838" t="s">
        <v>28</v>
      </c>
      <c r="D838" t="s">
        <v>261</v>
      </c>
      <c r="E838" t="s">
        <v>8</v>
      </c>
      <c r="F838" t="s">
        <v>261</v>
      </c>
      <c r="G838" t="s">
        <v>347</v>
      </c>
      <c r="H838" t="s">
        <v>347</v>
      </c>
      <c r="I838" t="s">
        <v>260</v>
      </c>
    </row>
    <row r="839" spans="1:9" x14ac:dyDescent="0.25">
      <c r="A839" s="1" t="str">
        <f>HYPERLINK("https://lynxcrm-apac--c.eu19.visual.force.com/0011i00000Xf1GWAAZ","Chong, Dawn")</f>
        <v>Chong, Dawn</v>
      </c>
      <c r="B839" t="s">
        <v>2026</v>
      </c>
      <c r="C839" t="s">
        <v>28</v>
      </c>
      <c r="D839" t="s">
        <v>2027</v>
      </c>
      <c r="E839" t="s">
        <v>8</v>
      </c>
      <c r="F839" t="s">
        <v>2028</v>
      </c>
      <c r="G839" t="s">
        <v>2029</v>
      </c>
      <c r="H839" t="s">
        <v>8</v>
      </c>
      <c r="I839" t="s">
        <v>488</v>
      </c>
    </row>
    <row r="840" spans="1:9" x14ac:dyDescent="0.25">
      <c r="A840" s="1" t="str">
        <f>HYPERLINK("https://lynxcrm-apac--c.eu19.visual.force.com/0011i000001xnrmAAA","Chong, Ee Tong")</f>
        <v>Chong, Ee Tong</v>
      </c>
      <c r="B840" t="s">
        <v>2030</v>
      </c>
      <c r="C840" t="s">
        <v>28</v>
      </c>
      <c r="D840" t="s">
        <v>2031</v>
      </c>
      <c r="E840" t="s">
        <v>8</v>
      </c>
      <c r="F840" t="s">
        <v>2032</v>
      </c>
      <c r="G840" t="s">
        <v>2033</v>
      </c>
      <c r="H840" t="s">
        <v>2033</v>
      </c>
      <c r="I840" t="s">
        <v>2034</v>
      </c>
    </row>
    <row r="841" spans="1:9" x14ac:dyDescent="0.25">
      <c r="A841" s="1" t="str">
        <f>HYPERLINK("https://lynxcrm-apac--c.eu19.visual.force.com/0011i000001xobMAAQ","Chong, Foong Chong")</f>
        <v>Chong, Foong Chong</v>
      </c>
      <c r="B841" t="s">
        <v>2035</v>
      </c>
      <c r="C841" t="s">
        <v>28</v>
      </c>
      <c r="D841" t="s">
        <v>2036</v>
      </c>
      <c r="E841" t="s">
        <v>8</v>
      </c>
      <c r="F841" t="s">
        <v>2037</v>
      </c>
      <c r="G841" t="s">
        <v>2038</v>
      </c>
      <c r="H841" t="s">
        <v>2039</v>
      </c>
      <c r="I841" t="s">
        <v>2040</v>
      </c>
    </row>
    <row r="842" spans="1:9" x14ac:dyDescent="0.25">
      <c r="A842" s="1" t="str">
        <f>HYPERLINK("https://lynxcrm-apac--c.eu19.visual.force.com/0011i000001xoMZAAY","Chong, Gerald Mark")</f>
        <v>Chong, Gerald Mark</v>
      </c>
      <c r="B842" t="s">
        <v>2041</v>
      </c>
      <c r="C842" t="s">
        <v>28</v>
      </c>
      <c r="D842" t="s">
        <v>251</v>
      </c>
      <c r="E842" t="s">
        <v>8</v>
      </c>
      <c r="F842" t="s">
        <v>251</v>
      </c>
      <c r="G842" t="s">
        <v>252</v>
      </c>
      <c r="H842" t="s">
        <v>252</v>
      </c>
      <c r="I842" t="s">
        <v>253</v>
      </c>
    </row>
    <row r="843" spans="1:9" x14ac:dyDescent="0.25">
      <c r="A843" s="1" t="str">
        <f>HYPERLINK("https://lynxcrm-apac--c.eu19.visual.force.com/0011i000001xoMZAAY","Chong, Gerald Mark")</f>
        <v>Chong, Gerald Mark</v>
      </c>
      <c r="B843" t="s">
        <v>2041</v>
      </c>
      <c r="C843" t="s">
        <v>28</v>
      </c>
      <c r="D843" t="s">
        <v>1242</v>
      </c>
      <c r="E843" t="s">
        <v>8</v>
      </c>
      <c r="F843" t="s">
        <v>252</v>
      </c>
      <c r="G843" t="s">
        <v>251</v>
      </c>
      <c r="H843" t="s">
        <v>251</v>
      </c>
      <c r="I843" t="s">
        <v>253</v>
      </c>
    </row>
    <row r="844" spans="1:9" x14ac:dyDescent="0.25">
      <c r="A844" s="1" t="str">
        <f>HYPERLINK("https://lynxcrm-apac--c.eu19.visual.force.com/0011i000001xobQAAQ","Chong, Hoi Leong")</f>
        <v>Chong, Hoi Leong</v>
      </c>
      <c r="B844" t="s">
        <v>2042</v>
      </c>
      <c r="C844" t="s">
        <v>28</v>
      </c>
      <c r="D844" t="s">
        <v>2043</v>
      </c>
      <c r="E844" t="s">
        <v>8</v>
      </c>
      <c r="F844" t="s">
        <v>1947</v>
      </c>
      <c r="G844" t="s">
        <v>659</v>
      </c>
      <c r="H844" t="s">
        <v>2044</v>
      </c>
      <c r="I844" t="s">
        <v>1949</v>
      </c>
    </row>
    <row r="845" spans="1:9" x14ac:dyDescent="0.25">
      <c r="A845" s="1" t="str">
        <f>HYPERLINK("https://lynxcrm-apac--c.eu19.visual.force.com/0011i000001xobZAAQ","Chong, Hoi Wah")</f>
        <v>Chong, Hoi Wah</v>
      </c>
      <c r="B845" t="s">
        <v>2045</v>
      </c>
      <c r="C845" t="s">
        <v>28</v>
      </c>
      <c r="D845" t="s">
        <v>2046</v>
      </c>
      <c r="E845" t="s">
        <v>8</v>
      </c>
      <c r="F845" t="s">
        <v>2047</v>
      </c>
      <c r="G845" t="s">
        <v>2048</v>
      </c>
      <c r="H845" t="s">
        <v>2048</v>
      </c>
      <c r="I845" t="s">
        <v>2049</v>
      </c>
    </row>
    <row r="846" spans="1:9" x14ac:dyDescent="0.25">
      <c r="A846" s="1" t="str">
        <f>HYPERLINK("https://lynxcrm-apac--c.eu19.visual.force.com/0011i000001xobeAAA","Chong, Hoi Weng")</f>
        <v>Chong, Hoi Weng</v>
      </c>
      <c r="B846" t="s">
        <v>2050</v>
      </c>
      <c r="C846" t="s">
        <v>28</v>
      </c>
      <c r="D846" t="s">
        <v>2046</v>
      </c>
      <c r="E846" t="s">
        <v>8</v>
      </c>
      <c r="F846" t="s">
        <v>2051</v>
      </c>
      <c r="G846" t="s">
        <v>2052</v>
      </c>
      <c r="H846" t="s">
        <v>2052</v>
      </c>
      <c r="I846" t="s">
        <v>2053</v>
      </c>
    </row>
    <row r="847" spans="1:9" x14ac:dyDescent="0.25">
      <c r="A847" s="1" t="str">
        <f t="shared" ref="A847:A852" si="6">HYPERLINK("https://lynxcrm-apac--c.eu19.visual.force.com/0011i000001xo4AAAQ","Chong, Hui Wen")</f>
        <v>Chong, Hui Wen</v>
      </c>
      <c r="B847" t="s">
        <v>2054</v>
      </c>
      <c r="C847" t="s">
        <v>28</v>
      </c>
      <c r="D847" t="s">
        <v>501</v>
      </c>
      <c r="E847" t="s">
        <v>8</v>
      </c>
      <c r="F847" t="s">
        <v>501</v>
      </c>
      <c r="G847" t="s">
        <v>502</v>
      </c>
      <c r="H847" t="s">
        <v>502</v>
      </c>
      <c r="I847" t="s">
        <v>506</v>
      </c>
    </row>
    <row r="848" spans="1:9" x14ac:dyDescent="0.25">
      <c r="A848" s="1" t="str">
        <f t="shared" si="6"/>
        <v>Chong, Hui Wen</v>
      </c>
      <c r="B848" t="s">
        <v>2054</v>
      </c>
      <c r="C848" t="s">
        <v>28</v>
      </c>
      <c r="D848" t="s">
        <v>501</v>
      </c>
      <c r="E848" t="s">
        <v>8</v>
      </c>
      <c r="F848" t="s">
        <v>502</v>
      </c>
      <c r="G848" t="s">
        <v>502</v>
      </c>
      <c r="H848" t="s">
        <v>503</v>
      </c>
      <c r="I848" t="s">
        <v>504</v>
      </c>
    </row>
    <row r="849" spans="1:9" x14ac:dyDescent="0.25">
      <c r="A849" s="1" t="str">
        <f t="shared" si="6"/>
        <v>Chong, Hui Wen</v>
      </c>
      <c r="B849" t="s">
        <v>2054</v>
      </c>
      <c r="C849" t="s">
        <v>28</v>
      </c>
      <c r="D849" t="s">
        <v>501</v>
      </c>
      <c r="E849" t="s">
        <v>8</v>
      </c>
      <c r="F849" t="s">
        <v>246</v>
      </c>
      <c r="G849" t="s">
        <v>502</v>
      </c>
      <c r="H849" t="s">
        <v>503</v>
      </c>
      <c r="I849" t="s">
        <v>504</v>
      </c>
    </row>
    <row r="850" spans="1:9" x14ac:dyDescent="0.25">
      <c r="A850" s="1" t="str">
        <f t="shared" si="6"/>
        <v>Chong, Hui Wen</v>
      </c>
      <c r="B850" t="s">
        <v>2054</v>
      </c>
      <c r="C850" t="s">
        <v>28</v>
      </c>
      <c r="D850" t="s">
        <v>501</v>
      </c>
      <c r="E850" t="s">
        <v>8</v>
      </c>
      <c r="F850" t="s">
        <v>246</v>
      </c>
      <c r="G850" t="s">
        <v>502</v>
      </c>
      <c r="H850" t="s">
        <v>503</v>
      </c>
      <c r="I850" t="s">
        <v>505</v>
      </c>
    </row>
    <row r="851" spans="1:9" x14ac:dyDescent="0.25">
      <c r="A851" s="1" t="str">
        <f t="shared" si="6"/>
        <v>Chong, Hui Wen</v>
      </c>
      <c r="B851" t="s">
        <v>2054</v>
      </c>
      <c r="C851" t="s">
        <v>28</v>
      </c>
      <c r="D851" t="s">
        <v>501</v>
      </c>
      <c r="E851" t="s">
        <v>8</v>
      </c>
      <c r="F851" t="s">
        <v>234</v>
      </c>
      <c r="G851" t="s">
        <v>502</v>
      </c>
      <c r="H851" t="s">
        <v>503</v>
      </c>
      <c r="I851" t="s">
        <v>504</v>
      </c>
    </row>
    <row r="852" spans="1:9" x14ac:dyDescent="0.25">
      <c r="A852" s="1" t="str">
        <f t="shared" si="6"/>
        <v>Chong, Hui Wen</v>
      </c>
      <c r="B852" t="s">
        <v>2054</v>
      </c>
      <c r="C852" t="s">
        <v>28</v>
      </c>
      <c r="D852" t="s">
        <v>501</v>
      </c>
      <c r="E852" t="s">
        <v>8</v>
      </c>
      <c r="F852" t="s">
        <v>359</v>
      </c>
      <c r="G852" t="s">
        <v>502</v>
      </c>
      <c r="H852" t="s">
        <v>503</v>
      </c>
      <c r="I852" t="s">
        <v>506</v>
      </c>
    </row>
    <row r="853" spans="1:9" x14ac:dyDescent="0.25">
      <c r="A853" s="1" t="str">
        <f>HYPERLINK("https://lynxcrm-apac--c.eu19.visual.force.com/0011i000001xokuAAA","Chong, James")</f>
        <v>Chong, James</v>
      </c>
      <c r="B853" t="s">
        <v>2055</v>
      </c>
      <c r="C853" t="s">
        <v>28</v>
      </c>
      <c r="D853" t="s">
        <v>2056</v>
      </c>
      <c r="E853" t="s">
        <v>8</v>
      </c>
      <c r="F853" t="s">
        <v>1441</v>
      </c>
      <c r="G853" t="s">
        <v>1442</v>
      </c>
      <c r="H853" t="s">
        <v>1442</v>
      </c>
      <c r="I853" t="s">
        <v>1444</v>
      </c>
    </row>
    <row r="854" spans="1:9" x14ac:dyDescent="0.25">
      <c r="A854" s="1" t="str">
        <f>HYPERLINK("https://lynxcrm-apac--c.eu19.visual.force.com/0011i000001xocNAAQ","Chong, Keen Wai")</f>
        <v>Chong, Keen Wai</v>
      </c>
      <c r="B854" t="s">
        <v>2057</v>
      </c>
      <c r="C854" t="s">
        <v>28</v>
      </c>
      <c r="D854" t="s">
        <v>2058</v>
      </c>
      <c r="E854" t="s">
        <v>8</v>
      </c>
      <c r="F854" t="s">
        <v>69</v>
      </c>
      <c r="G854" t="s">
        <v>2059</v>
      </c>
      <c r="H854" t="s">
        <v>2059</v>
      </c>
      <c r="I854" t="s">
        <v>67</v>
      </c>
    </row>
    <row r="855" spans="1:9" x14ac:dyDescent="0.25">
      <c r="A855" s="1" t="str">
        <f>HYPERLINK("https://lynxcrm-apac--c.eu19.visual.force.com/0011i000001xoQhAAI","Chong, Kian Chun")</f>
        <v>Chong, Kian Chun</v>
      </c>
      <c r="B855" t="s">
        <v>2060</v>
      </c>
      <c r="C855" t="s">
        <v>28</v>
      </c>
      <c r="D855" t="s">
        <v>2061</v>
      </c>
      <c r="E855" t="s">
        <v>8</v>
      </c>
      <c r="F855" t="s">
        <v>69</v>
      </c>
      <c r="G855" t="s">
        <v>2062</v>
      </c>
      <c r="H855" t="s">
        <v>2063</v>
      </c>
      <c r="I855" t="s">
        <v>67</v>
      </c>
    </row>
    <row r="856" spans="1:9" x14ac:dyDescent="0.25">
      <c r="A856" s="1" t="str">
        <f>HYPERLINK("https://lynxcrm-apac--c.eu19.visual.force.com/0011i000001xo0pAAA","Chong, Kim Chow")</f>
        <v>Chong, Kim Chow</v>
      </c>
      <c r="B856" t="s">
        <v>2064</v>
      </c>
      <c r="C856" t="s">
        <v>28</v>
      </c>
      <c r="D856" t="s">
        <v>1126</v>
      </c>
      <c r="E856" t="s">
        <v>8</v>
      </c>
      <c r="F856" t="s">
        <v>994</v>
      </c>
      <c r="G856" t="s">
        <v>995</v>
      </c>
      <c r="H856" t="s">
        <v>998</v>
      </c>
      <c r="I856" t="s">
        <v>996</v>
      </c>
    </row>
    <row r="857" spans="1:9" x14ac:dyDescent="0.25">
      <c r="A857" s="1" t="str">
        <f>HYPERLINK("https://lynxcrm-apac--c.eu19.visual.force.com/0011i000001xoB0AAI","Chong, Kong Hui Simon")</f>
        <v>Chong, Kong Hui Simon</v>
      </c>
      <c r="B857" t="s">
        <v>2065</v>
      </c>
      <c r="C857" t="s">
        <v>28</v>
      </c>
      <c r="D857" t="s">
        <v>2066</v>
      </c>
      <c r="E857" t="s">
        <v>8</v>
      </c>
      <c r="F857" t="s">
        <v>881</v>
      </c>
      <c r="G857" t="s">
        <v>2067</v>
      </c>
      <c r="H857" t="s">
        <v>2067</v>
      </c>
      <c r="I857" t="s">
        <v>883</v>
      </c>
    </row>
    <row r="858" spans="1:9" x14ac:dyDescent="0.25">
      <c r="A858" s="1" t="str">
        <f>HYPERLINK("https://lynxcrm-apac--c.eu19.visual.force.com/0011i000001xo6EAAQ","Chong, Lay Hwa")</f>
        <v>Chong, Lay Hwa</v>
      </c>
      <c r="B858" t="s">
        <v>2068</v>
      </c>
      <c r="C858" t="s">
        <v>28</v>
      </c>
      <c r="D858" t="s">
        <v>2069</v>
      </c>
      <c r="E858" t="s">
        <v>8</v>
      </c>
      <c r="F858" t="s">
        <v>2070</v>
      </c>
      <c r="G858" t="s">
        <v>841</v>
      </c>
      <c r="H858" t="s">
        <v>2071</v>
      </c>
      <c r="I858" t="s">
        <v>2072</v>
      </c>
    </row>
    <row r="859" spans="1:9" x14ac:dyDescent="0.25">
      <c r="A859" s="1" t="str">
        <f>HYPERLINK("https://lynxcrm-apac--c.eu19.visual.force.com/0011i00000pb4VnAAI","Chong, Oi Fong")</f>
        <v>Chong, Oi Fong</v>
      </c>
      <c r="B859" t="s">
        <v>2073</v>
      </c>
      <c r="C859" t="s">
        <v>28</v>
      </c>
      <c r="D859" t="s">
        <v>8</v>
      </c>
      <c r="E859" t="s">
        <v>8</v>
      </c>
      <c r="F859" t="s">
        <v>844</v>
      </c>
      <c r="G859" t="s">
        <v>845</v>
      </c>
      <c r="H859" t="s">
        <v>846</v>
      </c>
      <c r="I859" t="s">
        <v>847</v>
      </c>
    </row>
    <row r="860" spans="1:9" x14ac:dyDescent="0.25">
      <c r="A860" s="1" t="str">
        <f>HYPERLINK("https://lynxcrm-apac--c.eu19.visual.force.com/0011i00000pb4VnAAI","Chong, Oi Fong")</f>
        <v>Chong, Oi Fong</v>
      </c>
      <c r="B860" t="s">
        <v>2073</v>
      </c>
      <c r="C860" t="s">
        <v>28</v>
      </c>
      <c r="D860" t="s">
        <v>545</v>
      </c>
      <c r="E860" t="s">
        <v>8</v>
      </c>
      <c r="F860" t="s">
        <v>844</v>
      </c>
      <c r="G860" t="s">
        <v>845</v>
      </c>
      <c r="H860" t="s">
        <v>846</v>
      </c>
      <c r="I860" t="s">
        <v>847</v>
      </c>
    </row>
    <row r="861" spans="1:9" x14ac:dyDescent="0.25">
      <c r="A861" s="1" t="str">
        <f>HYPERLINK("https://lynxcrm-apac--c.eu19.visual.force.com/0011i000001xo6XAAQ","Chong, Phui-Nah")</f>
        <v>Chong, Phui-Nah</v>
      </c>
      <c r="B861" t="s">
        <v>2074</v>
      </c>
      <c r="C861" t="s">
        <v>28</v>
      </c>
      <c r="D861" t="s">
        <v>1661</v>
      </c>
      <c r="E861" t="s">
        <v>8</v>
      </c>
      <c r="F861" t="s">
        <v>622</v>
      </c>
      <c r="G861" t="s">
        <v>623</v>
      </c>
      <c r="H861" t="s">
        <v>623</v>
      </c>
      <c r="I861" t="s">
        <v>624</v>
      </c>
    </row>
    <row r="862" spans="1:9" x14ac:dyDescent="0.25">
      <c r="A862" s="1" t="str">
        <f>HYPERLINK("https://lynxcrm-apac--c.eu19.visual.force.com/0011i000001xoc2AAA","Chong, Piang Ngok")</f>
        <v>Chong, Piang Ngok</v>
      </c>
      <c r="B862" t="s">
        <v>2075</v>
      </c>
      <c r="C862" t="s">
        <v>28</v>
      </c>
      <c r="D862" t="s">
        <v>2076</v>
      </c>
      <c r="E862" t="s">
        <v>8</v>
      </c>
      <c r="F862" t="s">
        <v>377</v>
      </c>
      <c r="G862" t="s">
        <v>2077</v>
      </c>
      <c r="H862" t="s">
        <v>2077</v>
      </c>
      <c r="I862" t="s">
        <v>123</v>
      </c>
    </row>
    <row r="863" spans="1:9" x14ac:dyDescent="0.25">
      <c r="A863" s="1" t="str">
        <f>HYPERLINK("https://lynxcrm-apac--c.eu19.visual.force.com/0011i000001xo6fAAA","Chong, Poh Heng")</f>
        <v>Chong, Poh Heng</v>
      </c>
      <c r="B863" t="s">
        <v>2078</v>
      </c>
      <c r="C863" t="s">
        <v>28</v>
      </c>
      <c r="D863" t="s">
        <v>2079</v>
      </c>
      <c r="E863" t="s">
        <v>8</v>
      </c>
      <c r="F863" t="s">
        <v>2080</v>
      </c>
      <c r="G863" t="s">
        <v>2081</v>
      </c>
      <c r="H863" t="s">
        <v>2082</v>
      </c>
      <c r="I863" t="s">
        <v>2083</v>
      </c>
    </row>
    <row r="864" spans="1:9" x14ac:dyDescent="0.25">
      <c r="A864" s="1" t="str">
        <f>HYPERLINK("https://lynxcrm-apac--c.eu19.visual.force.com/0011i000001xo5MAAQ","Chong, Steven")</f>
        <v>Chong, Steven</v>
      </c>
      <c r="B864" t="s">
        <v>2084</v>
      </c>
      <c r="C864" t="s">
        <v>28</v>
      </c>
      <c r="D864" t="s">
        <v>335</v>
      </c>
      <c r="E864" t="s">
        <v>8</v>
      </c>
      <c r="F864" t="s">
        <v>336</v>
      </c>
      <c r="G864" t="s">
        <v>337</v>
      </c>
      <c r="H864" t="s">
        <v>337</v>
      </c>
      <c r="I864" t="s">
        <v>338</v>
      </c>
    </row>
    <row r="865" spans="1:9" x14ac:dyDescent="0.25">
      <c r="A865" s="1" t="str">
        <f>HYPERLINK("https://lynxcrm-apac--c.eu19.visual.force.com/0011i000001xoVoAAI","Chong, Swee Long")</f>
        <v>Chong, Swee Long</v>
      </c>
      <c r="B865" t="s">
        <v>2085</v>
      </c>
      <c r="C865" t="s">
        <v>28</v>
      </c>
      <c r="D865" t="s">
        <v>251</v>
      </c>
      <c r="E865" t="s">
        <v>8</v>
      </c>
      <c r="F865" t="s">
        <v>251</v>
      </c>
      <c r="G865" t="s">
        <v>252</v>
      </c>
      <c r="H865" t="s">
        <v>252</v>
      </c>
      <c r="I865" t="s">
        <v>253</v>
      </c>
    </row>
    <row r="866" spans="1:9" x14ac:dyDescent="0.25">
      <c r="A866" s="1" t="str">
        <f>HYPERLINK("https://lynxcrm-apac--c.eu19.visual.force.com/0011i000001xoVoAAI","Chong, Swee Long")</f>
        <v>Chong, Swee Long</v>
      </c>
      <c r="B866" t="s">
        <v>2085</v>
      </c>
      <c r="C866" t="s">
        <v>28</v>
      </c>
      <c r="D866" t="s">
        <v>251</v>
      </c>
      <c r="E866" t="s">
        <v>8</v>
      </c>
      <c r="F866" t="s">
        <v>1392</v>
      </c>
      <c r="G866" t="s">
        <v>252</v>
      </c>
      <c r="H866" t="s">
        <v>252</v>
      </c>
      <c r="I866" t="s">
        <v>253</v>
      </c>
    </row>
    <row r="867" spans="1:9" x14ac:dyDescent="0.25">
      <c r="A867" s="1" t="str">
        <f>HYPERLINK("https://lynxcrm-apac--c.eu19.visual.force.com/0011i000001xo0sAAA","Chong, Tsung Wen")</f>
        <v>Chong, Tsung Wen</v>
      </c>
      <c r="B867" t="s">
        <v>2086</v>
      </c>
      <c r="C867" t="s">
        <v>28</v>
      </c>
      <c r="D867" t="s">
        <v>251</v>
      </c>
      <c r="E867" t="s">
        <v>8</v>
      </c>
      <c r="F867" t="s">
        <v>251</v>
      </c>
      <c r="G867" t="s">
        <v>252</v>
      </c>
      <c r="H867" t="s">
        <v>252</v>
      </c>
      <c r="I867" t="s">
        <v>253</v>
      </c>
    </row>
    <row r="868" spans="1:9" x14ac:dyDescent="0.25">
      <c r="A868" s="1" t="str">
        <f>HYPERLINK("https://lynxcrm-apac--c.eu19.visual.force.com/0011i000001xo0sAAA","Chong, Tsung Wen")</f>
        <v>Chong, Tsung Wen</v>
      </c>
      <c r="B868" t="s">
        <v>2086</v>
      </c>
      <c r="C868" t="s">
        <v>28</v>
      </c>
      <c r="D868" t="s">
        <v>1623</v>
      </c>
      <c r="E868" t="s">
        <v>8</v>
      </c>
      <c r="F868" t="s">
        <v>252</v>
      </c>
      <c r="G868" t="s">
        <v>251</v>
      </c>
      <c r="H868" t="s">
        <v>251</v>
      </c>
      <c r="I868" t="s">
        <v>253</v>
      </c>
    </row>
    <row r="869" spans="1:9" x14ac:dyDescent="0.25">
      <c r="A869" s="1" t="str">
        <f>HYPERLINK("https://lynxcrm-apac--c.eu19.visual.force.com/0011i000001xooxAAA","Chong, Victor")</f>
        <v>Chong, Victor</v>
      </c>
      <c r="B869" t="s">
        <v>2087</v>
      </c>
      <c r="C869" t="s">
        <v>28</v>
      </c>
      <c r="D869" t="s">
        <v>261</v>
      </c>
      <c r="E869" t="s">
        <v>8</v>
      </c>
      <c r="F869" t="s">
        <v>261</v>
      </c>
      <c r="G869" t="s">
        <v>347</v>
      </c>
      <c r="H869" t="s">
        <v>347</v>
      </c>
      <c r="I869" t="s">
        <v>260</v>
      </c>
    </row>
    <row r="870" spans="1:9" x14ac:dyDescent="0.25">
      <c r="A870" s="1" t="str">
        <f>HYPERLINK("https://lynxcrm-apac--c.eu19.visual.force.com/0011i000001xorGAAQ","Chong, Wai Mun")</f>
        <v>Chong, Wai Mun</v>
      </c>
      <c r="B870" t="s">
        <v>2088</v>
      </c>
      <c r="C870" t="s">
        <v>28</v>
      </c>
      <c r="D870" t="s">
        <v>2089</v>
      </c>
      <c r="E870" t="s">
        <v>8</v>
      </c>
      <c r="F870" t="s">
        <v>2090</v>
      </c>
      <c r="G870" t="s">
        <v>356</v>
      </c>
      <c r="H870" t="s">
        <v>356</v>
      </c>
      <c r="I870" t="s">
        <v>357</v>
      </c>
    </row>
    <row r="871" spans="1:9" x14ac:dyDescent="0.25">
      <c r="A871" s="1" t="str">
        <f>HYPERLINK("https://lynxcrm-apac--c.eu19.visual.force.com/0011i00000Xf1HFAAZ","Chong, Wan Qin")</f>
        <v>Chong, Wan Qin</v>
      </c>
      <c r="B871" t="s">
        <v>2091</v>
      </c>
      <c r="C871" t="s">
        <v>28</v>
      </c>
      <c r="D871" t="s">
        <v>429</v>
      </c>
      <c r="E871" t="s">
        <v>8</v>
      </c>
      <c r="F871" t="s">
        <v>594</v>
      </c>
      <c r="G871" t="s">
        <v>595</v>
      </c>
      <c r="H871" t="s">
        <v>8</v>
      </c>
      <c r="I871" t="s">
        <v>596</v>
      </c>
    </row>
    <row r="872" spans="1:9" x14ac:dyDescent="0.25">
      <c r="A872" s="1" t="str">
        <f>HYPERLINK("https://lynxcrm-apac--c.eu19.visual.force.com/0011i000005xAvHAAU","Chong, Wen Yu")</f>
        <v>Chong, Wen Yu</v>
      </c>
      <c r="B872" t="s">
        <v>2092</v>
      </c>
      <c r="C872" t="s">
        <v>28</v>
      </c>
      <c r="D872" t="s">
        <v>2093</v>
      </c>
      <c r="E872" t="s">
        <v>8</v>
      </c>
      <c r="F872" t="s">
        <v>2094</v>
      </c>
      <c r="G872" t="s">
        <v>2095</v>
      </c>
      <c r="H872" t="s">
        <v>8</v>
      </c>
      <c r="I872" t="s">
        <v>2096</v>
      </c>
    </row>
    <row r="873" spans="1:9" x14ac:dyDescent="0.25">
      <c r="A873" s="1" t="str">
        <f>HYPERLINK("https://lynxcrm-apac--c.eu19.visual.force.com/0011i000001xopCAAQ","Chong, Wern Siew Christopher")</f>
        <v>Chong, Wern Siew Christopher</v>
      </c>
      <c r="B873" t="s">
        <v>2097</v>
      </c>
      <c r="C873" t="s">
        <v>28</v>
      </c>
      <c r="D873" t="s">
        <v>1661</v>
      </c>
      <c r="E873" t="s">
        <v>8</v>
      </c>
      <c r="F873" t="s">
        <v>627</v>
      </c>
      <c r="G873" t="s">
        <v>628</v>
      </c>
      <c r="H873" t="s">
        <v>628</v>
      </c>
      <c r="I873" t="s">
        <v>624</v>
      </c>
    </row>
    <row r="874" spans="1:9" x14ac:dyDescent="0.25">
      <c r="A874" s="1" t="str">
        <f>HYPERLINK("https://lynxcrm-apac--c.eu19.visual.force.com/0011i000001xo0tAAA","Chong, Yap Seng")</f>
        <v>Chong, Yap Seng</v>
      </c>
      <c r="B874" t="s">
        <v>2098</v>
      </c>
      <c r="C874" t="s">
        <v>28</v>
      </c>
      <c r="D874" t="s">
        <v>578</v>
      </c>
      <c r="E874" t="s">
        <v>8</v>
      </c>
      <c r="F874" t="s">
        <v>2099</v>
      </c>
      <c r="G874" t="s">
        <v>2100</v>
      </c>
      <c r="H874" t="s">
        <v>2100</v>
      </c>
      <c r="I874" t="s">
        <v>2101</v>
      </c>
    </row>
    <row r="875" spans="1:9" x14ac:dyDescent="0.25">
      <c r="A875" s="1" t="str">
        <f>HYPERLINK("https://lynxcrm-apac--c.eu19.visual.force.com/0011i000001xoSEAAY","Chong, Yaw Khian")</f>
        <v>Chong, Yaw Khian</v>
      </c>
      <c r="B875" t="s">
        <v>2102</v>
      </c>
      <c r="C875" t="s">
        <v>28</v>
      </c>
      <c r="D875" t="s">
        <v>261</v>
      </c>
      <c r="E875" t="s">
        <v>8</v>
      </c>
      <c r="F875" t="s">
        <v>514</v>
      </c>
      <c r="G875" t="s">
        <v>258</v>
      </c>
      <c r="H875" t="s">
        <v>259</v>
      </c>
      <c r="I875" t="s">
        <v>260</v>
      </c>
    </row>
    <row r="876" spans="1:9" x14ac:dyDescent="0.25">
      <c r="A876" s="1" t="str">
        <f>HYPERLINK("https://lynxcrm-apac--c.eu19.visual.force.com/0011i000001xoSEAAY","Chong, Yaw Khian")</f>
        <v>Chong, Yaw Khian</v>
      </c>
      <c r="B876" t="s">
        <v>2102</v>
      </c>
      <c r="C876" t="s">
        <v>28</v>
      </c>
      <c r="D876" t="s">
        <v>261</v>
      </c>
      <c r="E876" t="s">
        <v>8</v>
      </c>
      <c r="F876" t="s">
        <v>261</v>
      </c>
      <c r="G876" t="s">
        <v>347</v>
      </c>
      <c r="H876" t="s">
        <v>347</v>
      </c>
      <c r="I876" t="s">
        <v>260</v>
      </c>
    </row>
    <row r="877" spans="1:9" x14ac:dyDescent="0.25">
      <c r="A877" s="1" t="str">
        <f>HYPERLINK("https://lynxcrm-apac--c.eu19.visual.force.com/0011i000001xocuAAA","Chong, Yeh Woei")</f>
        <v>Chong, Yeh Woei</v>
      </c>
      <c r="B877" t="s">
        <v>2103</v>
      </c>
      <c r="C877" t="s">
        <v>28</v>
      </c>
      <c r="D877" t="s">
        <v>2104</v>
      </c>
      <c r="E877" t="s">
        <v>8</v>
      </c>
      <c r="F877" t="s">
        <v>317</v>
      </c>
      <c r="G877" t="s">
        <v>2105</v>
      </c>
      <c r="H877" t="s">
        <v>2105</v>
      </c>
      <c r="I877" t="s">
        <v>85</v>
      </c>
    </row>
    <row r="878" spans="1:9" x14ac:dyDescent="0.25">
      <c r="A878" s="1" t="str">
        <f>HYPERLINK("https://lynxcrm-apac--c.eu19.visual.force.com/0011i000001xoWJAAY","Chong, Yew Luen Christopher")</f>
        <v>Chong, Yew Luen Christopher</v>
      </c>
      <c r="B878" t="s">
        <v>2106</v>
      </c>
      <c r="C878" t="s">
        <v>28</v>
      </c>
      <c r="D878" t="s">
        <v>2107</v>
      </c>
      <c r="E878" t="s">
        <v>8</v>
      </c>
      <c r="F878" t="s">
        <v>469</v>
      </c>
      <c r="G878" t="s">
        <v>2108</v>
      </c>
      <c r="H878" t="s">
        <v>2109</v>
      </c>
      <c r="I878" t="s">
        <v>67</v>
      </c>
    </row>
    <row r="879" spans="1:9" x14ac:dyDescent="0.25">
      <c r="A879" s="1" t="str">
        <f>HYPERLINK("https://lynxcrm-apac--c.eu19.visual.force.com/0011i000001xoYFAAY","Chong, Yew Lum")</f>
        <v>Chong, Yew Lum</v>
      </c>
      <c r="B879" t="s">
        <v>2110</v>
      </c>
      <c r="C879" t="s">
        <v>28</v>
      </c>
      <c r="D879" t="s">
        <v>261</v>
      </c>
      <c r="E879" t="s">
        <v>8</v>
      </c>
      <c r="F879" t="s">
        <v>261</v>
      </c>
      <c r="G879" t="s">
        <v>347</v>
      </c>
      <c r="H879" t="s">
        <v>347</v>
      </c>
      <c r="I879" t="s">
        <v>260</v>
      </c>
    </row>
    <row r="880" spans="1:9" x14ac:dyDescent="0.25">
      <c r="A880" s="1" t="str">
        <f>HYPERLINK("https://lynxcrm-apac--c.eu19.visual.force.com/0011i000001xoYFAAY","Chong, Yew Lum")</f>
        <v>Chong, Yew Lum</v>
      </c>
      <c r="B880" t="s">
        <v>2110</v>
      </c>
      <c r="C880" t="s">
        <v>28</v>
      </c>
      <c r="D880" t="s">
        <v>1242</v>
      </c>
      <c r="E880" t="s">
        <v>8</v>
      </c>
      <c r="F880" t="s">
        <v>258</v>
      </c>
      <c r="G880" t="s">
        <v>261</v>
      </c>
      <c r="H880" t="s">
        <v>261</v>
      </c>
      <c r="I880" t="s">
        <v>260</v>
      </c>
    </row>
    <row r="881" spans="1:9" x14ac:dyDescent="0.25">
      <c r="A881" s="1" t="str">
        <f>HYPERLINK("https://lynxcrm-apac--c.eu19.visual.force.com/0011i000001xoeGAAQ","Chong, Yong Yeow")</f>
        <v>Chong, Yong Yeow</v>
      </c>
      <c r="B881" t="s">
        <v>2111</v>
      </c>
      <c r="C881" t="s">
        <v>28</v>
      </c>
      <c r="D881" t="s">
        <v>164</v>
      </c>
      <c r="E881" t="s">
        <v>8</v>
      </c>
      <c r="F881" t="s">
        <v>1703</v>
      </c>
      <c r="G881" t="s">
        <v>163</v>
      </c>
      <c r="H881" t="s">
        <v>163</v>
      </c>
      <c r="I881" t="s">
        <v>165</v>
      </c>
    </row>
    <row r="882" spans="1:9" x14ac:dyDescent="0.25">
      <c r="A882" s="1" t="str">
        <f>HYPERLINK("https://lynxcrm-apac--c.eu19.visual.force.com/0011i000001xmx3AAA","Chong's Clinic")</f>
        <v>Chong's Clinic</v>
      </c>
      <c r="B882" t="s">
        <v>2112</v>
      </c>
      <c r="C882" t="s">
        <v>10</v>
      </c>
      <c r="D882" t="s">
        <v>8</v>
      </c>
      <c r="E882" t="s">
        <v>8</v>
      </c>
      <c r="F882" t="s">
        <v>2113</v>
      </c>
      <c r="G882" t="s">
        <v>2113</v>
      </c>
      <c r="H882" t="s">
        <v>8</v>
      </c>
      <c r="I882" t="s">
        <v>2114</v>
      </c>
    </row>
    <row r="883" spans="1:9" x14ac:dyDescent="0.25">
      <c r="A883" s="1" t="str">
        <f>HYPERLINK("https://lynxcrm-apac--c.eu19.visual.force.com/0011i000001xnN2AAI","Chong's Medical Centre")</f>
        <v>Chong's Medical Centre</v>
      </c>
      <c r="B883" t="s">
        <v>2115</v>
      </c>
      <c r="C883" t="s">
        <v>10</v>
      </c>
      <c r="D883" t="s">
        <v>8</v>
      </c>
      <c r="E883" t="s">
        <v>8</v>
      </c>
      <c r="F883" t="s">
        <v>2116</v>
      </c>
      <c r="G883" t="s">
        <v>2117</v>
      </c>
      <c r="H883" t="s">
        <v>2118</v>
      </c>
      <c r="I883" t="s">
        <v>43</v>
      </c>
    </row>
    <row r="884" spans="1:9" x14ac:dyDescent="0.25">
      <c r="A884" s="1" t="str">
        <f>HYPERLINK("https://lynxcrm-apac--c.eu19.visual.force.com/0011i000001xnN4AAI","Chong &amp; Lim Family Clinic")</f>
        <v>Chong &amp; Lim Family Clinic</v>
      </c>
      <c r="B884" t="s">
        <v>2119</v>
      </c>
      <c r="C884" t="s">
        <v>10</v>
      </c>
      <c r="D884" t="s">
        <v>8</v>
      </c>
      <c r="E884" t="s">
        <v>8</v>
      </c>
      <c r="F884" t="s">
        <v>1947</v>
      </c>
      <c r="G884" t="s">
        <v>659</v>
      </c>
      <c r="H884" t="s">
        <v>2044</v>
      </c>
      <c r="I884" t="s">
        <v>1949</v>
      </c>
    </row>
    <row r="885" spans="1:9" x14ac:dyDescent="0.25">
      <c r="A885" s="1" t="str">
        <f>HYPERLINK("https://lynxcrm-apac--c.eu19.visual.force.com/0011i000001xmw5AAA","Chong &amp; Lim Family Clinic")</f>
        <v>Chong &amp; Lim Family Clinic</v>
      </c>
      <c r="B885" t="s">
        <v>2120</v>
      </c>
      <c r="C885" t="s">
        <v>10</v>
      </c>
      <c r="D885" t="s">
        <v>8</v>
      </c>
      <c r="E885" t="s">
        <v>8</v>
      </c>
      <c r="F885" t="s">
        <v>1947</v>
      </c>
      <c r="G885" t="s">
        <v>659</v>
      </c>
      <c r="H885" t="s">
        <v>2044</v>
      </c>
      <c r="I885" t="s">
        <v>1949</v>
      </c>
    </row>
    <row r="886" spans="1:9" x14ac:dyDescent="0.25">
      <c r="A886" s="1" t="str">
        <f>HYPERLINK("https://lynxcrm-apac--c.eu19.visual.force.com/0011i000001xoGTAAY","Choo, Chee Hoe Ivan")</f>
        <v>Choo, Chee Hoe Ivan</v>
      </c>
      <c r="B886" t="s">
        <v>2121</v>
      </c>
      <c r="C886" t="s">
        <v>28</v>
      </c>
      <c r="D886" t="s">
        <v>2122</v>
      </c>
      <c r="E886" t="s">
        <v>8</v>
      </c>
      <c r="F886" t="s">
        <v>2123</v>
      </c>
      <c r="G886" t="s">
        <v>2124</v>
      </c>
      <c r="H886" t="s">
        <v>2125</v>
      </c>
      <c r="I886" t="s">
        <v>2126</v>
      </c>
    </row>
    <row r="887" spans="1:9" x14ac:dyDescent="0.25">
      <c r="A887" s="1" t="str">
        <f>HYPERLINK("https://lynxcrm-apac--c.eu19.visual.force.com/0011i000001xohxAAA","Choo, Chon Jun Jason")</f>
        <v>Choo, Chon Jun Jason</v>
      </c>
      <c r="B887" t="s">
        <v>2127</v>
      </c>
      <c r="C887" t="s">
        <v>28</v>
      </c>
      <c r="D887" t="s">
        <v>251</v>
      </c>
      <c r="E887" t="s">
        <v>8</v>
      </c>
      <c r="F887" t="s">
        <v>2128</v>
      </c>
      <c r="G887" t="s">
        <v>252</v>
      </c>
      <c r="H887" t="s">
        <v>252</v>
      </c>
      <c r="I887" t="s">
        <v>253</v>
      </c>
    </row>
    <row r="888" spans="1:9" x14ac:dyDescent="0.25">
      <c r="A888" s="1" t="str">
        <f>HYPERLINK("https://lynxcrm-apac--c.eu19.visual.force.com/0011i000001xoHMAAY","Choo, Huey-Ni Janice")</f>
        <v>Choo, Huey-Ni Janice</v>
      </c>
      <c r="B888" t="s">
        <v>2129</v>
      </c>
      <c r="C888" t="s">
        <v>28</v>
      </c>
      <c r="D888" t="s">
        <v>2130</v>
      </c>
      <c r="E888" t="s">
        <v>8</v>
      </c>
      <c r="F888" t="s">
        <v>2131</v>
      </c>
      <c r="G888" t="s">
        <v>2132</v>
      </c>
      <c r="H888" t="s">
        <v>2132</v>
      </c>
      <c r="I888" t="s">
        <v>2133</v>
      </c>
    </row>
    <row r="889" spans="1:9" x14ac:dyDescent="0.25">
      <c r="A889" s="1" t="str">
        <f>HYPERLINK("https://lynxcrm-apac--c.eu19.visual.force.com/0011i000001xoXzAAI","Choo, Kay Wee")</f>
        <v>Choo, Kay Wee</v>
      </c>
      <c r="B889" t="s">
        <v>2134</v>
      </c>
      <c r="C889" t="s">
        <v>28</v>
      </c>
      <c r="D889" t="s">
        <v>2135</v>
      </c>
      <c r="E889" t="s">
        <v>8</v>
      </c>
      <c r="F889" t="s">
        <v>2136</v>
      </c>
      <c r="G889" t="s">
        <v>2137</v>
      </c>
      <c r="H889" t="s">
        <v>2137</v>
      </c>
      <c r="I889" t="s">
        <v>2138</v>
      </c>
    </row>
    <row r="890" spans="1:9" x14ac:dyDescent="0.25">
      <c r="A890" s="1" t="str">
        <f>HYPERLINK("https://lynxcrm-apac--c.eu19.visual.force.com/0011i000001xodZAAQ","Choo, Keng Lee")</f>
        <v>Choo, Keng Lee</v>
      </c>
      <c r="B890" t="s">
        <v>2139</v>
      </c>
      <c r="C890" t="s">
        <v>28</v>
      </c>
      <c r="D890" t="s">
        <v>2140</v>
      </c>
      <c r="E890" t="s">
        <v>8</v>
      </c>
      <c r="F890" t="s">
        <v>2141</v>
      </c>
      <c r="G890" t="s">
        <v>1917</v>
      </c>
      <c r="H890" t="s">
        <v>1917</v>
      </c>
      <c r="I890" t="s">
        <v>2142</v>
      </c>
    </row>
    <row r="891" spans="1:9" x14ac:dyDescent="0.25">
      <c r="A891" s="1" t="str">
        <f>HYPERLINK("https://lynxcrm-apac--c.eu19.visual.force.com/0011i000001xnjZAAQ","Choo, Kuan Swen")</f>
        <v>Choo, Kuan Swen</v>
      </c>
      <c r="B891" t="s">
        <v>2143</v>
      </c>
      <c r="C891" t="s">
        <v>28</v>
      </c>
      <c r="D891" t="s">
        <v>251</v>
      </c>
      <c r="E891" t="s">
        <v>8</v>
      </c>
      <c r="F891" t="s">
        <v>251</v>
      </c>
      <c r="G891" t="s">
        <v>252</v>
      </c>
      <c r="H891" t="s">
        <v>252</v>
      </c>
      <c r="I891" t="s">
        <v>253</v>
      </c>
    </row>
    <row r="892" spans="1:9" x14ac:dyDescent="0.25">
      <c r="A892" s="1" t="str">
        <f>HYPERLINK("https://lynxcrm-apac--c.eu19.visual.force.com/0011i000001xoXkAAI","Choo, Wan Ling")</f>
        <v>Choo, Wan Ling</v>
      </c>
      <c r="B892" t="s">
        <v>2144</v>
      </c>
      <c r="C892" t="s">
        <v>28</v>
      </c>
      <c r="D892" t="s">
        <v>2145</v>
      </c>
      <c r="E892" t="s">
        <v>8</v>
      </c>
      <c r="F892" t="s">
        <v>317</v>
      </c>
      <c r="G892" t="s">
        <v>2146</v>
      </c>
      <c r="H892" t="s">
        <v>2146</v>
      </c>
      <c r="I892" t="s">
        <v>85</v>
      </c>
    </row>
    <row r="893" spans="1:9" x14ac:dyDescent="0.25">
      <c r="A893" s="1" t="str">
        <f>HYPERLINK("https://lynxcrm-apac--c.eu19.visual.force.com/0011i00000vHmnxAAC","Choo, Ying Ying")</f>
        <v>Choo, Ying Ying</v>
      </c>
      <c r="B893" t="s">
        <v>2147</v>
      </c>
      <c r="C893" t="s">
        <v>28</v>
      </c>
      <c r="D893" t="s">
        <v>8</v>
      </c>
      <c r="E893" t="s">
        <v>8</v>
      </c>
      <c r="F893" t="s">
        <v>393</v>
      </c>
      <c r="G893" t="s">
        <v>394</v>
      </c>
      <c r="H893" t="s">
        <v>395</v>
      </c>
      <c r="I893" t="s">
        <v>396</v>
      </c>
    </row>
    <row r="894" spans="1:9" x14ac:dyDescent="0.25">
      <c r="A894" s="1" t="str">
        <f>HYPERLINK("https://lynxcrm-apac--c.eu19.visual.force.com/0011i00000vHmnxAAC","Choo, Ying Ying")</f>
        <v>Choo, Ying Ying</v>
      </c>
      <c r="B894" t="s">
        <v>2147</v>
      </c>
      <c r="C894" t="s">
        <v>28</v>
      </c>
      <c r="D894" t="s">
        <v>392</v>
      </c>
      <c r="E894" t="s">
        <v>8</v>
      </c>
      <c r="F894" t="s">
        <v>393</v>
      </c>
      <c r="G894" t="s">
        <v>394</v>
      </c>
      <c r="H894" t="s">
        <v>395</v>
      </c>
      <c r="I894" t="s">
        <v>396</v>
      </c>
    </row>
    <row r="895" spans="1:9" x14ac:dyDescent="0.25">
      <c r="A895" s="1" t="str">
        <f>HYPERLINK("https://lynxcrm-apac--c.eu19.visual.force.com/0011i000001xoebAAA","Choong, Sheau Peng")</f>
        <v>Choong, Sheau Peng</v>
      </c>
      <c r="B895" t="s">
        <v>2148</v>
      </c>
      <c r="C895" t="s">
        <v>28</v>
      </c>
      <c r="D895" t="s">
        <v>2149</v>
      </c>
      <c r="E895" t="s">
        <v>8</v>
      </c>
      <c r="F895" t="s">
        <v>2150</v>
      </c>
      <c r="G895" t="s">
        <v>2151</v>
      </c>
      <c r="H895" t="s">
        <v>2152</v>
      </c>
      <c r="I895" t="s">
        <v>2153</v>
      </c>
    </row>
    <row r="896" spans="1:9" x14ac:dyDescent="0.25">
      <c r="A896" s="1" t="str">
        <f>HYPERLINK("https://lynxcrm-apac--c.eu19.visual.force.com/0011i000001xoeiAAA","Choong, Yih Li")</f>
        <v>Choong, Yih Li</v>
      </c>
      <c r="B896" t="s">
        <v>2154</v>
      </c>
      <c r="C896" t="s">
        <v>28</v>
      </c>
      <c r="D896" t="s">
        <v>2155</v>
      </c>
      <c r="E896" t="s">
        <v>8</v>
      </c>
      <c r="F896" t="s">
        <v>2156</v>
      </c>
      <c r="G896" t="s">
        <v>2157</v>
      </c>
      <c r="H896" t="s">
        <v>2157</v>
      </c>
      <c r="I896" t="s">
        <v>2158</v>
      </c>
    </row>
    <row r="897" spans="1:9" x14ac:dyDescent="0.25">
      <c r="A897" s="1" t="str">
        <f>HYPERLINK("https://lynxcrm-apac--c.eu19.visual.force.com/0011i000001xnN7AAI","Choong's Clinic")</f>
        <v>Choong's Clinic</v>
      </c>
      <c r="B897" t="s">
        <v>2159</v>
      </c>
      <c r="C897" t="s">
        <v>10</v>
      </c>
      <c r="D897" t="s">
        <v>8</v>
      </c>
      <c r="E897" t="s">
        <v>8</v>
      </c>
      <c r="F897" t="s">
        <v>2051</v>
      </c>
      <c r="G897" t="s">
        <v>2052</v>
      </c>
      <c r="H897" t="s">
        <v>2052</v>
      </c>
      <c r="I897" t="s">
        <v>2053</v>
      </c>
    </row>
    <row r="898" spans="1:9" x14ac:dyDescent="0.25">
      <c r="A898" s="1" t="str">
        <f>HYPERLINK("https://lynxcrm-apac--c.eu19.visual.force.com/0011i00000Xf1ISAAZ","Chopra, Akhil")</f>
        <v>Chopra, Akhil</v>
      </c>
      <c r="B898" t="s">
        <v>2160</v>
      </c>
      <c r="C898" t="s">
        <v>28</v>
      </c>
      <c r="D898" t="s">
        <v>2161</v>
      </c>
      <c r="E898" t="s">
        <v>8</v>
      </c>
      <c r="F898" t="s">
        <v>2162</v>
      </c>
      <c r="G898" t="s">
        <v>2163</v>
      </c>
      <c r="H898" t="s">
        <v>8</v>
      </c>
      <c r="I898" t="s">
        <v>466</v>
      </c>
    </row>
    <row r="899" spans="1:9" x14ac:dyDescent="0.25">
      <c r="A899" s="1" t="str">
        <f>HYPERLINK("https://lynxcrm-apac--c.eu19.visual.force.com/0011i000001xoNeAAI","Chou, Vida")</f>
        <v>Chou, Vida</v>
      </c>
      <c r="B899" t="s">
        <v>2164</v>
      </c>
      <c r="C899" t="s">
        <v>28</v>
      </c>
      <c r="D899" t="s">
        <v>2165</v>
      </c>
      <c r="E899" t="s">
        <v>8</v>
      </c>
      <c r="F899" t="s">
        <v>2166</v>
      </c>
      <c r="G899" t="s">
        <v>2167</v>
      </c>
      <c r="H899" t="s">
        <v>2168</v>
      </c>
      <c r="I899" t="s">
        <v>2169</v>
      </c>
    </row>
    <row r="900" spans="1:9" x14ac:dyDescent="0.25">
      <c r="A900" s="1" t="str">
        <f>HYPERLINK("https://lynxcrm-apac--c.eu19.visual.force.com/0011i000001xmrwAAA","Chou Dispensary")</f>
        <v>Chou Dispensary</v>
      </c>
      <c r="B900" t="s">
        <v>2170</v>
      </c>
      <c r="C900" t="s">
        <v>10</v>
      </c>
      <c r="D900" t="s">
        <v>8</v>
      </c>
      <c r="E900" t="s">
        <v>8</v>
      </c>
      <c r="F900" t="s">
        <v>2171</v>
      </c>
      <c r="G900" t="s">
        <v>2171</v>
      </c>
      <c r="H900" t="s">
        <v>2172</v>
      </c>
      <c r="I900" t="s">
        <v>2173</v>
      </c>
    </row>
    <row r="901" spans="1:9" x14ac:dyDescent="0.25">
      <c r="A901" s="1" t="str">
        <f>HYPERLINK("https://lynxcrm-apac--c.eu19.visual.force.com/0011i000001xooEAAQ","Chow, Chiu Leung")</f>
        <v>Chow, Chiu Leung</v>
      </c>
      <c r="B901" t="s">
        <v>2174</v>
      </c>
      <c r="C901" t="s">
        <v>28</v>
      </c>
      <c r="D901" t="s">
        <v>251</v>
      </c>
      <c r="E901" t="s">
        <v>8</v>
      </c>
      <c r="F901" t="s">
        <v>248</v>
      </c>
      <c r="G901" t="s">
        <v>252</v>
      </c>
      <c r="H901" t="s">
        <v>252</v>
      </c>
      <c r="I901" t="s">
        <v>1609</v>
      </c>
    </row>
    <row r="902" spans="1:9" x14ac:dyDescent="0.25">
      <c r="A902" s="1" t="str">
        <f>HYPERLINK("https://lynxcrm-apac--c.eu19.visual.force.com/0011i00000ugAryAAE","Chow, Ethel")</f>
        <v>Chow, Ethel</v>
      </c>
      <c r="B902" t="s">
        <v>2175</v>
      </c>
      <c r="C902" t="s">
        <v>28</v>
      </c>
      <c r="D902" t="s">
        <v>8</v>
      </c>
      <c r="E902" t="s">
        <v>8</v>
      </c>
      <c r="F902" t="s">
        <v>753</v>
      </c>
      <c r="G902" t="s">
        <v>929</v>
      </c>
      <c r="H902" t="s">
        <v>139</v>
      </c>
      <c r="I902" t="s">
        <v>137</v>
      </c>
    </row>
    <row r="903" spans="1:9" x14ac:dyDescent="0.25">
      <c r="A903" s="1" t="str">
        <f>HYPERLINK("https://lynxcrm-apac--c.eu19.visual.force.com/0011i00000ugAryAAE","Chow, Ethel")</f>
        <v>Chow, Ethel</v>
      </c>
      <c r="B903" t="s">
        <v>2175</v>
      </c>
      <c r="C903" t="s">
        <v>28</v>
      </c>
      <c r="D903" t="s">
        <v>928</v>
      </c>
      <c r="E903" t="s">
        <v>8</v>
      </c>
      <c r="F903" t="s">
        <v>753</v>
      </c>
      <c r="G903" t="s">
        <v>929</v>
      </c>
      <c r="H903" t="s">
        <v>139</v>
      </c>
      <c r="I903" t="s">
        <v>137</v>
      </c>
    </row>
    <row r="904" spans="1:9" x14ac:dyDescent="0.25">
      <c r="A904" s="1" t="str">
        <f>HYPERLINK("https://lynxcrm-apac--c.eu19.visual.force.com/0011i000001xohBAAQ","Chow, Hui Jeremy")</f>
        <v>Chow, Hui Jeremy</v>
      </c>
      <c r="B904" t="s">
        <v>2176</v>
      </c>
      <c r="C904" t="s">
        <v>28</v>
      </c>
      <c r="D904" t="s">
        <v>1834</v>
      </c>
      <c r="E904" t="s">
        <v>8</v>
      </c>
      <c r="F904" t="s">
        <v>686</v>
      </c>
      <c r="G904" t="s">
        <v>687</v>
      </c>
      <c r="H904" t="s">
        <v>687</v>
      </c>
      <c r="I904" t="s">
        <v>344</v>
      </c>
    </row>
    <row r="905" spans="1:9" x14ac:dyDescent="0.25">
      <c r="A905" s="1" t="str">
        <f>HYPERLINK("https://lynxcrm-apac--c.eu19.visual.force.com/0011i000001xocvAAA","Chow, Kim Choon")</f>
        <v>Chow, Kim Choon</v>
      </c>
      <c r="B905" t="s">
        <v>2177</v>
      </c>
      <c r="C905" t="s">
        <v>28</v>
      </c>
      <c r="D905" t="s">
        <v>1126</v>
      </c>
      <c r="E905" t="s">
        <v>8</v>
      </c>
      <c r="F905" t="s">
        <v>1127</v>
      </c>
      <c r="G905" t="s">
        <v>1128</v>
      </c>
      <c r="H905" t="s">
        <v>1128</v>
      </c>
      <c r="I905" t="s">
        <v>996</v>
      </c>
    </row>
    <row r="906" spans="1:9" x14ac:dyDescent="0.25">
      <c r="A906" s="1" t="str">
        <f>HYPERLINK("https://lynxcrm-apac--c.eu19.visual.force.com/0011i000001xo7wAAA","Chow, Mun Hong")</f>
        <v>Chow, Mun Hong</v>
      </c>
      <c r="B906" t="s">
        <v>2178</v>
      </c>
      <c r="C906" t="s">
        <v>28</v>
      </c>
      <c r="D906" t="s">
        <v>1126</v>
      </c>
      <c r="E906" t="s">
        <v>8</v>
      </c>
      <c r="F906" t="s">
        <v>994</v>
      </c>
      <c r="G906" t="s">
        <v>995</v>
      </c>
      <c r="H906" t="s">
        <v>995</v>
      </c>
      <c r="I906" t="s">
        <v>996</v>
      </c>
    </row>
    <row r="907" spans="1:9" x14ac:dyDescent="0.25">
      <c r="A907" s="1" t="str">
        <f>HYPERLINK("https://lynxcrm-apac--c.eu19.visual.force.com/0011i000001xngaAAA","Chow, Peter")</f>
        <v>Chow, Peter</v>
      </c>
      <c r="B907" t="s">
        <v>2179</v>
      </c>
      <c r="C907" t="s">
        <v>28</v>
      </c>
      <c r="D907" t="s">
        <v>2180</v>
      </c>
      <c r="E907" t="s">
        <v>8</v>
      </c>
      <c r="F907" t="s">
        <v>359</v>
      </c>
      <c r="G907" t="s">
        <v>252</v>
      </c>
      <c r="H907" t="s">
        <v>252</v>
      </c>
      <c r="I907" t="s">
        <v>1609</v>
      </c>
    </row>
    <row r="908" spans="1:9" x14ac:dyDescent="0.25">
      <c r="A908" s="1" t="str">
        <f>HYPERLINK("https://lynxcrm-apac--c.eu19.visual.force.com/0011i000001xo7zAAA","Chow, Shook Lin")</f>
        <v>Chow, Shook Lin</v>
      </c>
      <c r="B908" t="s">
        <v>2181</v>
      </c>
      <c r="C908" t="s">
        <v>28</v>
      </c>
      <c r="D908" t="s">
        <v>2182</v>
      </c>
      <c r="E908" t="s">
        <v>8</v>
      </c>
      <c r="F908" t="s">
        <v>2183</v>
      </c>
      <c r="G908" t="s">
        <v>2184</v>
      </c>
      <c r="H908" t="s">
        <v>2185</v>
      </c>
      <c r="I908" t="s">
        <v>2186</v>
      </c>
    </row>
    <row r="909" spans="1:9" x14ac:dyDescent="0.25">
      <c r="A909" s="1" t="str">
        <f>HYPERLINK("https://lynxcrm-apac--c.eu19.visual.force.com/0011i000001xnzBAAQ","Chow, Weien")</f>
        <v>Chow, Weien</v>
      </c>
      <c r="B909" t="s">
        <v>2187</v>
      </c>
      <c r="C909" t="s">
        <v>28</v>
      </c>
      <c r="D909" t="s">
        <v>583</v>
      </c>
      <c r="E909" t="s">
        <v>8</v>
      </c>
      <c r="F909" t="s">
        <v>234</v>
      </c>
      <c r="G909" t="s">
        <v>584</v>
      </c>
      <c r="H909" t="s">
        <v>1386</v>
      </c>
      <c r="I909" t="s">
        <v>585</v>
      </c>
    </row>
    <row r="910" spans="1:9" x14ac:dyDescent="0.25">
      <c r="A910" s="1" t="str">
        <f>HYPERLINK("https://lynxcrm-apac--c.eu19.visual.force.com/0011i000001xofwAAA","Chow, Yew Choong Vincent")</f>
        <v>Chow, Yew Choong Vincent</v>
      </c>
      <c r="B910" t="s">
        <v>2188</v>
      </c>
      <c r="C910" t="s">
        <v>28</v>
      </c>
      <c r="D910" t="s">
        <v>2189</v>
      </c>
      <c r="E910" t="s">
        <v>8</v>
      </c>
      <c r="F910" t="s">
        <v>2190</v>
      </c>
      <c r="G910" t="s">
        <v>2191</v>
      </c>
      <c r="H910" t="s">
        <v>2192</v>
      </c>
      <c r="I910" t="s">
        <v>2193</v>
      </c>
    </row>
    <row r="911" spans="1:9" x14ac:dyDescent="0.25">
      <c r="A911" s="1" t="str">
        <f>HYPERLINK("https://lynxcrm-apac--c.eu19.visual.force.com/0011i000001xo84AAA","Choy, Chan Horn")</f>
        <v>Choy, Chan Horn</v>
      </c>
      <c r="B911" t="s">
        <v>2194</v>
      </c>
      <c r="C911" t="s">
        <v>28</v>
      </c>
      <c r="D911" t="s">
        <v>368</v>
      </c>
      <c r="E911" t="s">
        <v>8</v>
      </c>
      <c r="F911" t="s">
        <v>584</v>
      </c>
      <c r="G911" t="s">
        <v>583</v>
      </c>
      <c r="H911" t="s">
        <v>583</v>
      </c>
      <c r="I911" t="s">
        <v>585</v>
      </c>
    </row>
    <row r="912" spans="1:9" x14ac:dyDescent="0.25">
      <c r="A912" s="1" t="str">
        <f>HYPERLINK("https://lynxcrm-apac--c.eu19.visual.force.com/0011i000001xo84AAA","Choy, Chan Horn")</f>
        <v>Choy, Chan Horn</v>
      </c>
      <c r="B912" t="s">
        <v>2194</v>
      </c>
      <c r="C912" t="s">
        <v>28</v>
      </c>
      <c r="D912" t="s">
        <v>583</v>
      </c>
      <c r="E912" t="s">
        <v>8</v>
      </c>
      <c r="F912" t="s">
        <v>583</v>
      </c>
      <c r="G912" t="s">
        <v>584</v>
      </c>
      <c r="H912" t="s">
        <v>584</v>
      </c>
      <c r="I912" t="s">
        <v>585</v>
      </c>
    </row>
    <row r="913" spans="1:9" x14ac:dyDescent="0.25">
      <c r="A913" s="1" t="str">
        <f>HYPERLINK("https://lynxcrm-apac--c.eu19.visual.force.com/0011i000001xon3AAA","Choy, Kim Seng David")</f>
        <v>Choy, Kim Seng David</v>
      </c>
      <c r="B913" t="s">
        <v>2195</v>
      </c>
      <c r="C913" t="s">
        <v>28</v>
      </c>
      <c r="D913" t="s">
        <v>2196</v>
      </c>
      <c r="E913" t="s">
        <v>8</v>
      </c>
      <c r="F913" t="s">
        <v>237</v>
      </c>
      <c r="G913" t="s">
        <v>164</v>
      </c>
      <c r="H913" t="s">
        <v>164</v>
      </c>
      <c r="I913" t="s">
        <v>165</v>
      </c>
    </row>
    <row r="914" spans="1:9" x14ac:dyDescent="0.25">
      <c r="A914" s="1" t="str">
        <f>HYPERLINK("https://lynxcrm-apac--c.eu19.visual.force.com/0011i000001xmhjAAA","Chris Chong Clinic Pte Ltd")</f>
        <v>Chris Chong Clinic Pte Ltd</v>
      </c>
      <c r="B914" t="s">
        <v>2197</v>
      </c>
      <c r="C914" t="s">
        <v>10</v>
      </c>
      <c r="D914" t="s">
        <v>8</v>
      </c>
      <c r="E914" t="s">
        <v>8</v>
      </c>
      <c r="F914" t="s">
        <v>469</v>
      </c>
      <c r="G914" t="s">
        <v>2108</v>
      </c>
      <c r="H914" t="s">
        <v>2109</v>
      </c>
      <c r="I914" t="s">
        <v>67</v>
      </c>
    </row>
    <row r="915" spans="1:9" x14ac:dyDescent="0.25">
      <c r="A915" s="1" t="str">
        <f>HYPERLINK("https://lynxcrm-apac--c.eu19.visual.force.com/0011i000001xnF9AAI","Chris Chong Clinic Pte Ltd")</f>
        <v>Chris Chong Clinic Pte Ltd</v>
      </c>
      <c r="B915" t="s">
        <v>2198</v>
      </c>
      <c r="C915" t="s">
        <v>10</v>
      </c>
      <c r="D915" t="s">
        <v>8</v>
      </c>
      <c r="E915" t="s">
        <v>8</v>
      </c>
      <c r="F915" t="s">
        <v>469</v>
      </c>
      <c r="G915" t="s">
        <v>2108</v>
      </c>
      <c r="H915" t="s">
        <v>2109</v>
      </c>
      <c r="I915" t="s">
        <v>67</v>
      </c>
    </row>
    <row r="916" spans="1:9" x14ac:dyDescent="0.25">
      <c r="A916" s="1" t="str">
        <f t="shared" ref="A916:A928" si="7">HYPERLINK("https://lynxcrm-apac--c.eu19.visual.force.com/0011i000007E5lHAAS","Chu, Cecilia")</f>
        <v>Chu, Cecilia</v>
      </c>
      <c r="B916" t="s">
        <v>2199</v>
      </c>
      <c r="C916" t="s">
        <v>28</v>
      </c>
      <c r="D916" t="s">
        <v>164</v>
      </c>
      <c r="E916" t="s">
        <v>8</v>
      </c>
      <c r="F916" t="s">
        <v>240</v>
      </c>
      <c r="G916" t="s">
        <v>163</v>
      </c>
      <c r="H916" t="s">
        <v>163</v>
      </c>
      <c r="I916" t="s">
        <v>165</v>
      </c>
    </row>
    <row r="917" spans="1:9" x14ac:dyDescent="0.25">
      <c r="A917" s="1" t="str">
        <f t="shared" si="7"/>
        <v>Chu, Cecilia</v>
      </c>
      <c r="B917" t="s">
        <v>2199</v>
      </c>
      <c r="C917" t="s">
        <v>28</v>
      </c>
      <c r="D917" t="s">
        <v>164</v>
      </c>
      <c r="E917" t="s">
        <v>8</v>
      </c>
      <c r="F917" t="s">
        <v>234</v>
      </c>
      <c r="G917" t="s">
        <v>163</v>
      </c>
      <c r="H917" t="s">
        <v>163</v>
      </c>
      <c r="I917" t="s">
        <v>235</v>
      </c>
    </row>
    <row r="918" spans="1:9" x14ac:dyDescent="0.25">
      <c r="A918" s="1" t="str">
        <f t="shared" si="7"/>
        <v>Chu, Cecilia</v>
      </c>
      <c r="B918" t="s">
        <v>2199</v>
      </c>
      <c r="C918" t="s">
        <v>28</v>
      </c>
      <c r="D918" t="s">
        <v>164</v>
      </c>
      <c r="E918" t="s">
        <v>8</v>
      </c>
      <c r="F918" t="s">
        <v>241</v>
      </c>
      <c r="G918" t="s">
        <v>163</v>
      </c>
      <c r="H918" t="s">
        <v>242</v>
      </c>
      <c r="I918" t="s">
        <v>165</v>
      </c>
    </row>
    <row r="919" spans="1:9" x14ac:dyDescent="0.25">
      <c r="A919" s="1" t="str">
        <f t="shared" si="7"/>
        <v>Chu, Cecilia</v>
      </c>
      <c r="B919" t="s">
        <v>2199</v>
      </c>
      <c r="C919" t="s">
        <v>28</v>
      </c>
      <c r="D919" t="s">
        <v>164</v>
      </c>
      <c r="E919" t="s">
        <v>8</v>
      </c>
      <c r="F919" t="s">
        <v>243</v>
      </c>
      <c r="G919" t="s">
        <v>163</v>
      </c>
      <c r="H919" t="s">
        <v>163</v>
      </c>
      <c r="I919" t="s">
        <v>244</v>
      </c>
    </row>
    <row r="920" spans="1:9" x14ac:dyDescent="0.25">
      <c r="A920" s="1" t="str">
        <f t="shared" si="7"/>
        <v>Chu, Cecilia</v>
      </c>
      <c r="B920" t="s">
        <v>2199</v>
      </c>
      <c r="C920" t="s">
        <v>28</v>
      </c>
      <c r="D920" t="s">
        <v>164</v>
      </c>
      <c r="E920" t="s">
        <v>8</v>
      </c>
      <c r="F920" t="s">
        <v>245</v>
      </c>
      <c r="G920" t="s">
        <v>163</v>
      </c>
      <c r="H920" t="s">
        <v>163</v>
      </c>
      <c r="I920" t="s">
        <v>165</v>
      </c>
    </row>
    <row r="921" spans="1:9" x14ac:dyDescent="0.25">
      <c r="A921" s="1" t="str">
        <f t="shared" si="7"/>
        <v>Chu, Cecilia</v>
      </c>
      <c r="B921" t="s">
        <v>2199</v>
      </c>
      <c r="C921" t="s">
        <v>28</v>
      </c>
      <c r="D921" t="s">
        <v>164</v>
      </c>
      <c r="E921" t="s">
        <v>8</v>
      </c>
      <c r="F921" t="s">
        <v>246</v>
      </c>
      <c r="G921" t="s">
        <v>163</v>
      </c>
      <c r="H921" t="s">
        <v>163</v>
      </c>
      <c r="I921" t="s">
        <v>244</v>
      </c>
    </row>
    <row r="922" spans="1:9" x14ac:dyDescent="0.25">
      <c r="A922" s="1" t="str">
        <f t="shared" si="7"/>
        <v>Chu, Cecilia</v>
      </c>
      <c r="B922" t="s">
        <v>2199</v>
      </c>
      <c r="C922" t="s">
        <v>28</v>
      </c>
      <c r="D922" t="s">
        <v>164</v>
      </c>
      <c r="E922" t="s">
        <v>8</v>
      </c>
      <c r="F922" t="s">
        <v>247</v>
      </c>
      <c r="G922" t="s">
        <v>163</v>
      </c>
      <c r="H922" t="s">
        <v>242</v>
      </c>
      <c r="I922" t="s">
        <v>165</v>
      </c>
    </row>
    <row r="923" spans="1:9" x14ac:dyDescent="0.25">
      <c r="A923" s="1" t="str">
        <f t="shared" si="7"/>
        <v>Chu, Cecilia</v>
      </c>
      <c r="B923" t="s">
        <v>2199</v>
      </c>
      <c r="C923" t="s">
        <v>28</v>
      </c>
      <c r="D923" t="s">
        <v>164</v>
      </c>
      <c r="E923" t="s">
        <v>8</v>
      </c>
      <c r="F923" t="s">
        <v>248</v>
      </c>
      <c r="G923" t="s">
        <v>163</v>
      </c>
      <c r="H923" t="s">
        <v>242</v>
      </c>
      <c r="I923" t="s">
        <v>165</v>
      </c>
    </row>
    <row r="924" spans="1:9" x14ac:dyDescent="0.25">
      <c r="A924" s="1" t="str">
        <f t="shared" si="7"/>
        <v>Chu, Cecilia</v>
      </c>
      <c r="B924" t="s">
        <v>2199</v>
      </c>
      <c r="C924" t="s">
        <v>28</v>
      </c>
      <c r="D924" t="s">
        <v>164</v>
      </c>
      <c r="E924" t="s">
        <v>8</v>
      </c>
      <c r="F924" t="s">
        <v>249</v>
      </c>
      <c r="G924" t="s">
        <v>163</v>
      </c>
      <c r="H924" t="s">
        <v>163</v>
      </c>
      <c r="I924" t="s">
        <v>165</v>
      </c>
    </row>
    <row r="925" spans="1:9" x14ac:dyDescent="0.25">
      <c r="A925" s="1" t="str">
        <f t="shared" si="7"/>
        <v>Chu, Cecilia</v>
      </c>
      <c r="B925" t="s">
        <v>2199</v>
      </c>
      <c r="C925" t="s">
        <v>28</v>
      </c>
      <c r="D925" t="s">
        <v>164</v>
      </c>
      <c r="E925" t="s">
        <v>8</v>
      </c>
      <c r="F925" t="s">
        <v>239</v>
      </c>
      <c r="G925" t="s">
        <v>163</v>
      </c>
      <c r="H925" t="s">
        <v>163</v>
      </c>
      <c r="I925" t="s">
        <v>165</v>
      </c>
    </row>
    <row r="926" spans="1:9" x14ac:dyDescent="0.25">
      <c r="A926" s="1" t="str">
        <f t="shared" si="7"/>
        <v>Chu, Cecilia</v>
      </c>
      <c r="B926" t="s">
        <v>2199</v>
      </c>
      <c r="C926" t="s">
        <v>28</v>
      </c>
      <c r="D926" t="s">
        <v>164</v>
      </c>
      <c r="E926" t="s">
        <v>8</v>
      </c>
      <c r="F926" t="s">
        <v>238</v>
      </c>
      <c r="G926" t="s">
        <v>163</v>
      </c>
      <c r="H926" t="s">
        <v>163</v>
      </c>
      <c r="I926" t="s">
        <v>165</v>
      </c>
    </row>
    <row r="927" spans="1:9" x14ac:dyDescent="0.25">
      <c r="A927" s="1" t="str">
        <f t="shared" si="7"/>
        <v>Chu, Cecilia</v>
      </c>
      <c r="B927" t="s">
        <v>2199</v>
      </c>
      <c r="C927" t="s">
        <v>28</v>
      </c>
      <c r="D927" t="s">
        <v>164</v>
      </c>
      <c r="E927" t="s">
        <v>8</v>
      </c>
      <c r="F927" t="s">
        <v>236</v>
      </c>
      <c r="G927" t="s">
        <v>237</v>
      </c>
      <c r="H927" t="s">
        <v>237</v>
      </c>
      <c r="I927" t="s">
        <v>165</v>
      </c>
    </row>
    <row r="928" spans="1:9" x14ac:dyDescent="0.25">
      <c r="A928" s="1" t="str">
        <f t="shared" si="7"/>
        <v>Chu, Cecilia</v>
      </c>
      <c r="B928" t="s">
        <v>2199</v>
      </c>
      <c r="C928" t="s">
        <v>28</v>
      </c>
      <c r="D928" t="s">
        <v>164</v>
      </c>
      <c r="E928" t="s">
        <v>8</v>
      </c>
      <c r="F928" t="s">
        <v>234</v>
      </c>
      <c r="G928" t="s">
        <v>163</v>
      </c>
      <c r="H928" t="s">
        <v>163</v>
      </c>
      <c r="I928" t="s">
        <v>244</v>
      </c>
    </row>
    <row r="929" spans="1:9" x14ac:dyDescent="0.25">
      <c r="A929" s="1" t="str">
        <f>HYPERLINK("https://lynxcrm-apac--c.eu19.visual.force.com/0011i000001xnfmAAA","Chu, Chun Hong")</f>
        <v>Chu, Chun Hong</v>
      </c>
      <c r="B929" t="s">
        <v>2200</v>
      </c>
      <c r="C929" t="s">
        <v>28</v>
      </c>
      <c r="D929" t="s">
        <v>54</v>
      </c>
      <c r="E929" t="s">
        <v>8</v>
      </c>
      <c r="F929" t="s">
        <v>1225</v>
      </c>
      <c r="G929" t="s">
        <v>1225</v>
      </c>
      <c r="H929" t="s">
        <v>8</v>
      </c>
      <c r="I929" t="s">
        <v>55</v>
      </c>
    </row>
    <row r="930" spans="1:9" x14ac:dyDescent="0.25">
      <c r="A930" s="1" t="str">
        <f>HYPERLINK("https://lynxcrm-apac--c.eu19.visual.force.com/0011i000001xorjAAA","Chu, Siu Kong")</f>
        <v>Chu, Siu Kong</v>
      </c>
      <c r="B930" t="s">
        <v>2201</v>
      </c>
      <c r="C930" t="s">
        <v>28</v>
      </c>
      <c r="D930" t="s">
        <v>2202</v>
      </c>
      <c r="E930" t="s">
        <v>8</v>
      </c>
      <c r="F930" t="s">
        <v>2203</v>
      </c>
      <c r="G930" t="s">
        <v>2204</v>
      </c>
      <c r="H930" t="s">
        <v>2204</v>
      </c>
      <c r="I930" t="s">
        <v>2205</v>
      </c>
    </row>
    <row r="931" spans="1:9" x14ac:dyDescent="0.25">
      <c r="A931" s="1" t="str">
        <f>HYPERLINK("https://lynxcrm-apac--c.eu19.visual.force.com/0011i000001xogOAAQ","Chu, Siu-Kong")</f>
        <v>Chu, Siu-Kong</v>
      </c>
      <c r="B931" t="s">
        <v>2206</v>
      </c>
      <c r="C931" t="s">
        <v>28</v>
      </c>
      <c r="D931" t="s">
        <v>2202</v>
      </c>
      <c r="E931" t="s">
        <v>8</v>
      </c>
      <c r="F931" t="s">
        <v>2207</v>
      </c>
      <c r="G931" t="s">
        <v>2204</v>
      </c>
      <c r="H931" t="s">
        <v>2208</v>
      </c>
      <c r="I931" t="s">
        <v>2205</v>
      </c>
    </row>
    <row r="932" spans="1:9" x14ac:dyDescent="0.25">
      <c r="A932" s="1" t="str">
        <f>HYPERLINK("https://lynxcrm-apac--c.eu19.visual.force.com/0011i000001xonZAAQ","Chua, Benjamin")</f>
        <v>Chua, Benjamin</v>
      </c>
      <c r="B932" t="s">
        <v>2209</v>
      </c>
      <c r="C932" t="s">
        <v>28</v>
      </c>
      <c r="D932" t="s">
        <v>2210</v>
      </c>
      <c r="E932" t="s">
        <v>8</v>
      </c>
      <c r="F932" t="s">
        <v>897</v>
      </c>
      <c r="G932" t="s">
        <v>2211</v>
      </c>
      <c r="H932" t="s">
        <v>2211</v>
      </c>
      <c r="I932" t="s">
        <v>344</v>
      </c>
    </row>
    <row r="933" spans="1:9" x14ac:dyDescent="0.25">
      <c r="A933" s="1" t="str">
        <f>HYPERLINK("https://lynxcrm-apac--c.eu19.visual.force.com/0011i000001xocWAAQ","Chua, Catherine")</f>
        <v>Chua, Catherine</v>
      </c>
      <c r="B933" t="s">
        <v>2212</v>
      </c>
      <c r="C933" t="s">
        <v>28</v>
      </c>
      <c r="D933" t="s">
        <v>2213</v>
      </c>
      <c r="E933" t="s">
        <v>8</v>
      </c>
      <c r="F933" t="s">
        <v>2214</v>
      </c>
      <c r="G933" t="s">
        <v>2215</v>
      </c>
      <c r="H933" t="s">
        <v>2216</v>
      </c>
      <c r="I933" t="s">
        <v>2217</v>
      </c>
    </row>
    <row r="934" spans="1:9" x14ac:dyDescent="0.25">
      <c r="A934" s="1" t="str">
        <f>HYPERLINK("https://lynxcrm-apac--c.eu19.visual.force.com/0011i000001xoFIAAY","Chua, Chi Siong")</f>
        <v>Chua, Chi Siong</v>
      </c>
      <c r="B934" t="s">
        <v>2218</v>
      </c>
      <c r="C934" t="s">
        <v>28</v>
      </c>
      <c r="D934" t="s">
        <v>1164</v>
      </c>
      <c r="E934" t="s">
        <v>8</v>
      </c>
      <c r="F934" t="s">
        <v>1165</v>
      </c>
      <c r="G934" t="s">
        <v>1166</v>
      </c>
      <c r="H934" t="s">
        <v>1166</v>
      </c>
      <c r="I934" t="s">
        <v>1167</v>
      </c>
    </row>
    <row r="935" spans="1:9" x14ac:dyDescent="0.25">
      <c r="A935" s="1" t="str">
        <f>HYPERLINK("https://lynxcrm-apac--c.eu19.visual.force.com/0011i000001xoFIAAY","Chua, Chi Siong")</f>
        <v>Chua, Chi Siong</v>
      </c>
      <c r="B935" t="s">
        <v>2218</v>
      </c>
      <c r="C935" t="s">
        <v>28</v>
      </c>
      <c r="D935" t="s">
        <v>2219</v>
      </c>
      <c r="E935" t="s">
        <v>8</v>
      </c>
      <c r="F935" t="s">
        <v>2219</v>
      </c>
      <c r="G935" t="s">
        <v>1164</v>
      </c>
      <c r="H935" t="s">
        <v>1164</v>
      </c>
      <c r="I935" t="s">
        <v>2220</v>
      </c>
    </row>
    <row r="936" spans="1:9" x14ac:dyDescent="0.25">
      <c r="A936" s="1" t="str">
        <f>HYPERLINK("https://lynxcrm-apac--c.eu19.visual.force.com/0011i000001xoDqAAI","Chua, Chong Bing")</f>
        <v>Chua, Chong Bing</v>
      </c>
      <c r="B936" t="s">
        <v>2221</v>
      </c>
      <c r="C936" t="s">
        <v>28</v>
      </c>
      <c r="D936" t="s">
        <v>2222</v>
      </c>
      <c r="E936" t="s">
        <v>8</v>
      </c>
      <c r="F936" t="s">
        <v>191</v>
      </c>
      <c r="G936" t="s">
        <v>2223</v>
      </c>
      <c r="H936" t="s">
        <v>2223</v>
      </c>
      <c r="I936" t="s">
        <v>193</v>
      </c>
    </row>
    <row r="937" spans="1:9" x14ac:dyDescent="0.25">
      <c r="A937" s="1" t="str">
        <f>HYPERLINK("https://lynxcrm-apac--c.eu19.visual.force.com/0011i000001xoDqAAI","Chua, Chong Bing")</f>
        <v>Chua, Chong Bing</v>
      </c>
      <c r="B937" t="s">
        <v>2221</v>
      </c>
      <c r="C937" t="s">
        <v>28</v>
      </c>
      <c r="D937" t="s">
        <v>2224</v>
      </c>
      <c r="E937" t="s">
        <v>8</v>
      </c>
      <c r="F937" t="s">
        <v>2225</v>
      </c>
      <c r="G937" t="s">
        <v>2226</v>
      </c>
      <c r="H937" t="s">
        <v>2226</v>
      </c>
      <c r="I937" t="s">
        <v>2227</v>
      </c>
    </row>
    <row r="938" spans="1:9" x14ac:dyDescent="0.25">
      <c r="A938" s="1" t="str">
        <f>HYPERLINK("https://lynxcrm-apac--c.eu19.visual.force.com/0011i000001xogkAAA","Chua, Chong Li")</f>
        <v>Chua, Chong Li</v>
      </c>
      <c r="B938" t="s">
        <v>2228</v>
      </c>
      <c r="C938" t="s">
        <v>28</v>
      </c>
      <c r="D938" t="s">
        <v>2229</v>
      </c>
      <c r="E938" t="s">
        <v>8</v>
      </c>
      <c r="F938" t="s">
        <v>2230</v>
      </c>
      <c r="G938" t="s">
        <v>2151</v>
      </c>
      <c r="H938" t="s">
        <v>2231</v>
      </c>
      <c r="I938" t="s">
        <v>2232</v>
      </c>
    </row>
    <row r="939" spans="1:9" x14ac:dyDescent="0.25">
      <c r="A939" s="1" t="str">
        <f>HYPERLINK("https://lynxcrm-apac--c.eu19.visual.force.com/0011i000001xogtAAA","Chua, Choon Lan")</f>
        <v>Chua, Choon Lan</v>
      </c>
      <c r="B939" t="s">
        <v>2233</v>
      </c>
      <c r="C939" t="s">
        <v>28</v>
      </c>
      <c r="D939" t="s">
        <v>2234</v>
      </c>
      <c r="E939" t="s">
        <v>8</v>
      </c>
      <c r="F939" t="s">
        <v>69</v>
      </c>
      <c r="G939" t="s">
        <v>2235</v>
      </c>
      <c r="H939" t="s">
        <v>2236</v>
      </c>
      <c r="I939" t="s">
        <v>67</v>
      </c>
    </row>
    <row r="940" spans="1:9" x14ac:dyDescent="0.25">
      <c r="A940" s="1" t="str">
        <f>HYPERLINK("https://lynxcrm-apac--c.eu19.visual.force.com/0011i000001xoRtAAI","Chua, George")</f>
        <v>Chua, George</v>
      </c>
      <c r="B940" t="s">
        <v>2237</v>
      </c>
      <c r="C940" t="s">
        <v>28</v>
      </c>
      <c r="D940" t="s">
        <v>12</v>
      </c>
      <c r="E940" t="s">
        <v>8</v>
      </c>
      <c r="F940" t="s">
        <v>11</v>
      </c>
      <c r="G940" t="s">
        <v>11</v>
      </c>
      <c r="H940" t="s">
        <v>712</v>
      </c>
      <c r="I940" t="s">
        <v>13</v>
      </c>
    </row>
    <row r="941" spans="1:9" x14ac:dyDescent="0.25">
      <c r="A941" s="1" t="str">
        <f>HYPERLINK("https://lynxcrm-apac--c.eu19.visual.force.com/0011i000001xoIKAAY","Chua, Guan Kiat")</f>
        <v>Chua, Guan Kiat</v>
      </c>
      <c r="B941" t="s">
        <v>2238</v>
      </c>
      <c r="C941" t="s">
        <v>28</v>
      </c>
      <c r="D941" t="s">
        <v>2239</v>
      </c>
      <c r="E941" t="s">
        <v>8</v>
      </c>
      <c r="F941" t="s">
        <v>2240</v>
      </c>
      <c r="G941" t="s">
        <v>2006</v>
      </c>
      <c r="H941" t="s">
        <v>2241</v>
      </c>
      <c r="I941" t="s">
        <v>2242</v>
      </c>
    </row>
    <row r="942" spans="1:9" x14ac:dyDescent="0.25">
      <c r="A942" s="1" t="str">
        <f>HYPERLINK("https://lynxcrm-apac--c.eu19.visual.force.com/0011i000001xoPeAAI","Chua, Hong Liang")</f>
        <v>Chua, Hong Liang</v>
      </c>
      <c r="B942" t="s">
        <v>2243</v>
      </c>
      <c r="C942" t="s">
        <v>28</v>
      </c>
      <c r="D942" t="s">
        <v>251</v>
      </c>
      <c r="E942" t="s">
        <v>8</v>
      </c>
      <c r="F942" t="s">
        <v>2244</v>
      </c>
      <c r="G942" t="s">
        <v>252</v>
      </c>
      <c r="H942" t="s">
        <v>252</v>
      </c>
      <c r="I942" t="s">
        <v>253</v>
      </c>
    </row>
    <row r="943" spans="1:9" x14ac:dyDescent="0.25">
      <c r="A943" s="1" t="str">
        <f>HYPERLINK("https://lynxcrm-apac--c.eu19.visual.force.com/0011i000001xoGIAAY","Chua, Hua Eng Daniel")</f>
        <v>Chua, Hua Eng Daniel</v>
      </c>
      <c r="B943" t="s">
        <v>2245</v>
      </c>
      <c r="C943" t="s">
        <v>28</v>
      </c>
      <c r="D943" t="s">
        <v>2246</v>
      </c>
      <c r="E943" t="s">
        <v>8</v>
      </c>
      <c r="F943" t="s">
        <v>2247</v>
      </c>
      <c r="G943" t="s">
        <v>1642</v>
      </c>
      <c r="H943" t="s">
        <v>2248</v>
      </c>
      <c r="I943" t="s">
        <v>2249</v>
      </c>
    </row>
    <row r="944" spans="1:9" x14ac:dyDescent="0.25">
      <c r="A944" s="1" t="str">
        <f>HYPERLINK("https://lynxcrm-apac--c.eu19.visual.force.com/0011i000001xobWAAQ","Chua, Karen")</f>
        <v>Chua, Karen</v>
      </c>
      <c r="B944" t="s">
        <v>2250</v>
      </c>
      <c r="C944" t="s">
        <v>28</v>
      </c>
      <c r="D944" t="s">
        <v>2251</v>
      </c>
      <c r="E944" t="s">
        <v>8</v>
      </c>
      <c r="F944" t="s">
        <v>2252</v>
      </c>
      <c r="G944" t="s">
        <v>2253</v>
      </c>
      <c r="H944" t="s">
        <v>2254</v>
      </c>
      <c r="I944" t="s">
        <v>2255</v>
      </c>
    </row>
    <row r="945" spans="1:9" x14ac:dyDescent="0.25">
      <c r="A945" s="1" t="str">
        <f>HYPERLINK("https://lynxcrm-apac--c.eu19.visual.force.com/0011i000001xohaAAA","Chua, Kee Loi")</f>
        <v>Chua, Kee Loi</v>
      </c>
      <c r="B945" t="s">
        <v>2256</v>
      </c>
      <c r="C945" t="s">
        <v>28</v>
      </c>
      <c r="D945" t="s">
        <v>2257</v>
      </c>
      <c r="E945" t="s">
        <v>8</v>
      </c>
      <c r="F945" t="s">
        <v>2258</v>
      </c>
      <c r="G945" t="s">
        <v>2259</v>
      </c>
      <c r="H945" t="s">
        <v>2259</v>
      </c>
      <c r="I945" t="s">
        <v>2260</v>
      </c>
    </row>
    <row r="946" spans="1:9" x14ac:dyDescent="0.25">
      <c r="A946" s="1" t="str">
        <f>HYPERLINK("https://lynxcrm-apac--c.eu19.visual.force.com/0011i000001xo94AAA","Chua, Kim Ghee Vincent")</f>
        <v>Chua, Kim Ghee Vincent</v>
      </c>
      <c r="B946" t="s">
        <v>2261</v>
      </c>
      <c r="C946" t="s">
        <v>28</v>
      </c>
      <c r="D946" t="s">
        <v>2262</v>
      </c>
      <c r="E946" t="s">
        <v>8</v>
      </c>
      <c r="F946" t="s">
        <v>2263</v>
      </c>
      <c r="G946" t="s">
        <v>2264</v>
      </c>
      <c r="H946" t="s">
        <v>2265</v>
      </c>
      <c r="I946" t="s">
        <v>2266</v>
      </c>
    </row>
    <row r="947" spans="1:9" x14ac:dyDescent="0.25">
      <c r="A947" s="1" t="str">
        <f>HYPERLINK("https://lynxcrm-apac--c.eu19.visual.force.com/0011i000001xoGvAAI","Chua, Lay Hoon")</f>
        <v>Chua, Lay Hoon</v>
      </c>
      <c r="B947" t="s">
        <v>2267</v>
      </c>
      <c r="C947" t="s">
        <v>28</v>
      </c>
      <c r="D947" t="s">
        <v>2268</v>
      </c>
      <c r="E947" t="s">
        <v>8</v>
      </c>
      <c r="F947" t="s">
        <v>69</v>
      </c>
      <c r="G947" t="s">
        <v>2269</v>
      </c>
      <c r="H947" t="s">
        <v>2270</v>
      </c>
      <c r="I947" t="s">
        <v>67</v>
      </c>
    </row>
    <row r="948" spans="1:9" x14ac:dyDescent="0.25">
      <c r="A948" s="1" t="str">
        <f>HYPERLINK("https://lynxcrm-apac--c.eu19.visual.force.com/0011i000001xoGvAAI","Chua, Lay Hoon")</f>
        <v>Chua, Lay Hoon</v>
      </c>
      <c r="B948" t="s">
        <v>2267</v>
      </c>
      <c r="C948" t="s">
        <v>28</v>
      </c>
      <c r="D948" t="s">
        <v>2268</v>
      </c>
      <c r="E948" t="s">
        <v>8</v>
      </c>
      <c r="F948" t="s">
        <v>69</v>
      </c>
      <c r="G948" t="s">
        <v>2269</v>
      </c>
      <c r="H948" t="s">
        <v>2271</v>
      </c>
      <c r="I948" t="s">
        <v>67</v>
      </c>
    </row>
    <row r="949" spans="1:9" x14ac:dyDescent="0.25">
      <c r="A949" s="1" t="str">
        <f>HYPERLINK("https://lynxcrm-apac--c.eu19.visual.force.com/0011i000001xnmLAAQ","Chua, Leong Aik ADrian")</f>
        <v>Chua, Leong Aik ADrian</v>
      </c>
      <c r="B949" t="s">
        <v>2272</v>
      </c>
      <c r="C949" t="s">
        <v>28</v>
      </c>
      <c r="D949" t="s">
        <v>1698</v>
      </c>
      <c r="E949" t="s">
        <v>8</v>
      </c>
      <c r="F949" t="s">
        <v>2273</v>
      </c>
      <c r="G949" t="s">
        <v>2273</v>
      </c>
      <c r="H949" t="s">
        <v>8</v>
      </c>
      <c r="I949" t="s">
        <v>8</v>
      </c>
    </row>
    <row r="950" spans="1:9" x14ac:dyDescent="0.25">
      <c r="A950" s="1" t="str">
        <f>HYPERLINK("https://lynxcrm-apac--c.eu19.visual.force.com/0011i000001xni8AAA","Chua, Marvin")</f>
        <v>Chua, Marvin</v>
      </c>
      <c r="B950" t="s">
        <v>2274</v>
      </c>
      <c r="C950" t="s">
        <v>28</v>
      </c>
      <c r="D950" t="s">
        <v>1486</v>
      </c>
      <c r="E950" t="s">
        <v>8</v>
      </c>
      <c r="F950" t="s">
        <v>1486</v>
      </c>
      <c r="G950" t="s">
        <v>1487</v>
      </c>
      <c r="H950" t="s">
        <v>1487</v>
      </c>
      <c r="I950" t="s">
        <v>1488</v>
      </c>
    </row>
    <row r="951" spans="1:9" x14ac:dyDescent="0.25">
      <c r="A951" s="1" t="str">
        <f>HYPERLINK("https://lynxcrm-apac--c.eu19.visual.force.com/0011i000001xoWsAAI","Chua, Poh Kim Selina")</f>
        <v>Chua, Poh Kim Selina</v>
      </c>
      <c r="B951" t="s">
        <v>2275</v>
      </c>
      <c r="C951" t="s">
        <v>28</v>
      </c>
      <c r="D951" t="s">
        <v>2276</v>
      </c>
      <c r="E951" t="s">
        <v>8</v>
      </c>
      <c r="F951" t="s">
        <v>377</v>
      </c>
      <c r="G951" t="s">
        <v>2277</v>
      </c>
      <c r="H951" t="s">
        <v>2278</v>
      </c>
      <c r="I951" t="s">
        <v>123</v>
      </c>
    </row>
    <row r="952" spans="1:9" x14ac:dyDescent="0.25">
      <c r="A952" s="1" t="str">
        <f>HYPERLINK("https://lynxcrm-apac--c.eu19.visual.force.com/0011i000001xoP5AAI","Chua, Richard")</f>
        <v>Chua, Richard</v>
      </c>
      <c r="B952" t="s">
        <v>2279</v>
      </c>
      <c r="C952" t="s">
        <v>28</v>
      </c>
      <c r="D952" t="s">
        <v>474</v>
      </c>
      <c r="E952" t="s">
        <v>8</v>
      </c>
      <c r="F952" t="s">
        <v>1263</v>
      </c>
      <c r="G952" t="s">
        <v>258</v>
      </c>
      <c r="H952" t="s">
        <v>259</v>
      </c>
      <c r="I952" t="s">
        <v>260</v>
      </c>
    </row>
    <row r="953" spans="1:9" x14ac:dyDescent="0.25">
      <c r="A953" s="1" t="str">
        <f>HYPERLINK("https://lynxcrm-apac--c.eu19.visual.force.com/0011i000001xoivAAA","Chua, Ruth")</f>
        <v>Chua, Ruth</v>
      </c>
      <c r="B953" t="s">
        <v>2280</v>
      </c>
      <c r="C953" t="s">
        <v>28</v>
      </c>
      <c r="D953" t="s">
        <v>520</v>
      </c>
      <c r="E953" t="s">
        <v>8</v>
      </c>
      <c r="F953" t="s">
        <v>90</v>
      </c>
      <c r="G953" t="s">
        <v>521</v>
      </c>
      <c r="H953" t="s">
        <v>521</v>
      </c>
      <c r="I953" t="s">
        <v>92</v>
      </c>
    </row>
    <row r="954" spans="1:9" x14ac:dyDescent="0.25">
      <c r="A954" s="1" t="str">
        <f>HYPERLINK("https://lynxcrm-apac--c.eu19.visual.force.com/0011i000001xoknAAA","Chua, Sherlyn")</f>
        <v>Chua, Sherlyn</v>
      </c>
      <c r="B954" t="s">
        <v>2281</v>
      </c>
      <c r="C954" t="s">
        <v>28</v>
      </c>
      <c r="D954" t="s">
        <v>709</v>
      </c>
      <c r="E954" t="s">
        <v>8</v>
      </c>
      <c r="F954" t="s">
        <v>710</v>
      </c>
      <c r="G954" t="s">
        <v>135</v>
      </c>
      <c r="H954" t="s">
        <v>135</v>
      </c>
      <c r="I954" t="s">
        <v>711</v>
      </c>
    </row>
    <row r="955" spans="1:9" x14ac:dyDescent="0.25">
      <c r="A955" s="1" t="str">
        <f>HYPERLINK("https://lynxcrm-apac--c.eu19.visual.force.com/0011i000001xo15AAA","Chua, Siang Jin Terrance")</f>
        <v>Chua, Siang Jin Terrance</v>
      </c>
      <c r="B955" t="s">
        <v>2282</v>
      </c>
      <c r="C955" t="s">
        <v>28</v>
      </c>
      <c r="D955" t="s">
        <v>449</v>
      </c>
      <c r="E955" t="s">
        <v>8</v>
      </c>
      <c r="F955" t="s">
        <v>450</v>
      </c>
      <c r="G955" t="s">
        <v>449</v>
      </c>
      <c r="H955" t="s">
        <v>449</v>
      </c>
      <c r="I955" t="s">
        <v>451</v>
      </c>
    </row>
    <row r="956" spans="1:9" x14ac:dyDescent="0.25">
      <c r="A956" s="1" t="str">
        <f>HYPERLINK("https://lynxcrm-apac--c.eu19.visual.force.com/0011i000001xo15AAA","Chua, Siang Jin Terrance")</f>
        <v>Chua, Siang Jin Terrance</v>
      </c>
      <c r="B956" t="s">
        <v>2282</v>
      </c>
      <c r="C956" t="s">
        <v>28</v>
      </c>
      <c r="D956" t="s">
        <v>449</v>
      </c>
      <c r="E956" t="s">
        <v>8</v>
      </c>
      <c r="F956" t="s">
        <v>234</v>
      </c>
      <c r="G956" t="s">
        <v>452</v>
      </c>
      <c r="H956" t="s">
        <v>453</v>
      </c>
      <c r="I956" t="s">
        <v>454</v>
      </c>
    </row>
    <row r="957" spans="1:9" x14ac:dyDescent="0.25">
      <c r="A957" s="1" t="str">
        <f>HYPERLINK("https://lynxcrm-apac--c.eu19.visual.force.com/0011i000001xorgAAA","Chua, Siew Eng")</f>
        <v>Chua, Siew Eng</v>
      </c>
      <c r="B957" t="s">
        <v>2283</v>
      </c>
      <c r="C957" t="s">
        <v>28</v>
      </c>
      <c r="D957" t="s">
        <v>164</v>
      </c>
      <c r="E957" t="s">
        <v>8</v>
      </c>
      <c r="F957" t="s">
        <v>2284</v>
      </c>
      <c r="G957" t="s">
        <v>2285</v>
      </c>
      <c r="H957" t="s">
        <v>2285</v>
      </c>
      <c r="I957" t="s">
        <v>165</v>
      </c>
    </row>
    <row r="958" spans="1:9" x14ac:dyDescent="0.25">
      <c r="A958" s="1" t="str">
        <f>HYPERLINK("https://lynxcrm-apac--c.eu19.visual.force.com/0011i000001xobwAAA","Chua, Sing Hue Eunice")</f>
        <v>Chua, Sing Hue Eunice</v>
      </c>
      <c r="B958" t="s">
        <v>2286</v>
      </c>
      <c r="C958" t="s">
        <v>28</v>
      </c>
      <c r="D958" t="s">
        <v>540</v>
      </c>
      <c r="E958" t="s">
        <v>8</v>
      </c>
      <c r="F958" t="s">
        <v>2287</v>
      </c>
      <c r="G958" t="s">
        <v>706</v>
      </c>
      <c r="H958" t="s">
        <v>706</v>
      </c>
      <c r="I958" t="s">
        <v>543</v>
      </c>
    </row>
    <row r="959" spans="1:9" x14ac:dyDescent="0.25">
      <c r="A959" s="1" t="str">
        <f>HYPERLINK("https://lynxcrm-apac--c.eu19.visual.force.com/0011i000001xoi2AAA","Chua, Siok Meng")</f>
        <v>Chua, Siok Meng</v>
      </c>
      <c r="B959" t="s">
        <v>2288</v>
      </c>
      <c r="C959" t="s">
        <v>28</v>
      </c>
      <c r="D959" t="s">
        <v>2289</v>
      </c>
      <c r="E959" t="s">
        <v>8</v>
      </c>
      <c r="F959" t="s">
        <v>2116</v>
      </c>
      <c r="G959" t="s">
        <v>2290</v>
      </c>
      <c r="H959" t="s">
        <v>2291</v>
      </c>
      <c r="I959" t="s">
        <v>43</v>
      </c>
    </row>
    <row r="960" spans="1:9" x14ac:dyDescent="0.25">
      <c r="A960" s="1" t="str">
        <f>HYPERLINK("https://lynxcrm-apac--c.eu19.visual.force.com/0011i000001xoIaAAI","Chua, Soo Yong")</f>
        <v>Chua, Soo Yong</v>
      </c>
      <c r="B960" t="s">
        <v>2292</v>
      </c>
      <c r="C960" t="s">
        <v>28</v>
      </c>
      <c r="D960" t="s">
        <v>2293</v>
      </c>
      <c r="E960" t="s">
        <v>8</v>
      </c>
      <c r="F960" t="s">
        <v>2294</v>
      </c>
      <c r="G960" t="s">
        <v>121</v>
      </c>
      <c r="H960" t="s">
        <v>121</v>
      </c>
      <c r="I960" t="s">
        <v>123</v>
      </c>
    </row>
    <row r="961" spans="1:9" x14ac:dyDescent="0.25">
      <c r="A961" s="1" t="str">
        <f>HYPERLINK("https://lynxcrm-apac--c.eu19.visual.force.com/0011i000001xo16AAA","Chua, Sui Geok Karen")</f>
        <v>Chua, Sui Geok Karen</v>
      </c>
      <c r="B961" t="s">
        <v>2295</v>
      </c>
      <c r="C961" t="s">
        <v>28</v>
      </c>
      <c r="D961" t="s">
        <v>1305</v>
      </c>
      <c r="E961" t="s">
        <v>8</v>
      </c>
      <c r="F961" t="s">
        <v>1306</v>
      </c>
      <c r="G961" t="s">
        <v>1307</v>
      </c>
      <c r="H961" t="s">
        <v>1307</v>
      </c>
      <c r="I961" t="s">
        <v>610</v>
      </c>
    </row>
    <row r="962" spans="1:9" x14ac:dyDescent="0.25">
      <c r="A962" s="1" t="str">
        <f>HYPERLINK("https://lynxcrm-apac--c.eu19.visual.force.com/0011i000001xoi4AAA","Chua, Sui Leng")</f>
        <v>Chua, Sui Leng</v>
      </c>
      <c r="B962" t="s">
        <v>2296</v>
      </c>
      <c r="C962" t="s">
        <v>28</v>
      </c>
      <c r="D962" t="s">
        <v>1126</v>
      </c>
      <c r="E962" t="s">
        <v>8</v>
      </c>
      <c r="F962" t="s">
        <v>1127</v>
      </c>
      <c r="G962" t="s">
        <v>1128</v>
      </c>
      <c r="H962" t="s">
        <v>1128</v>
      </c>
      <c r="I962" t="s">
        <v>996</v>
      </c>
    </row>
    <row r="963" spans="1:9" x14ac:dyDescent="0.25">
      <c r="A963" s="1" t="str">
        <f>HYPERLINK("https://lynxcrm-apac--c.eu19.visual.force.com/0011i000001xoiGAAQ","Chua, Teo Ngee")</f>
        <v>Chua, Teo Ngee</v>
      </c>
      <c r="B963" t="s">
        <v>2297</v>
      </c>
      <c r="C963" t="s">
        <v>28</v>
      </c>
      <c r="D963" t="s">
        <v>2298</v>
      </c>
      <c r="E963" t="s">
        <v>8</v>
      </c>
      <c r="F963" t="s">
        <v>2299</v>
      </c>
      <c r="G963" t="s">
        <v>2300</v>
      </c>
      <c r="H963" t="s">
        <v>2301</v>
      </c>
      <c r="I963" t="s">
        <v>2302</v>
      </c>
    </row>
    <row r="964" spans="1:9" x14ac:dyDescent="0.25">
      <c r="A964" s="1" t="str">
        <f>HYPERLINK("https://lynxcrm-apac--c.eu19.visual.force.com/0011i000001xoRgAAI","Chua, Thiam Eng")</f>
        <v>Chua, Thiam Eng</v>
      </c>
      <c r="B964" t="s">
        <v>2303</v>
      </c>
      <c r="C964" t="s">
        <v>28</v>
      </c>
      <c r="D964" t="s">
        <v>2304</v>
      </c>
      <c r="E964" t="s">
        <v>8</v>
      </c>
      <c r="F964" t="s">
        <v>2305</v>
      </c>
      <c r="G964" t="s">
        <v>2306</v>
      </c>
      <c r="H964" t="s">
        <v>2307</v>
      </c>
      <c r="I964" t="s">
        <v>2308</v>
      </c>
    </row>
    <row r="965" spans="1:9" x14ac:dyDescent="0.25">
      <c r="A965" s="1" t="str">
        <f>HYPERLINK("https://lynxcrm-apac--c.eu19.visual.force.com/0011i000001xoBqAAI","Chua, Tju Siang")</f>
        <v>Chua, Tju Siang</v>
      </c>
      <c r="B965" t="s">
        <v>2309</v>
      </c>
      <c r="C965" t="s">
        <v>28</v>
      </c>
      <c r="D965" t="s">
        <v>2310</v>
      </c>
      <c r="E965" t="s">
        <v>8</v>
      </c>
      <c r="F965" t="s">
        <v>387</v>
      </c>
      <c r="G965" t="s">
        <v>388</v>
      </c>
      <c r="H965" t="s">
        <v>389</v>
      </c>
      <c r="I965" t="s">
        <v>123</v>
      </c>
    </row>
    <row r="966" spans="1:9" x14ac:dyDescent="0.25">
      <c r="A966" s="1" t="str">
        <f>HYPERLINK("https://lynxcrm-apac--c.eu19.visual.force.com/0011i000001xoSQAAY","Chua, Yan Hoon")</f>
        <v>Chua, Yan Hoon</v>
      </c>
      <c r="B966" t="s">
        <v>2311</v>
      </c>
      <c r="C966" t="s">
        <v>28</v>
      </c>
      <c r="D966" t="s">
        <v>148</v>
      </c>
      <c r="E966" t="s">
        <v>8</v>
      </c>
      <c r="F966" t="s">
        <v>147</v>
      </c>
      <c r="G966" t="s">
        <v>147</v>
      </c>
      <c r="H966" t="s">
        <v>534</v>
      </c>
      <c r="I966" t="s">
        <v>149</v>
      </c>
    </row>
    <row r="967" spans="1:9" x14ac:dyDescent="0.25">
      <c r="A967" s="1" t="str">
        <f>HYPERLINK("https://lynxcrm-apac--c.eu19.visual.force.com/0011i00000KM4QmAAL","Chua, Yao Dong")</f>
        <v>Chua, Yao Dong</v>
      </c>
      <c r="B967" t="s">
        <v>2312</v>
      </c>
      <c r="C967" t="s">
        <v>28</v>
      </c>
      <c r="D967" t="s">
        <v>2313</v>
      </c>
      <c r="E967" t="s">
        <v>8</v>
      </c>
      <c r="F967" t="s">
        <v>224</v>
      </c>
      <c r="G967" t="s">
        <v>225</v>
      </c>
      <c r="H967" t="s">
        <v>8</v>
      </c>
      <c r="I967" t="s">
        <v>226</v>
      </c>
    </row>
    <row r="968" spans="1:9" x14ac:dyDescent="0.25">
      <c r="A968" s="1" t="str">
        <f>HYPERLINK("https://lynxcrm-apac--c.eu19.visual.force.com/0011i00000NqmJiAAJ","Chua, Yao Dong")</f>
        <v>Chua, Yao Dong</v>
      </c>
      <c r="B968" t="s">
        <v>2314</v>
      </c>
      <c r="C968" t="s">
        <v>28</v>
      </c>
      <c r="D968" t="s">
        <v>2313</v>
      </c>
      <c r="E968" t="s">
        <v>8</v>
      </c>
      <c r="F968" t="s">
        <v>224</v>
      </c>
      <c r="G968" t="s">
        <v>225</v>
      </c>
      <c r="H968" t="s">
        <v>8</v>
      </c>
      <c r="I968" t="s">
        <v>226</v>
      </c>
    </row>
    <row r="969" spans="1:9" x14ac:dyDescent="0.25">
      <c r="A969" s="1" t="str">
        <f>HYPERLINK("https://lynxcrm-apac--c.eu19.visual.force.com/0011i000001xoiKAAQ","Chua, Yong Han")</f>
        <v>Chua, Yong Han</v>
      </c>
      <c r="B969" t="s">
        <v>2315</v>
      </c>
      <c r="C969" t="s">
        <v>28</v>
      </c>
      <c r="D969" t="s">
        <v>2316</v>
      </c>
      <c r="E969" t="s">
        <v>8</v>
      </c>
      <c r="F969" t="s">
        <v>2317</v>
      </c>
      <c r="G969" t="s">
        <v>2318</v>
      </c>
      <c r="H969" t="s">
        <v>2319</v>
      </c>
      <c r="I969" t="s">
        <v>2320</v>
      </c>
    </row>
    <row r="970" spans="1:9" x14ac:dyDescent="0.25">
      <c r="A970" s="1" t="str">
        <f>HYPERLINK("https://lynxcrm-apac--c.eu19.visual.force.com/0011i00000ugBEiAAM","Chua, Zhi Wei Ignatius")</f>
        <v>Chua, Zhi Wei Ignatius</v>
      </c>
      <c r="B970" t="s">
        <v>2321</v>
      </c>
      <c r="C970" t="s">
        <v>28</v>
      </c>
      <c r="D970" t="s">
        <v>8</v>
      </c>
      <c r="E970" t="s">
        <v>8</v>
      </c>
      <c r="F970" t="s">
        <v>1123</v>
      </c>
      <c r="G970" t="s">
        <v>1123</v>
      </c>
      <c r="H970" t="s">
        <v>1124</v>
      </c>
      <c r="I970" t="s">
        <v>703</v>
      </c>
    </row>
    <row r="971" spans="1:9" x14ac:dyDescent="0.25">
      <c r="A971" s="1" t="str">
        <f>HYPERLINK("https://lynxcrm-apac--c.eu19.visual.force.com/0011i00000ugBEiAAM","Chua, Zhi Wei Ignatius")</f>
        <v>Chua, Zhi Wei Ignatius</v>
      </c>
      <c r="B971" t="s">
        <v>2321</v>
      </c>
      <c r="C971" t="s">
        <v>28</v>
      </c>
      <c r="D971" t="s">
        <v>701</v>
      </c>
      <c r="E971" t="s">
        <v>8</v>
      </c>
      <c r="F971" t="s">
        <v>1123</v>
      </c>
      <c r="G971" t="s">
        <v>1123</v>
      </c>
      <c r="H971" t="s">
        <v>1124</v>
      </c>
      <c r="I971" t="s">
        <v>703</v>
      </c>
    </row>
    <row r="972" spans="1:9" x14ac:dyDescent="0.25">
      <c r="A972" s="1" t="str">
        <f>HYPERLINK("https://lynxcrm-apac--c.eu19.visual.force.com/0011i000001xmkzAAA","Chua &amp; Partners Family Clinic Pte Ltd")</f>
        <v>Chua &amp; Partners Family Clinic Pte Ltd</v>
      </c>
      <c r="B972" t="s">
        <v>2322</v>
      </c>
      <c r="C972" t="s">
        <v>10</v>
      </c>
      <c r="D972" t="s">
        <v>8</v>
      </c>
      <c r="E972" t="s">
        <v>8</v>
      </c>
      <c r="F972" t="s">
        <v>2263</v>
      </c>
      <c r="G972" t="s">
        <v>2264</v>
      </c>
      <c r="H972" t="s">
        <v>2265</v>
      </c>
      <c r="I972" t="s">
        <v>2266</v>
      </c>
    </row>
    <row r="973" spans="1:9" x14ac:dyDescent="0.25">
      <c r="A973" s="1" t="str">
        <f>HYPERLINK("https://lynxcrm-apac--c.eu19.visual.force.com/0011i000001xmbxAAA","Chua Chu Kang Clinic")</f>
        <v>Chua Chu Kang Clinic</v>
      </c>
      <c r="B973" t="s">
        <v>2323</v>
      </c>
      <c r="C973" t="s">
        <v>10</v>
      </c>
      <c r="D973" t="s">
        <v>8</v>
      </c>
      <c r="E973" t="s">
        <v>8</v>
      </c>
      <c r="F973" t="s">
        <v>524</v>
      </c>
      <c r="G973" t="s">
        <v>525</v>
      </c>
      <c r="H973" t="s">
        <v>526</v>
      </c>
      <c r="I973" t="s">
        <v>527</v>
      </c>
    </row>
    <row r="974" spans="1:9" x14ac:dyDescent="0.25">
      <c r="A974" s="1" t="str">
        <f>HYPERLINK("https://lynxcrm-apac--c.eu19.visual.force.com/0011i000001xmkBAAQ","Chua Clinic &amp; Surgery")</f>
        <v>Chua Clinic &amp; Surgery</v>
      </c>
      <c r="B974" t="s">
        <v>2324</v>
      </c>
      <c r="C974" t="s">
        <v>10</v>
      </c>
      <c r="D974" t="s">
        <v>8</v>
      </c>
      <c r="E974" t="s">
        <v>8</v>
      </c>
      <c r="F974" t="s">
        <v>2325</v>
      </c>
      <c r="G974" t="s">
        <v>2326</v>
      </c>
      <c r="H974" t="s">
        <v>2326</v>
      </c>
      <c r="I974" t="s">
        <v>656</v>
      </c>
    </row>
    <row r="975" spans="1:9" x14ac:dyDescent="0.25">
      <c r="A975" s="1" t="str">
        <f>HYPERLINK("https://lynxcrm-apac--c.eu19.visual.force.com/0011i000001xnOXAAY","Chua Clinic &amp; Surgery")</f>
        <v>Chua Clinic &amp; Surgery</v>
      </c>
      <c r="B975" t="s">
        <v>2327</v>
      </c>
      <c r="C975" t="s">
        <v>10</v>
      </c>
      <c r="D975" t="s">
        <v>8</v>
      </c>
      <c r="E975" t="s">
        <v>8</v>
      </c>
      <c r="F975" t="s">
        <v>2258</v>
      </c>
      <c r="G975" t="s">
        <v>2259</v>
      </c>
      <c r="H975" t="s">
        <v>2259</v>
      </c>
      <c r="I975" t="s">
        <v>2260</v>
      </c>
    </row>
    <row r="976" spans="1:9" x14ac:dyDescent="0.25">
      <c r="A976" s="1" t="str">
        <f>HYPERLINK("https://lynxcrm-apac--c.eu19.visual.force.com/0011i000007DDyjAAG","Chuah, Bingfeng Matthew")</f>
        <v>Chuah, Bingfeng Matthew</v>
      </c>
      <c r="B976" t="s">
        <v>2328</v>
      </c>
      <c r="C976" t="s">
        <v>28</v>
      </c>
      <c r="D976" t="s">
        <v>1486</v>
      </c>
      <c r="E976" t="s">
        <v>8</v>
      </c>
      <c r="F976" t="s">
        <v>1486</v>
      </c>
      <c r="G976" t="s">
        <v>1487</v>
      </c>
      <c r="H976" t="s">
        <v>1487</v>
      </c>
      <c r="I976" t="s">
        <v>1488</v>
      </c>
    </row>
    <row r="977" spans="1:9" x14ac:dyDescent="0.25">
      <c r="A977" s="1" t="str">
        <f>HYPERLINK("https://lynxcrm-apac--c.eu19.visual.force.com/0011i000001xoiMAAQ","Chuah, Chin Khang")</f>
        <v>Chuah, Chin Khang</v>
      </c>
      <c r="B977" t="s">
        <v>2329</v>
      </c>
      <c r="C977" t="s">
        <v>28</v>
      </c>
      <c r="D977" t="s">
        <v>2330</v>
      </c>
      <c r="E977" t="s">
        <v>8</v>
      </c>
      <c r="F977" t="s">
        <v>579</v>
      </c>
      <c r="G977" t="s">
        <v>2331</v>
      </c>
      <c r="H977" t="s">
        <v>2331</v>
      </c>
      <c r="I977" t="s">
        <v>581</v>
      </c>
    </row>
    <row r="978" spans="1:9" x14ac:dyDescent="0.25">
      <c r="A978" s="1" t="str">
        <f>HYPERLINK("https://lynxcrm-apac--c.eu19.visual.force.com/0011i000001xnpqAAA","Chuah, Jitt Teng")</f>
        <v>Chuah, Jitt Teng</v>
      </c>
      <c r="B978" t="s">
        <v>2332</v>
      </c>
      <c r="C978" t="s">
        <v>28</v>
      </c>
      <c r="D978" t="s">
        <v>2333</v>
      </c>
      <c r="E978" t="s">
        <v>8</v>
      </c>
      <c r="F978" t="s">
        <v>2334</v>
      </c>
      <c r="G978" t="s">
        <v>2335</v>
      </c>
      <c r="H978" t="s">
        <v>2335</v>
      </c>
      <c r="I978" t="s">
        <v>2336</v>
      </c>
    </row>
    <row r="979" spans="1:9" x14ac:dyDescent="0.25">
      <c r="A979" s="1" t="str">
        <f>HYPERLINK("https://lynxcrm-apac--c.eu19.visual.force.com/0011i000001xnpqAAA","Chuah, Jitt Teng")</f>
        <v>Chuah, Jitt Teng</v>
      </c>
      <c r="B979" t="s">
        <v>2332</v>
      </c>
      <c r="C979" t="s">
        <v>28</v>
      </c>
      <c r="D979" t="s">
        <v>2337</v>
      </c>
      <c r="E979" t="s">
        <v>8</v>
      </c>
      <c r="F979" t="s">
        <v>2338</v>
      </c>
      <c r="G979" t="s">
        <v>2339</v>
      </c>
      <c r="H979" t="s">
        <v>2339</v>
      </c>
      <c r="I979" t="s">
        <v>2340</v>
      </c>
    </row>
    <row r="980" spans="1:9" x14ac:dyDescent="0.25">
      <c r="A980" s="1" t="str">
        <f>HYPERLINK("https://lynxcrm-apac--c.eu19.visual.force.com/0011i000001xoTFAAY","Chuah, Joo Swan")</f>
        <v>Chuah, Joo Swan</v>
      </c>
      <c r="B980" t="s">
        <v>2341</v>
      </c>
      <c r="C980" t="s">
        <v>28</v>
      </c>
      <c r="D980" t="s">
        <v>550</v>
      </c>
      <c r="E980" t="s">
        <v>8</v>
      </c>
      <c r="F980" t="s">
        <v>2342</v>
      </c>
      <c r="G980" t="s">
        <v>919</v>
      </c>
      <c r="H980" t="s">
        <v>919</v>
      </c>
      <c r="I980" t="s">
        <v>554</v>
      </c>
    </row>
    <row r="981" spans="1:9" x14ac:dyDescent="0.25">
      <c r="A981" s="1" t="str">
        <f>HYPERLINK("https://lynxcrm-apac--c.eu19.visual.force.com/0011i000001xopZAAQ","Chuah, Li Li (2)")</f>
        <v>Chuah, Li Li (2)</v>
      </c>
      <c r="B981" t="s">
        <v>2343</v>
      </c>
      <c r="C981" t="s">
        <v>28</v>
      </c>
      <c r="D981" t="s">
        <v>2009</v>
      </c>
      <c r="E981" t="s">
        <v>8</v>
      </c>
      <c r="F981" t="s">
        <v>2010</v>
      </c>
      <c r="G981" t="s">
        <v>2011</v>
      </c>
      <c r="H981" t="s">
        <v>2011</v>
      </c>
      <c r="I981" t="s">
        <v>2013</v>
      </c>
    </row>
    <row r="982" spans="1:9" x14ac:dyDescent="0.25">
      <c r="A982" s="1" t="str">
        <f>HYPERLINK("https://lynxcrm-apac--c.eu19.visual.force.com/0011i00000XhmZIAAZ","Chuah, Sai Wei")</f>
        <v>Chuah, Sai Wei</v>
      </c>
      <c r="B982" t="s">
        <v>2344</v>
      </c>
      <c r="C982" t="s">
        <v>28</v>
      </c>
      <c r="D982" t="s">
        <v>2345</v>
      </c>
      <c r="E982" t="s">
        <v>8</v>
      </c>
      <c r="F982" t="s">
        <v>2346</v>
      </c>
      <c r="G982" t="s">
        <v>2346</v>
      </c>
      <c r="H982" t="s">
        <v>8</v>
      </c>
      <c r="I982" t="s">
        <v>67</v>
      </c>
    </row>
    <row r="983" spans="1:9" x14ac:dyDescent="0.25">
      <c r="A983" s="1" t="str">
        <f>HYPERLINK("https://lynxcrm-apac--c.eu19.visual.force.com/0011i000001xoiQAAQ","Chuah, Say Bah")</f>
        <v>Chuah, Say Bah</v>
      </c>
      <c r="B983" t="s">
        <v>2347</v>
      </c>
      <c r="C983" t="s">
        <v>28</v>
      </c>
      <c r="D983" t="s">
        <v>2348</v>
      </c>
      <c r="E983" t="s">
        <v>8</v>
      </c>
      <c r="F983" t="s">
        <v>2349</v>
      </c>
      <c r="G983" t="s">
        <v>2350</v>
      </c>
      <c r="H983" t="s">
        <v>2351</v>
      </c>
      <c r="I983" t="s">
        <v>2352</v>
      </c>
    </row>
    <row r="984" spans="1:9" x14ac:dyDescent="0.25">
      <c r="A984" s="1" t="str">
        <f>HYPERLINK("https://lynxcrm-apac--c.eu19.visual.force.com/0011i000001xoiSAAQ","Chuah, Seong Pyn Peter")</f>
        <v>Chuah, Seong Pyn Peter</v>
      </c>
      <c r="B984" t="s">
        <v>2353</v>
      </c>
      <c r="C984" t="s">
        <v>28</v>
      </c>
      <c r="D984" t="s">
        <v>2354</v>
      </c>
      <c r="E984" t="s">
        <v>8</v>
      </c>
      <c r="F984" t="s">
        <v>2355</v>
      </c>
      <c r="G984" t="s">
        <v>2356</v>
      </c>
      <c r="H984" t="s">
        <v>2356</v>
      </c>
      <c r="I984" t="s">
        <v>2357</v>
      </c>
    </row>
    <row r="985" spans="1:9" x14ac:dyDescent="0.25">
      <c r="A985" s="1" t="str">
        <f>HYPERLINK("https://lynxcrm-apac--c.eu19.visual.force.com/0011i000001xodDAAQ","Chuah, Wai Yee")</f>
        <v>Chuah, Wai Yee</v>
      </c>
      <c r="B985" t="s">
        <v>2358</v>
      </c>
      <c r="C985" t="s">
        <v>28</v>
      </c>
      <c r="D985" t="s">
        <v>2330</v>
      </c>
      <c r="E985" t="s">
        <v>8</v>
      </c>
      <c r="F985" t="s">
        <v>2359</v>
      </c>
      <c r="G985" t="s">
        <v>2360</v>
      </c>
      <c r="H985" t="s">
        <v>2360</v>
      </c>
      <c r="I985" t="s">
        <v>581</v>
      </c>
    </row>
    <row r="986" spans="1:9" x14ac:dyDescent="0.25">
      <c r="A986" s="1" t="str">
        <f>HYPERLINK("https://lynxcrm-apac--c.eu19.visual.force.com/0011i000001xmv0AAA","Chuah Clinic &amp; Surgery")</f>
        <v>Chuah Clinic &amp; Surgery</v>
      </c>
      <c r="B986" t="s">
        <v>2361</v>
      </c>
      <c r="C986" t="s">
        <v>10</v>
      </c>
      <c r="D986" t="s">
        <v>8</v>
      </c>
      <c r="E986" t="s">
        <v>8</v>
      </c>
      <c r="F986" t="s">
        <v>2349</v>
      </c>
      <c r="G986" t="s">
        <v>2350</v>
      </c>
      <c r="H986" t="s">
        <v>2351</v>
      </c>
      <c r="I986" t="s">
        <v>2352</v>
      </c>
    </row>
    <row r="987" spans="1:9" x14ac:dyDescent="0.25">
      <c r="A987" s="1" t="str">
        <f>HYPERLINK("https://lynxcrm-apac--c.eu19.visual.force.com/0011i000001xmuwAAA","Chua Medical Centre")</f>
        <v>Chua Medical Centre</v>
      </c>
      <c r="B987" t="s">
        <v>2362</v>
      </c>
      <c r="C987" t="s">
        <v>10</v>
      </c>
      <c r="D987" t="s">
        <v>8</v>
      </c>
      <c r="E987" t="s">
        <v>8</v>
      </c>
      <c r="F987" t="s">
        <v>2299</v>
      </c>
      <c r="G987" t="s">
        <v>2300</v>
      </c>
      <c r="H987" t="s">
        <v>2301</v>
      </c>
      <c r="I987" t="s">
        <v>2302</v>
      </c>
    </row>
    <row r="988" spans="1:9" x14ac:dyDescent="0.25">
      <c r="A988" s="1" t="str">
        <f>HYPERLINK("https://lynxcrm-apac--c.eu19.visual.force.com/0011i000001xnTSAAY","Chua Medico Clinic")</f>
        <v>Chua Medico Clinic</v>
      </c>
      <c r="B988" t="s">
        <v>2363</v>
      </c>
      <c r="C988" t="s">
        <v>10</v>
      </c>
      <c r="D988" t="s">
        <v>8</v>
      </c>
      <c r="E988" t="s">
        <v>8</v>
      </c>
      <c r="F988" t="s">
        <v>2317</v>
      </c>
      <c r="G988" t="s">
        <v>2318</v>
      </c>
      <c r="H988" t="s">
        <v>2319</v>
      </c>
      <c r="I988" t="s">
        <v>2320</v>
      </c>
    </row>
    <row r="989" spans="1:9" x14ac:dyDescent="0.25">
      <c r="A989" s="1" t="str">
        <f>HYPERLINK("https://lynxcrm-apac--c.eu19.visual.force.com/0011i000001xoKGAAY","Chuang, Hsuan Hung")</f>
        <v>Chuang, Hsuan Hung</v>
      </c>
      <c r="B989" t="s">
        <v>2364</v>
      </c>
      <c r="C989" t="s">
        <v>28</v>
      </c>
      <c r="D989" t="s">
        <v>1834</v>
      </c>
      <c r="E989" t="s">
        <v>8</v>
      </c>
      <c r="F989" t="s">
        <v>684</v>
      </c>
      <c r="G989" t="s">
        <v>121</v>
      </c>
      <c r="H989" t="s">
        <v>121</v>
      </c>
      <c r="I989" t="s">
        <v>123</v>
      </c>
    </row>
    <row r="990" spans="1:9" x14ac:dyDescent="0.25">
      <c r="A990" s="1" t="str">
        <f>HYPERLINK("https://lynxcrm-apac--c.eu19.visual.force.com/0011i000001xordAAA","Chuang, Hsuan Hung")</f>
        <v>Chuang, Hsuan Hung</v>
      </c>
      <c r="B990" t="s">
        <v>2365</v>
      </c>
      <c r="C990" t="s">
        <v>28</v>
      </c>
      <c r="D990" t="s">
        <v>1834</v>
      </c>
      <c r="E990" t="s">
        <v>8</v>
      </c>
      <c r="F990" t="s">
        <v>65</v>
      </c>
      <c r="G990" t="s">
        <v>689</v>
      </c>
      <c r="H990" t="s">
        <v>689</v>
      </c>
      <c r="I990" t="s">
        <v>67</v>
      </c>
    </row>
    <row r="991" spans="1:9" x14ac:dyDescent="0.25">
      <c r="A991" s="1" t="str">
        <f>HYPERLINK("https://lynxcrm-apac--c.eu19.visual.force.com/0011i000001xoiYAAQ","Chuang, Wei Ping")</f>
        <v>Chuang, Wei Ping</v>
      </c>
      <c r="B991" t="s">
        <v>2366</v>
      </c>
      <c r="C991" t="s">
        <v>28</v>
      </c>
      <c r="D991" t="s">
        <v>2367</v>
      </c>
      <c r="E991" t="s">
        <v>8</v>
      </c>
      <c r="F991" t="s">
        <v>2368</v>
      </c>
      <c r="G991" t="s">
        <v>2369</v>
      </c>
      <c r="H991" t="s">
        <v>2370</v>
      </c>
      <c r="I991" t="s">
        <v>2371</v>
      </c>
    </row>
    <row r="992" spans="1:9" x14ac:dyDescent="0.25">
      <c r="A992" s="1" t="str">
        <f>HYPERLINK("https://lynxcrm-apac--c.eu19.visual.force.com/0011i000001xnKZAAY","Chua Surgical Centre &amp; Endoscopic Surgery")</f>
        <v>Chua Surgical Centre &amp; Endoscopic Surgery</v>
      </c>
      <c r="B992" t="s">
        <v>2372</v>
      </c>
      <c r="C992" t="s">
        <v>10</v>
      </c>
      <c r="D992" t="s">
        <v>8</v>
      </c>
      <c r="E992" t="s">
        <v>8</v>
      </c>
      <c r="F992" t="s">
        <v>69</v>
      </c>
      <c r="G992" t="s">
        <v>2235</v>
      </c>
      <c r="H992" t="s">
        <v>2236</v>
      </c>
      <c r="I992" t="s">
        <v>67</v>
      </c>
    </row>
    <row r="993" spans="1:9" x14ac:dyDescent="0.25">
      <c r="A993" s="1" t="str">
        <f>HYPERLINK("https://lynxcrm-apac--c.eu19.visual.force.com/0011i000001xoiaAAA","Chui, Chow Yin")</f>
        <v>Chui, Chow Yin</v>
      </c>
      <c r="B993" t="s">
        <v>2373</v>
      </c>
      <c r="C993" t="s">
        <v>28</v>
      </c>
      <c r="D993" t="s">
        <v>2374</v>
      </c>
      <c r="E993" t="s">
        <v>8</v>
      </c>
      <c r="F993" t="s">
        <v>2375</v>
      </c>
      <c r="G993" t="s">
        <v>2376</v>
      </c>
      <c r="H993" t="s">
        <v>2376</v>
      </c>
      <c r="I993" t="s">
        <v>2377</v>
      </c>
    </row>
    <row r="994" spans="1:9" x14ac:dyDescent="0.25">
      <c r="A994" s="1" t="str">
        <f>HYPERLINK("https://lynxcrm-apac--c.eu19.visual.force.com/0011i000001xoibAAA","Chui, Peng Leong")</f>
        <v>Chui, Peng Leong</v>
      </c>
      <c r="B994" t="s">
        <v>2378</v>
      </c>
      <c r="C994" t="s">
        <v>28</v>
      </c>
      <c r="D994" t="s">
        <v>2379</v>
      </c>
      <c r="E994" t="s">
        <v>8</v>
      </c>
      <c r="F994" t="s">
        <v>2380</v>
      </c>
      <c r="G994" t="s">
        <v>2381</v>
      </c>
      <c r="H994" t="s">
        <v>2382</v>
      </c>
      <c r="I994" t="s">
        <v>1517</v>
      </c>
    </row>
    <row r="995" spans="1:9" x14ac:dyDescent="0.25">
      <c r="A995" s="1" t="str">
        <f>HYPERLINK("https://lynxcrm-apac--c.eu19.visual.force.com/0011i000001xoIoAAI","Chui, Peng Lum")</f>
        <v>Chui, Peng Lum</v>
      </c>
      <c r="B995" t="s">
        <v>2383</v>
      </c>
      <c r="C995" t="s">
        <v>28</v>
      </c>
      <c r="D995" t="s">
        <v>2379</v>
      </c>
      <c r="E995" t="s">
        <v>8</v>
      </c>
      <c r="F995" t="s">
        <v>2384</v>
      </c>
      <c r="G995" t="s">
        <v>2385</v>
      </c>
      <c r="H995" t="s">
        <v>2386</v>
      </c>
      <c r="I995" t="s">
        <v>2387</v>
      </c>
    </row>
    <row r="996" spans="1:9" x14ac:dyDescent="0.25">
      <c r="A996" s="1" t="str">
        <f>HYPERLINK("https://lynxcrm-apac--c.eu19.visual.force.com/0011i000001xnzzAAA","Chumpon, Chantharakulphonsa")</f>
        <v>Chumpon, Chantharakulphonsa</v>
      </c>
      <c r="B996" t="s">
        <v>2388</v>
      </c>
      <c r="C996" t="s">
        <v>28</v>
      </c>
      <c r="D996" t="s">
        <v>251</v>
      </c>
      <c r="E996" t="s">
        <v>8</v>
      </c>
      <c r="F996" t="s">
        <v>251</v>
      </c>
      <c r="G996" t="s">
        <v>252</v>
      </c>
      <c r="H996" t="s">
        <v>252</v>
      </c>
      <c r="I996" t="s">
        <v>253</v>
      </c>
    </row>
    <row r="997" spans="1:9" x14ac:dyDescent="0.25">
      <c r="A997" s="1" t="str">
        <f>HYPERLINK("https://lynxcrm-apac--c.eu19.visual.force.com/0011i000001xnzzAAA","Chumpon, Chantharakulphonsa")</f>
        <v>Chumpon, Chantharakulphonsa</v>
      </c>
      <c r="B997" t="s">
        <v>2388</v>
      </c>
      <c r="C997" t="s">
        <v>28</v>
      </c>
      <c r="D997" t="s">
        <v>251</v>
      </c>
      <c r="E997" t="s">
        <v>8</v>
      </c>
      <c r="F997" t="s">
        <v>473</v>
      </c>
      <c r="G997" t="s">
        <v>252</v>
      </c>
      <c r="H997" t="s">
        <v>858</v>
      </c>
      <c r="I997" t="s">
        <v>253</v>
      </c>
    </row>
    <row r="998" spans="1:9" x14ac:dyDescent="0.25">
      <c r="A998" s="1" t="str">
        <f>HYPERLINK("https://lynxcrm-apac--c.eu19.visual.force.com/0011i000001xno2AAA","Chung, Wan ling")</f>
        <v>Chung, Wan ling</v>
      </c>
      <c r="B998" t="s">
        <v>2389</v>
      </c>
      <c r="C998" t="s">
        <v>28</v>
      </c>
      <c r="D998" t="s">
        <v>2390</v>
      </c>
      <c r="E998" t="s">
        <v>8</v>
      </c>
      <c r="F998" t="s">
        <v>2391</v>
      </c>
      <c r="G998" t="s">
        <v>2392</v>
      </c>
      <c r="H998" t="s">
        <v>2392</v>
      </c>
      <c r="I998" t="s">
        <v>2393</v>
      </c>
    </row>
    <row r="999" spans="1:9" x14ac:dyDescent="0.25">
      <c r="A999" s="1" t="str">
        <f>HYPERLINK("https://lynxcrm-apac--c.eu19.visual.force.com/0011i00000llqqJAAQ","Chung, Wan Ling")</f>
        <v>Chung, Wan Ling</v>
      </c>
      <c r="B999" t="s">
        <v>2394</v>
      </c>
      <c r="C999" t="s">
        <v>28</v>
      </c>
      <c r="D999" t="s">
        <v>8</v>
      </c>
      <c r="E999" t="s">
        <v>8</v>
      </c>
      <c r="F999" t="s">
        <v>8</v>
      </c>
      <c r="G999" t="s">
        <v>8</v>
      </c>
      <c r="H999" t="s">
        <v>8</v>
      </c>
      <c r="I999" t="s">
        <v>8</v>
      </c>
    </row>
    <row r="1000" spans="1:9" x14ac:dyDescent="0.25">
      <c r="A1000" s="1" t="str">
        <f>HYPERLINK("https://lynxcrm-apac--c.eu19.visual.force.com/0011i000001xo9zAAA","Chung, Wei Pyng Clara")</f>
        <v>Chung, Wei Pyng Clara</v>
      </c>
      <c r="B1000" t="s">
        <v>2395</v>
      </c>
      <c r="C1000" t="s">
        <v>28</v>
      </c>
      <c r="D1000" t="s">
        <v>709</v>
      </c>
      <c r="E1000" t="s">
        <v>8</v>
      </c>
      <c r="F1000" t="s">
        <v>710</v>
      </c>
      <c r="G1000" t="s">
        <v>135</v>
      </c>
      <c r="H1000" t="s">
        <v>135</v>
      </c>
      <c r="I1000" t="s">
        <v>711</v>
      </c>
    </row>
    <row r="1001" spans="1:9" x14ac:dyDescent="0.25">
      <c r="A1001" s="1" t="str">
        <f>HYPERLINK("https://lynxcrm-apac--c.eu19.visual.force.com/0011i000001xo9zAAA","Chung, Wei Pyng Clara")</f>
        <v>Chung, Wei Pyng Clara</v>
      </c>
      <c r="B1001" t="s">
        <v>2395</v>
      </c>
      <c r="C1001" t="s">
        <v>28</v>
      </c>
      <c r="D1001" t="s">
        <v>1867</v>
      </c>
      <c r="E1001" t="s">
        <v>8</v>
      </c>
      <c r="F1001" t="s">
        <v>135</v>
      </c>
      <c r="G1001" t="s">
        <v>709</v>
      </c>
      <c r="H1001" t="s">
        <v>709</v>
      </c>
      <c r="I1001" t="s">
        <v>711</v>
      </c>
    </row>
    <row r="1002" spans="1:9" x14ac:dyDescent="0.25">
      <c r="A1002" s="1" t="str">
        <f>HYPERLINK("https://lynxcrm-apac--c.eu19.visual.force.com/0011i000001xnj8AAA","Chung, Wing Hong")</f>
        <v>Chung, Wing Hong</v>
      </c>
      <c r="B1002" t="s">
        <v>2396</v>
      </c>
      <c r="C1002" t="s">
        <v>28</v>
      </c>
      <c r="D1002" t="s">
        <v>2397</v>
      </c>
      <c r="E1002" t="s">
        <v>8</v>
      </c>
      <c r="F1002" t="s">
        <v>2398</v>
      </c>
      <c r="G1002" t="s">
        <v>2399</v>
      </c>
      <c r="H1002" t="s">
        <v>2399</v>
      </c>
      <c r="I1002" t="s">
        <v>2400</v>
      </c>
    </row>
    <row r="1003" spans="1:9" x14ac:dyDescent="0.25">
      <c r="A1003" s="1" t="str">
        <f>HYPERLINK("https://lynxcrm-apac--c.eu19.visual.force.com/0011i00000X992GAAR","Chung &amp; Ee Medical Clinic")</f>
        <v>Chung &amp; Ee Medical Clinic</v>
      </c>
      <c r="B1003" t="s">
        <v>2401</v>
      </c>
      <c r="C1003" t="s">
        <v>10</v>
      </c>
      <c r="D1003" t="s">
        <v>8</v>
      </c>
      <c r="E1003" t="s">
        <v>8</v>
      </c>
      <c r="F1003" t="s">
        <v>2402</v>
      </c>
      <c r="G1003" t="s">
        <v>902</v>
      </c>
      <c r="H1003" t="s">
        <v>8</v>
      </c>
      <c r="I1003" t="s">
        <v>2403</v>
      </c>
    </row>
    <row r="1004" spans="1:9" x14ac:dyDescent="0.25">
      <c r="A1004" s="1" t="str">
        <f>HYPERLINK("https://lynxcrm-apac--c.eu19.visual.force.com/0011i000001xnHYAAY","Chungkiaw Clinic")</f>
        <v>Chungkiaw Clinic</v>
      </c>
      <c r="B1004" t="s">
        <v>2404</v>
      </c>
      <c r="C1004" t="s">
        <v>10</v>
      </c>
      <c r="D1004" t="s">
        <v>8</v>
      </c>
      <c r="E1004" t="s">
        <v>8</v>
      </c>
      <c r="F1004" t="s">
        <v>2405</v>
      </c>
      <c r="G1004" t="s">
        <v>2405</v>
      </c>
      <c r="H1004" t="s">
        <v>8</v>
      </c>
      <c r="I1004" t="s">
        <v>2406</v>
      </c>
    </row>
    <row r="1005" spans="1:9" x14ac:dyDescent="0.25">
      <c r="A1005" s="1" t="str">
        <f>HYPERLINK("https://lynxcrm-apac--c.eu19.visual.force.com/0011i000001xoNlAAI","Chuwa, Wee Lee Esther")</f>
        <v>Chuwa, Wee Lee Esther</v>
      </c>
      <c r="B1005" t="s">
        <v>2407</v>
      </c>
      <c r="C1005" t="s">
        <v>28</v>
      </c>
      <c r="D1005" t="s">
        <v>251</v>
      </c>
      <c r="E1005" t="s">
        <v>8</v>
      </c>
      <c r="F1005" t="s">
        <v>251</v>
      </c>
      <c r="G1005" t="s">
        <v>252</v>
      </c>
      <c r="H1005" t="s">
        <v>252</v>
      </c>
      <c r="I1005" t="s">
        <v>253</v>
      </c>
    </row>
    <row r="1006" spans="1:9" x14ac:dyDescent="0.25">
      <c r="A1006" s="1" t="str">
        <f>HYPERLINK("https://lynxcrm-apac--c.eu19.visual.force.com/0011i000001xoNlAAI","Chuwa, Wee Lee Esther")</f>
        <v>Chuwa, Wee Lee Esther</v>
      </c>
      <c r="B1006" t="s">
        <v>2407</v>
      </c>
      <c r="C1006" t="s">
        <v>28</v>
      </c>
      <c r="D1006" t="s">
        <v>366</v>
      </c>
      <c r="E1006" t="s">
        <v>8</v>
      </c>
      <c r="F1006" t="s">
        <v>252</v>
      </c>
      <c r="G1006" t="s">
        <v>251</v>
      </c>
      <c r="H1006" t="s">
        <v>251</v>
      </c>
      <c r="I1006" t="s">
        <v>253</v>
      </c>
    </row>
    <row r="1007" spans="1:9" x14ac:dyDescent="0.25">
      <c r="A1007" s="1" t="str">
        <f>HYPERLINK("https://lynxcrm-apac--c.eu19.visual.force.com/0011i000001xnBUAAY","Citilife Family Clinic")</f>
        <v>Citilife Family Clinic</v>
      </c>
      <c r="B1007" t="s">
        <v>2408</v>
      </c>
      <c r="C1007" t="s">
        <v>10</v>
      </c>
      <c r="D1007" t="s">
        <v>8</v>
      </c>
      <c r="E1007" t="s">
        <v>8</v>
      </c>
      <c r="F1007" t="s">
        <v>2409</v>
      </c>
      <c r="G1007" t="s">
        <v>2410</v>
      </c>
      <c r="H1007" t="s">
        <v>2410</v>
      </c>
      <c r="I1007" t="s">
        <v>2411</v>
      </c>
    </row>
    <row r="1008" spans="1:9" x14ac:dyDescent="0.25">
      <c r="A1008" s="1" t="str">
        <f>HYPERLINK("https://lynxcrm-apac--c.eu19.visual.force.com/0011i000001xnFPAAY","Citizen Family Clinic &amp; Surgery")</f>
        <v>Citizen Family Clinic &amp; Surgery</v>
      </c>
      <c r="B1008" t="s">
        <v>2412</v>
      </c>
      <c r="C1008" t="s">
        <v>10</v>
      </c>
      <c r="D1008" t="s">
        <v>8</v>
      </c>
      <c r="E1008" t="s">
        <v>8</v>
      </c>
      <c r="F1008" t="s">
        <v>2413</v>
      </c>
      <c r="G1008" t="s">
        <v>2414</v>
      </c>
      <c r="H1008" t="s">
        <v>2415</v>
      </c>
      <c r="I1008" t="s">
        <v>2416</v>
      </c>
    </row>
    <row r="1009" spans="1:9" x14ac:dyDescent="0.25">
      <c r="A1009" s="1" t="str">
        <f>HYPERLINK("https://lynxcrm-apac--c.eu19.visual.force.com/0011i000001xnCEAAY","CityMed Health Associates Pte Ltd")</f>
        <v>CityMed Health Associates Pte Ltd</v>
      </c>
      <c r="B1009" t="s">
        <v>2417</v>
      </c>
      <c r="C1009" t="s">
        <v>10</v>
      </c>
      <c r="D1009" t="s">
        <v>8</v>
      </c>
      <c r="E1009" t="s">
        <v>8</v>
      </c>
      <c r="F1009" t="s">
        <v>1278</v>
      </c>
      <c r="G1009" t="s">
        <v>2418</v>
      </c>
      <c r="H1009" t="s">
        <v>1280</v>
      </c>
      <c r="I1009" t="s">
        <v>1281</v>
      </c>
    </row>
    <row r="1010" spans="1:9" x14ac:dyDescent="0.25">
      <c r="A1010" s="1" t="str">
        <f>HYPERLINK("https://lynxcrm-apac--c.eu19.visual.force.com/0011i000001xnVoAAI","Civic Clinic")</f>
        <v>Civic Clinic</v>
      </c>
      <c r="B1010" t="s">
        <v>2419</v>
      </c>
      <c r="C1010" t="s">
        <v>10</v>
      </c>
      <c r="D1010" t="s">
        <v>8</v>
      </c>
      <c r="E1010" t="s">
        <v>8</v>
      </c>
      <c r="F1010" t="s">
        <v>2420</v>
      </c>
      <c r="G1010" t="s">
        <v>2421</v>
      </c>
      <c r="H1010" t="s">
        <v>2422</v>
      </c>
      <c r="I1010" t="s">
        <v>2423</v>
      </c>
    </row>
    <row r="1011" spans="1:9" x14ac:dyDescent="0.25">
      <c r="A1011" s="1" t="str">
        <f>HYPERLINK("https://lynxcrm-apac--c.eu19.visual.force.com/0011i000001xnDEAAY","C K Tan Family Clinic &amp; Surgery")</f>
        <v>C K Tan Family Clinic &amp; Surgery</v>
      </c>
      <c r="B1011" t="s">
        <v>2424</v>
      </c>
      <c r="C1011" t="s">
        <v>10</v>
      </c>
      <c r="D1011" t="s">
        <v>8</v>
      </c>
      <c r="E1011" t="s">
        <v>8</v>
      </c>
      <c r="F1011" t="s">
        <v>2425</v>
      </c>
      <c r="G1011" t="s">
        <v>2426</v>
      </c>
      <c r="H1011" t="s">
        <v>2427</v>
      </c>
      <c r="I1011" t="s">
        <v>1235</v>
      </c>
    </row>
    <row r="1012" spans="1:9" x14ac:dyDescent="0.25">
      <c r="A1012" s="1" t="str">
        <f t="shared" ref="A1012:A1024" si="8">HYPERLINK("https://lynxcrm-apac--c.eu19.visual.force.com/0011i00000FG3e5AAD","Clarice Pei Hsia, Hong")</f>
        <v>Clarice Pei Hsia, Hong</v>
      </c>
      <c r="B1012" t="s">
        <v>2428</v>
      </c>
      <c r="C1012" t="s">
        <v>28</v>
      </c>
      <c r="D1012" t="s">
        <v>164</v>
      </c>
      <c r="E1012" t="s">
        <v>8</v>
      </c>
      <c r="F1012" t="s">
        <v>236</v>
      </c>
      <c r="G1012" t="s">
        <v>237</v>
      </c>
      <c r="H1012" t="s">
        <v>237</v>
      </c>
      <c r="I1012" t="s">
        <v>165</v>
      </c>
    </row>
    <row r="1013" spans="1:9" x14ac:dyDescent="0.25">
      <c r="A1013" s="1" t="str">
        <f t="shared" si="8"/>
        <v>Clarice Pei Hsia, Hong</v>
      </c>
      <c r="B1013" t="s">
        <v>2428</v>
      </c>
      <c r="C1013" t="s">
        <v>28</v>
      </c>
      <c r="D1013" t="s">
        <v>164</v>
      </c>
      <c r="E1013" t="s">
        <v>8</v>
      </c>
      <c r="F1013" t="s">
        <v>238</v>
      </c>
      <c r="G1013" t="s">
        <v>163</v>
      </c>
      <c r="H1013" t="s">
        <v>163</v>
      </c>
      <c r="I1013" t="s">
        <v>165</v>
      </c>
    </row>
    <row r="1014" spans="1:9" x14ac:dyDescent="0.25">
      <c r="A1014" s="1" t="str">
        <f t="shared" si="8"/>
        <v>Clarice Pei Hsia, Hong</v>
      </c>
      <c r="B1014" t="s">
        <v>2428</v>
      </c>
      <c r="C1014" t="s">
        <v>28</v>
      </c>
      <c r="D1014" t="s">
        <v>164</v>
      </c>
      <c r="E1014" t="s">
        <v>8</v>
      </c>
      <c r="F1014" t="s">
        <v>239</v>
      </c>
      <c r="G1014" t="s">
        <v>163</v>
      </c>
      <c r="H1014" t="s">
        <v>163</v>
      </c>
      <c r="I1014" t="s">
        <v>165</v>
      </c>
    </row>
    <row r="1015" spans="1:9" x14ac:dyDescent="0.25">
      <c r="A1015" s="1" t="str">
        <f t="shared" si="8"/>
        <v>Clarice Pei Hsia, Hong</v>
      </c>
      <c r="B1015" t="s">
        <v>2428</v>
      </c>
      <c r="C1015" t="s">
        <v>28</v>
      </c>
      <c r="D1015" t="s">
        <v>164</v>
      </c>
      <c r="E1015" t="s">
        <v>8</v>
      </c>
      <c r="F1015" t="s">
        <v>240</v>
      </c>
      <c r="G1015" t="s">
        <v>163</v>
      </c>
      <c r="H1015" t="s">
        <v>163</v>
      </c>
      <c r="I1015" t="s">
        <v>165</v>
      </c>
    </row>
    <row r="1016" spans="1:9" x14ac:dyDescent="0.25">
      <c r="A1016" s="1" t="str">
        <f t="shared" si="8"/>
        <v>Clarice Pei Hsia, Hong</v>
      </c>
      <c r="B1016" t="s">
        <v>2428</v>
      </c>
      <c r="C1016" t="s">
        <v>28</v>
      </c>
      <c r="D1016" t="s">
        <v>164</v>
      </c>
      <c r="E1016" t="s">
        <v>8</v>
      </c>
      <c r="F1016" t="s">
        <v>234</v>
      </c>
      <c r="G1016" t="s">
        <v>163</v>
      </c>
      <c r="H1016" t="s">
        <v>163</v>
      </c>
      <c r="I1016" t="s">
        <v>235</v>
      </c>
    </row>
    <row r="1017" spans="1:9" x14ac:dyDescent="0.25">
      <c r="A1017" s="1" t="str">
        <f t="shared" si="8"/>
        <v>Clarice Pei Hsia, Hong</v>
      </c>
      <c r="B1017" t="s">
        <v>2428</v>
      </c>
      <c r="C1017" t="s">
        <v>28</v>
      </c>
      <c r="D1017" t="s">
        <v>164</v>
      </c>
      <c r="E1017" t="s">
        <v>8</v>
      </c>
      <c r="F1017" t="s">
        <v>241</v>
      </c>
      <c r="G1017" t="s">
        <v>163</v>
      </c>
      <c r="H1017" t="s">
        <v>242</v>
      </c>
      <c r="I1017" t="s">
        <v>165</v>
      </c>
    </row>
    <row r="1018" spans="1:9" x14ac:dyDescent="0.25">
      <c r="A1018" s="1" t="str">
        <f t="shared" si="8"/>
        <v>Clarice Pei Hsia, Hong</v>
      </c>
      <c r="B1018" t="s">
        <v>2428</v>
      </c>
      <c r="C1018" t="s">
        <v>28</v>
      </c>
      <c r="D1018" t="s">
        <v>164</v>
      </c>
      <c r="E1018" t="s">
        <v>8</v>
      </c>
      <c r="F1018" t="s">
        <v>243</v>
      </c>
      <c r="G1018" t="s">
        <v>163</v>
      </c>
      <c r="H1018" t="s">
        <v>163</v>
      </c>
      <c r="I1018" t="s">
        <v>244</v>
      </c>
    </row>
    <row r="1019" spans="1:9" x14ac:dyDescent="0.25">
      <c r="A1019" s="1" t="str">
        <f t="shared" si="8"/>
        <v>Clarice Pei Hsia, Hong</v>
      </c>
      <c r="B1019" t="s">
        <v>2428</v>
      </c>
      <c r="C1019" t="s">
        <v>28</v>
      </c>
      <c r="D1019" t="s">
        <v>164</v>
      </c>
      <c r="E1019" t="s">
        <v>8</v>
      </c>
      <c r="F1019" t="s">
        <v>245</v>
      </c>
      <c r="G1019" t="s">
        <v>163</v>
      </c>
      <c r="H1019" t="s">
        <v>163</v>
      </c>
      <c r="I1019" t="s">
        <v>165</v>
      </c>
    </row>
    <row r="1020" spans="1:9" x14ac:dyDescent="0.25">
      <c r="A1020" s="1" t="str">
        <f t="shared" si="8"/>
        <v>Clarice Pei Hsia, Hong</v>
      </c>
      <c r="B1020" t="s">
        <v>2428</v>
      </c>
      <c r="C1020" t="s">
        <v>28</v>
      </c>
      <c r="D1020" t="s">
        <v>164</v>
      </c>
      <c r="E1020" t="s">
        <v>8</v>
      </c>
      <c r="F1020" t="s">
        <v>246</v>
      </c>
      <c r="G1020" t="s">
        <v>163</v>
      </c>
      <c r="H1020" t="s">
        <v>163</v>
      </c>
      <c r="I1020" t="s">
        <v>244</v>
      </c>
    </row>
    <row r="1021" spans="1:9" x14ac:dyDescent="0.25">
      <c r="A1021" s="1" t="str">
        <f t="shared" si="8"/>
        <v>Clarice Pei Hsia, Hong</v>
      </c>
      <c r="B1021" t="s">
        <v>2428</v>
      </c>
      <c r="C1021" t="s">
        <v>28</v>
      </c>
      <c r="D1021" t="s">
        <v>164</v>
      </c>
      <c r="E1021" t="s">
        <v>8</v>
      </c>
      <c r="F1021" t="s">
        <v>247</v>
      </c>
      <c r="G1021" t="s">
        <v>163</v>
      </c>
      <c r="H1021" t="s">
        <v>242</v>
      </c>
      <c r="I1021" t="s">
        <v>165</v>
      </c>
    </row>
    <row r="1022" spans="1:9" x14ac:dyDescent="0.25">
      <c r="A1022" s="1" t="str">
        <f t="shared" si="8"/>
        <v>Clarice Pei Hsia, Hong</v>
      </c>
      <c r="B1022" t="s">
        <v>2428</v>
      </c>
      <c r="C1022" t="s">
        <v>28</v>
      </c>
      <c r="D1022" t="s">
        <v>164</v>
      </c>
      <c r="E1022" t="s">
        <v>8</v>
      </c>
      <c r="F1022" t="s">
        <v>248</v>
      </c>
      <c r="G1022" t="s">
        <v>163</v>
      </c>
      <c r="H1022" t="s">
        <v>242</v>
      </c>
      <c r="I1022" t="s">
        <v>165</v>
      </c>
    </row>
    <row r="1023" spans="1:9" x14ac:dyDescent="0.25">
      <c r="A1023" s="1" t="str">
        <f t="shared" si="8"/>
        <v>Clarice Pei Hsia, Hong</v>
      </c>
      <c r="B1023" t="s">
        <v>2428</v>
      </c>
      <c r="C1023" t="s">
        <v>28</v>
      </c>
      <c r="D1023" t="s">
        <v>164</v>
      </c>
      <c r="E1023" t="s">
        <v>8</v>
      </c>
      <c r="F1023" t="s">
        <v>249</v>
      </c>
      <c r="G1023" t="s">
        <v>163</v>
      </c>
      <c r="H1023" t="s">
        <v>163</v>
      </c>
      <c r="I1023" t="s">
        <v>165</v>
      </c>
    </row>
    <row r="1024" spans="1:9" x14ac:dyDescent="0.25">
      <c r="A1024" s="1" t="str">
        <f t="shared" si="8"/>
        <v>Clarice Pei Hsia, Hong</v>
      </c>
      <c r="B1024" t="s">
        <v>2428</v>
      </c>
      <c r="C1024" t="s">
        <v>28</v>
      </c>
      <c r="D1024" t="s">
        <v>164</v>
      </c>
      <c r="E1024" t="s">
        <v>8</v>
      </c>
      <c r="F1024" t="s">
        <v>234</v>
      </c>
      <c r="G1024" t="s">
        <v>163</v>
      </c>
      <c r="H1024" t="s">
        <v>163</v>
      </c>
      <c r="I1024" t="s">
        <v>244</v>
      </c>
    </row>
    <row r="1025" spans="1:9" x14ac:dyDescent="0.25">
      <c r="A1025" s="1" t="str">
        <f>HYPERLINK("https://lynxcrm-apac--c.eu19.visual.force.com/0011i000001xmsaAAA","Clarke Medical")</f>
        <v>Clarke Medical</v>
      </c>
      <c r="B1025" t="s">
        <v>2429</v>
      </c>
      <c r="C1025" t="s">
        <v>10</v>
      </c>
      <c r="D1025" t="s">
        <v>8</v>
      </c>
      <c r="E1025" t="s">
        <v>8</v>
      </c>
      <c r="F1025" t="s">
        <v>2430</v>
      </c>
      <c r="G1025" t="s">
        <v>2431</v>
      </c>
      <c r="H1025" t="s">
        <v>2432</v>
      </c>
      <c r="I1025" t="s">
        <v>2433</v>
      </c>
    </row>
    <row r="1026" spans="1:9" x14ac:dyDescent="0.25">
      <c r="A1026" s="1" t="str">
        <f>HYPERLINK("https://lynxcrm-apac--c.eu19.visual.force.com/0011i000001xnb5AAA","Clementi Family Healthpoint Clinic &amp; Surgery")</f>
        <v>Clementi Family Healthpoint Clinic &amp; Surgery</v>
      </c>
      <c r="B1026" t="s">
        <v>2434</v>
      </c>
      <c r="C1026" t="s">
        <v>10</v>
      </c>
      <c r="D1026" t="s">
        <v>8</v>
      </c>
      <c r="E1026" t="s">
        <v>8</v>
      </c>
      <c r="F1026" t="s">
        <v>2435</v>
      </c>
      <c r="G1026" t="s">
        <v>2436</v>
      </c>
      <c r="H1026" t="s">
        <v>2437</v>
      </c>
      <c r="I1026" t="s">
        <v>2438</v>
      </c>
    </row>
    <row r="1027" spans="1:9" x14ac:dyDescent="0.25">
      <c r="A1027" s="1" t="str">
        <f>HYPERLINK("https://lynxcrm-apac--c.eu19.visual.force.com/0011i000001xmsWAAQ","Clementi Polyclinic")</f>
        <v>Clementi Polyclinic</v>
      </c>
      <c r="B1027" t="s">
        <v>2439</v>
      </c>
      <c r="C1027" t="s">
        <v>10</v>
      </c>
      <c r="D1027" t="s">
        <v>8</v>
      </c>
      <c r="E1027" t="s">
        <v>8</v>
      </c>
      <c r="F1027" t="s">
        <v>339</v>
      </c>
      <c r="G1027" t="s">
        <v>337</v>
      </c>
      <c r="H1027" t="s">
        <v>340</v>
      </c>
      <c r="I1027" t="s">
        <v>338</v>
      </c>
    </row>
    <row r="1028" spans="1:9" x14ac:dyDescent="0.25">
      <c r="A1028" s="1" t="str">
        <f>HYPERLINK("https://lynxcrm-apac--c.eu19.visual.force.com/0011i000001xnVRAAY","Clementi Polyclinic")</f>
        <v>Clementi Polyclinic</v>
      </c>
      <c r="B1028" t="s">
        <v>2440</v>
      </c>
      <c r="C1028" t="s">
        <v>10</v>
      </c>
      <c r="D1028" t="s">
        <v>8</v>
      </c>
      <c r="E1028" t="s">
        <v>8</v>
      </c>
      <c r="F1028" t="s">
        <v>336</v>
      </c>
      <c r="G1028" t="s">
        <v>337</v>
      </c>
      <c r="H1028" t="s">
        <v>337</v>
      </c>
      <c r="I1028" t="s">
        <v>338</v>
      </c>
    </row>
    <row r="1029" spans="1:9" x14ac:dyDescent="0.25">
      <c r="A1029" s="1" t="str">
        <f>HYPERLINK("https://lynxcrm-apac--c.eu19.visual.force.com/0011i000001xn04AAA","Clementi Polyclinic")</f>
        <v>Clementi Polyclinic</v>
      </c>
      <c r="B1029" t="s">
        <v>2441</v>
      </c>
      <c r="C1029" t="s">
        <v>10</v>
      </c>
      <c r="D1029" t="s">
        <v>8</v>
      </c>
      <c r="E1029" t="s">
        <v>8</v>
      </c>
      <c r="F1029" t="s">
        <v>339</v>
      </c>
      <c r="G1029" t="s">
        <v>337</v>
      </c>
      <c r="H1029" t="s">
        <v>340</v>
      </c>
      <c r="I1029" t="s">
        <v>338</v>
      </c>
    </row>
    <row r="1030" spans="1:9" x14ac:dyDescent="0.25">
      <c r="A1030" s="1" t="str">
        <f>HYPERLINK("https://lynxcrm-apac--c.eu19.visual.force.com/0011i000001xn05AAA","Clementi Polyclinic")</f>
        <v>Clementi Polyclinic</v>
      </c>
      <c r="B1030" t="s">
        <v>2442</v>
      </c>
      <c r="C1030" t="s">
        <v>10</v>
      </c>
      <c r="D1030" t="s">
        <v>8</v>
      </c>
      <c r="E1030" t="s">
        <v>8</v>
      </c>
      <c r="F1030" t="s">
        <v>339</v>
      </c>
      <c r="G1030" t="s">
        <v>337</v>
      </c>
      <c r="H1030" t="s">
        <v>340</v>
      </c>
      <c r="I1030" t="s">
        <v>338</v>
      </c>
    </row>
    <row r="1031" spans="1:9" x14ac:dyDescent="0.25">
      <c r="A1031" s="1" t="str">
        <f>HYPERLINK("https://lynxcrm-apac--c.eu19.visual.force.com/0011i000001xn06AAA","Clementi Polyclinic")</f>
        <v>Clementi Polyclinic</v>
      </c>
      <c r="B1031" t="s">
        <v>2443</v>
      </c>
      <c r="C1031" t="s">
        <v>10</v>
      </c>
      <c r="D1031" t="s">
        <v>8</v>
      </c>
      <c r="E1031" t="s">
        <v>8</v>
      </c>
      <c r="F1031" t="s">
        <v>339</v>
      </c>
      <c r="G1031" t="s">
        <v>337</v>
      </c>
      <c r="H1031" t="s">
        <v>340</v>
      </c>
      <c r="I1031" t="s">
        <v>338</v>
      </c>
    </row>
    <row r="1032" spans="1:9" x14ac:dyDescent="0.25">
      <c r="A1032" s="1" t="str">
        <f>HYPERLINK("https://lynxcrm-apac--c.eu19.visual.force.com/0011i000001xmbZAAQ","Clifford Dispensary")</f>
        <v>Clifford Dispensary</v>
      </c>
      <c r="B1032" t="s">
        <v>2444</v>
      </c>
      <c r="C1032" t="s">
        <v>10</v>
      </c>
      <c r="D1032" t="s">
        <v>8</v>
      </c>
      <c r="E1032" t="s">
        <v>8</v>
      </c>
      <c r="F1032" t="s">
        <v>2445</v>
      </c>
      <c r="G1032" t="s">
        <v>2446</v>
      </c>
      <c r="H1032" t="s">
        <v>2446</v>
      </c>
      <c r="I1032" t="s">
        <v>2447</v>
      </c>
    </row>
    <row r="1033" spans="1:9" x14ac:dyDescent="0.25">
      <c r="A1033" s="1" t="str">
        <f>HYPERLINK("https://lynxcrm-apac--c.eu19.visual.force.com/0011i000001xmkJAAQ","Clifford Dispensary")</f>
        <v>Clifford Dispensary</v>
      </c>
      <c r="B1033" t="s">
        <v>2448</v>
      </c>
      <c r="C1033" t="s">
        <v>10</v>
      </c>
      <c r="D1033" t="s">
        <v>8</v>
      </c>
      <c r="E1033" t="s">
        <v>8</v>
      </c>
      <c r="F1033" t="s">
        <v>679</v>
      </c>
      <c r="G1033" t="s">
        <v>2449</v>
      </c>
      <c r="H1033" t="s">
        <v>2450</v>
      </c>
      <c r="I1033" t="s">
        <v>115</v>
      </c>
    </row>
    <row r="1034" spans="1:9" x14ac:dyDescent="0.25">
      <c r="A1034" s="1" t="str">
        <f>HYPERLINK("https://lynxcrm-apac--c.eu19.visual.force.com/0011i000001xmccAAA","Clifford Dispensary")</f>
        <v>Clifford Dispensary</v>
      </c>
      <c r="B1034" t="s">
        <v>2451</v>
      </c>
      <c r="C1034" t="s">
        <v>10</v>
      </c>
      <c r="D1034" t="s">
        <v>8</v>
      </c>
      <c r="E1034" t="s">
        <v>8</v>
      </c>
      <c r="F1034" t="s">
        <v>679</v>
      </c>
      <c r="G1034" t="s">
        <v>2449</v>
      </c>
      <c r="H1034" t="s">
        <v>2449</v>
      </c>
      <c r="I1034" t="s">
        <v>115</v>
      </c>
    </row>
    <row r="1035" spans="1:9" x14ac:dyDescent="0.25">
      <c r="A1035" s="1" t="str">
        <f>HYPERLINK("https://lynxcrm-apac--c.eu19.visual.force.com/0011i000001xn9eAAA","Clifford Dispensary")</f>
        <v>Clifford Dispensary</v>
      </c>
      <c r="B1035" t="s">
        <v>2452</v>
      </c>
      <c r="C1035" t="s">
        <v>10</v>
      </c>
      <c r="D1035" t="s">
        <v>8</v>
      </c>
      <c r="E1035" t="s">
        <v>8</v>
      </c>
      <c r="F1035" t="s">
        <v>2156</v>
      </c>
      <c r="G1035" t="s">
        <v>2157</v>
      </c>
      <c r="H1035" t="s">
        <v>2157</v>
      </c>
      <c r="I1035" t="s">
        <v>2158</v>
      </c>
    </row>
    <row r="1036" spans="1:9" x14ac:dyDescent="0.25">
      <c r="A1036" s="1" t="str">
        <f>HYPERLINK("https://lynxcrm-apac--c.eu19.visual.force.com/0011i000001xn9IAAQ","Clifford Dispensary")</f>
        <v>Clifford Dispensary</v>
      </c>
      <c r="B1036" t="s">
        <v>2453</v>
      </c>
      <c r="C1036" t="s">
        <v>10</v>
      </c>
      <c r="D1036" t="s">
        <v>8</v>
      </c>
      <c r="E1036" t="s">
        <v>8</v>
      </c>
      <c r="F1036" t="s">
        <v>2156</v>
      </c>
      <c r="G1036" t="s">
        <v>2157</v>
      </c>
      <c r="H1036" t="s">
        <v>2157</v>
      </c>
      <c r="I1036" t="s">
        <v>2158</v>
      </c>
    </row>
    <row r="1037" spans="1:9" x14ac:dyDescent="0.25">
      <c r="A1037" s="1" t="str">
        <f>HYPERLINK("https://lynxcrm-apac--c.eu19.visual.force.com/0011i000001xml9AAA","Clifford Dispensary Pte Ltd")</f>
        <v>Clifford Dispensary Pte Ltd</v>
      </c>
      <c r="B1037" t="s">
        <v>2454</v>
      </c>
      <c r="C1037" t="s">
        <v>10</v>
      </c>
      <c r="D1037" t="s">
        <v>8</v>
      </c>
      <c r="E1037" t="s">
        <v>8</v>
      </c>
      <c r="F1037" t="s">
        <v>775</v>
      </c>
      <c r="G1037" t="s">
        <v>776</v>
      </c>
      <c r="H1037" t="s">
        <v>2455</v>
      </c>
      <c r="I1037" t="s">
        <v>778</v>
      </c>
    </row>
    <row r="1038" spans="1:9" x14ac:dyDescent="0.25">
      <c r="A1038" s="1" t="str">
        <f>HYPERLINK("https://lynxcrm-apac--c.eu19.visual.force.com/0011i000001xnAyAAI","Clifford Dispensary Pte Ltd")</f>
        <v>Clifford Dispensary Pte Ltd</v>
      </c>
      <c r="B1038" t="s">
        <v>2456</v>
      </c>
      <c r="C1038" t="s">
        <v>10</v>
      </c>
      <c r="D1038" t="s">
        <v>8</v>
      </c>
      <c r="E1038" t="s">
        <v>8</v>
      </c>
      <c r="F1038" t="s">
        <v>679</v>
      </c>
      <c r="G1038" t="s">
        <v>2449</v>
      </c>
      <c r="H1038" t="s">
        <v>2450</v>
      </c>
      <c r="I1038" t="s">
        <v>115</v>
      </c>
    </row>
    <row r="1039" spans="1:9" x14ac:dyDescent="0.25">
      <c r="A1039" s="1" t="str">
        <f>HYPERLINK("https://lynxcrm-apac--c.eu19.visual.force.com/0011i000001xnEVAAY","Clifford Dispensary Pte Ltd")</f>
        <v>Clifford Dispensary Pte Ltd</v>
      </c>
      <c r="B1039" t="s">
        <v>2457</v>
      </c>
      <c r="C1039" t="s">
        <v>10</v>
      </c>
      <c r="D1039" t="s">
        <v>8</v>
      </c>
      <c r="E1039" t="s">
        <v>8</v>
      </c>
      <c r="F1039" t="s">
        <v>679</v>
      </c>
      <c r="G1039" t="s">
        <v>2449</v>
      </c>
      <c r="H1039" t="s">
        <v>2449</v>
      </c>
      <c r="I1039" t="s">
        <v>2158</v>
      </c>
    </row>
    <row r="1040" spans="1:9" x14ac:dyDescent="0.25">
      <c r="A1040" s="1" t="str">
        <f>HYPERLINK("https://lynxcrm-apac--c.eu19.visual.force.com/0011i000001xnHGAAY","Clifford Dispensary Pte Ltd")</f>
        <v>Clifford Dispensary Pte Ltd</v>
      </c>
      <c r="B1040" t="s">
        <v>2458</v>
      </c>
      <c r="C1040" t="s">
        <v>10</v>
      </c>
      <c r="D1040" t="s">
        <v>8</v>
      </c>
      <c r="E1040" t="s">
        <v>8</v>
      </c>
      <c r="F1040" t="s">
        <v>775</v>
      </c>
      <c r="G1040" t="s">
        <v>776</v>
      </c>
      <c r="H1040" t="s">
        <v>777</v>
      </c>
      <c r="I1040" t="s">
        <v>778</v>
      </c>
    </row>
    <row r="1041" spans="1:9" x14ac:dyDescent="0.25">
      <c r="A1041" s="1" t="str">
        <f>HYPERLINK("https://lynxcrm-apac--c.eu19.visual.force.com/0011i000001xnFjAAI","Clinic @ Campus")</f>
        <v>Clinic @ Campus</v>
      </c>
      <c r="B1041" t="s">
        <v>2459</v>
      </c>
      <c r="C1041" t="s">
        <v>10</v>
      </c>
      <c r="D1041" t="s">
        <v>8</v>
      </c>
      <c r="E1041" t="s">
        <v>8</v>
      </c>
      <c r="F1041" t="s">
        <v>2460</v>
      </c>
      <c r="G1041" t="s">
        <v>2461</v>
      </c>
      <c r="H1041" t="s">
        <v>2461</v>
      </c>
      <c r="I1041" t="s">
        <v>2462</v>
      </c>
    </row>
    <row r="1042" spans="1:9" x14ac:dyDescent="0.25">
      <c r="A1042" s="1" t="str">
        <f>HYPERLINK("https://lynxcrm-apac--c.eu19.visual.force.com/0011i000001xnblAAA","Clinic @ Costa")</f>
        <v>Clinic @ Costa</v>
      </c>
      <c r="B1042" t="s">
        <v>2463</v>
      </c>
      <c r="C1042" t="s">
        <v>10</v>
      </c>
      <c r="D1042" t="s">
        <v>8</v>
      </c>
      <c r="E1042" t="s">
        <v>8</v>
      </c>
      <c r="F1042" t="s">
        <v>2464</v>
      </c>
      <c r="G1042" t="s">
        <v>2465</v>
      </c>
      <c r="H1042" t="s">
        <v>2465</v>
      </c>
      <c r="I1042" t="s">
        <v>2466</v>
      </c>
    </row>
    <row r="1043" spans="1:9" x14ac:dyDescent="0.25">
      <c r="A1043" s="1" t="str">
        <f>HYPERLINK("https://lynxcrm-apac--c.eu19.visual.force.com/0011i000001xmqJAAQ","Clinic 10")</f>
        <v>Clinic 10</v>
      </c>
      <c r="B1043" t="s">
        <v>2467</v>
      </c>
      <c r="C1043" t="s">
        <v>10</v>
      </c>
      <c r="D1043" t="s">
        <v>8</v>
      </c>
      <c r="E1043" t="s">
        <v>8</v>
      </c>
      <c r="F1043" t="s">
        <v>2468</v>
      </c>
      <c r="G1043" t="s">
        <v>1515</v>
      </c>
      <c r="H1043" t="s">
        <v>2469</v>
      </c>
      <c r="I1043" t="s">
        <v>2470</v>
      </c>
    </row>
    <row r="1044" spans="1:9" x14ac:dyDescent="0.25">
      <c r="A1044" s="1" t="str">
        <f>HYPERLINK("https://lynxcrm-apac--c.eu19.visual.force.com/0011i000001xnHuAAI","Clinic CP Lim Pte Ltd")</f>
        <v>Clinic CP Lim Pte Ltd</v>
      </c>
      <c r="B1044" t="s">
        <v>2471</v>
      </c>
      <c r="C1044" t="s">
        <v>10</v>
      </c>
      <c r="D1044" t="s">
        <v>8</v>
      </c>
      <c r="E1044" t="s">
        <v>8</v>
      </c>
      <c r="F1044" t="s">
        <v>781</v>
      </c>
      <c r="G1044" t="s">
        <v>2472</v>
      </c>
      <c r="H1044" t="s">
        <v>2472</v>
      </c>
      <c r="I1044" t="s">
        <v>784</v>
      </c>
    </row>
    <row r="1045" spans="1:9" x14ac:dyDescent="0.25">
      <c r="A1045" s="1" t="str">
        <f>HYPERLINK("https://lynxcrm-apac--c.eu19.visual.force.com/0011i000001xmuKAAQ","Clinic International")</f>
        <v>Clinic International</v>
      </c>
      <c r="B1045" t="s">
        <v>2473</v>
      </c>
      <c r="C1045" t="s">
        <v>10</v>
      </c>
      <c r="D1045" t="s">
        <v>8</v>
      </c>
      <c r="E1045" t="s">
        <v>8</v>
      </c>
      <c r="F1045" t="s">
        <v>2474</v>
      </c>
      <c r="G1045" t="s">
        <v>2475</v>
      </c>
      <c r="H1045" t="s">
        <v>2475</v>
      </c>
      <c r="I1045" t="s">
        <v>2142</v>
      </c>
    </row>
    <row r="1046" spans="1:9" x14ac:dyDescent="0.25">
      <c r="A1046" s="1" t="str">
        <f>HYPERLINK("https://lynxcrm-apac--c.eu19.visual.force.com/0011i000001xn1dAAA","Clinic Pharmacy Manager")</f>
        <v>Clinic Pharmacy Manager</v>
      </c>
      <c r="B1046" t="s">
        <v>2476</v>
      </c>
      <c r="C1046" t="s">
        <v>10</v>
      </c>
      <c r="D1046" t="s">
        <v>8</v>
      </c>
      <c r="E1046" t="s">
        <v>8</v>
      </c>
      <c r="F1046" t="s">
        <v>928</v>
      </c>
      <c r="G1046" t="s">
        <v>2477</v>
      </c>
      <c r="H1046" t="s">
        <v>2478</v>
      </c>
      <c r="I1046" t="s">
        <v>137</v>
      </c>
    </row>
    <row r="1047" spans="1:9" x14ac:dyDescent="0.25">
      <c r="A1047" s="1" t="str">
        <f>HYPERLINK("https://lynxcrm-apac--c.eu19.visual.force.com/0011i000001xmqCAAQ","Clinique Suisse")</f>
        <v>Clinique Suisse</v>
      </c>
      <c r="B1047" t="s">
        <v>2479</v>
      </c>
      <c r="C1047" t="s">
        <v>10</v>
      </c>
      <c r="D1047" t="s">
        <v>8</v>
      </c>
      <c r="E1047" t="s">
        <v>8</v>
      </c>
      <c r="F1047" t="s">
        <v>317</v>
      </c>
      <c r="G1047" t="s">
        <v>2480</v>
      </c>
      <c r="H1047" t="s">
        <v>2481</v>
      </c>
      <c r="I1047" t="s">
        <v>85</v>
      </c>
    </row>
    <row r="1048" spans="1:9" x14ac:dyDescent="0.25">
      <c r="A1048" s="1" t="str">
        <f>HYPERLINK("https://lynxcrm-apac--c.eu19.visual.force.com/0011i00000vwapbAAA","Clover Medical Clinic Pte Ltd")</f>
        <v>Clover Medical Clinic Pte Ltd</v>
      </c>
      <c r="B1048" t="s">
        <v>2482</v>
      </c>
      <c r="C1048" t="s">
        <v>10</v>
      </c>
      <c r="D1048" t="s">
        <v>8</v>
      </c>
      <c r="E1048" t="s">
        <v>8</v>
      </c>
      <c r="F1048" t="s">
        <v>2483</v>
      </c>
      <c r="G1048" t="s">
        <v>2484</v>
      </c>
      <c r="H1048" t="s">
        <v>8</v>
      </c>
      <c r="I1048" t="s">
        <v>2485</v>
      </c>
    </row>
    <row r="1049" spans="1:9" x14ac:dyDescent="0.25">
      <c r="A1049" s="1" t="str">
        <f>HYPERLINK("https://lynxcrm-apac--c.eu19.visual.force.com/0011i000001xmiPAAQ","Colon Rectum &amp; General Surgical Centre")</f>
        <v>Colon Rectum &amp; General Surgical Centre</v>
      </c>
      <c r="B1049" t="s">
        <v>2486</v>
      </c>
      <c r="C1049" t="s">
        <v>10</v>
      </c>
      <c r="D1049" t="s">
        <v>8</v>
      </c>
      <c r="E1049" t="s">
        <v>8</v>
      </c>
      <c r="F1049" t="s">
        <v>377</v>
      </c>
      <c r="G1049" t="s">
        <v>2487</v>
      </c>
      <c r="H1049" t="s">
        <v>2488</v>
      </c>
      <c r="I1049" t="s">
        <v>123</v>
      </c>
    </row>
    <row r="1050" spans="1:9" x14ac:dyDescent="0.25">
      <c r="A1050" s="1" t="str">
        <f>HYPERLINK("https://lynxcrm-apac--c.eu19.visual.force.com/0011i000001xmyFAAQ","Colorectal Surgeons, Inc Pte Ltd")</f>
        <v>Colorectal Surgeons, Inc Pte Ltd</v>
      </c>
      <c r="B1050" t="s">
        <v>2489</v>
      </c>
      <c r="C1050" t="s">
        <v>10</v>
      </c>
      <c r="D1050" t="s">
        <v>8</v>
      </c>
      <c r="E1050" t="s">
        <v>8</v>
      </c>
      <c r="F1050" t="s">
        <v>2490</v>
      </c>
      <c r="G1050" t="s">
        <v>2491</v>
      </c>
      <c r="H1050" t="s">
        <v>2491</v>
      </c>
      <c r="I1050" t="s">
        <v>344</v>
      </c>
    </row>
    <row r="1051" spans="1:9" x14ac:dyDescent="0.25">
      <c r="A1051" s="1" t="str">
        <f>HYPERLINK("https://lynxcrm-apac--c.eu19.visual.force.com/0011i000001xmwKAAQ","Community Medical Clinic")</f>
        <v>Community Medical Clinic</v>
      </c>
      <c r="B1051" t="s">
        <v>2492</v>
      </c>
      <c r="C1051" t="s">
        <v>10</v>
      </c>
      <c r="D1051" t="s">
        <v>8</v>
      </c>
      <c r="E1051" t="s">
        <v>8</v>
      </c>
      <c r="F1051" t="s">
        <v>2493</v>
      </c>
      <c r="G1051" t="s">
        <v>2494</v>
      </c>
      <c r="H1051" t="s">
        <v>2494</v>
      </c>
      <c r="I1051" t="s">
        <v>954</v>
      </c>
    </row>
    <row r="1052" spans="1:9" x14ac:dyDescent="0.25">
      <c r="A1052" s="1" t="str">
        <f>HYPERLINK("https://lynxcrm-apac--c.eu19.visual.force.com/0011i000001xoTEAAY","Community Pharmacy")</f>
        <v>Community Pharmacy</v>
      </c>
      <c r="B1052" t="s">
        <v>2495</v>
      </c>
      <c r="C1052" t="s">
        <v>28</v>
      </c>
      <c r="D1052" t="s">
        <v>2496</v>
      </c>
      <c r="E1052" t="s">
        <v>8</v>
      </c>
      <c r="F1052" t="s">
        <v>2496</v>
      </c>
      <c r="G1052" t="s">
        <v>2497</v>
      </c>
      <c r="H1052" t="s">
        <v>2497</v>
      </c>
      <c r="I1052" t="s">
        <v>1364</v>
      </c>
    </row>
    <row r="1053" spans="1:9" x14ac:dyDescent="0.25">
      <c r="A1053" s="1" t="str">
        <f>HYPERLINK("https://lynxcrm-apac--c.eu19.visual.force.com/0011i000001xmlzAAA","Compassvale 297A Medical Clinic")</f>
        <v>Compassvale 297A Medical Clinic</v>
      </c>
      <c r="B1053" t="s">
        <v>2498</v>
      </c>
      <c r="C1053" t="s">
        <v>10</v>
      </c>
      <c r="D1053" t="s">
        <v>8</v>
      </c>
      <c r="E1053" t="s">
        <v>8</v>
      </c>
      <c r="F1053" t="s">
        <v>2499</v>
      </c>
      <c r="G1053" t="s">
        <v>2465</v>
      </c>
      <c r="H1053" t="s">
        <v>2465</v>
      </c>
      <c r="I1053" t="s">
        <v>2500</v>
      </c>
    </row>
    <row r="1054" spans="1:9" x14ac:dyDescent="0.25">
      <c r="A1054" s="1" t="str">
        <f>HYPERLINK("https://lynxcrm-apac--c.eu19.visual.force.com/0011i000001xnPBAAY","Complete Healthcare Internationals")</f>
        <v>Complete Healthcare Internationals</v>
      </c>
      <c r="B1054" t="s">
        <v>2501</v>
      </c>
      <c r="C1054" t="s">
        <v>10</v>
      </c>
      <c r="D1054" t="s">
        <v>8</v>
      </c>
      <c r="E1054" t="s">
        <v>8</v>
      </c>
      <c r="F1054" t="s">
        <v>820</v>
      </c>
      <c r="G1054" t="s">
        <v>820</v>
      </c>
      <c r="H1054" t="s">
        <v>821</v>
      </c>
      <c r="I1054" t="s">
        <v>822</v>
      </c>
    </row>
    <row r="1055" spans="1:9" x14ac:dyDescent="0.25">
      <c r="A1055" s="1" t="str">
        <f>HYPERLINK("https://lynxcrm-apac--c.eu19.visual.force.com/0011i000001xo49AAA","Cordez, Sherry Hugo")</f>
        <v>Cordez, Sherry Hugo</v>
      </c>
      <c r="B1055" t="s">
        <v>2502</v>
      </c>
      <c r="C1055" t="s">
        <v>28</v>
      </c>
      <c r="D1055" t="s">
        <v>54</v>
      </c>
      <c r="E1055" t="s">
        <v>8</v>
      </c>
      <c r="F1055" t="s">
        <v>1225</v>
      </c>
      <c r="G1055" t="s">
        <v>1225</v>
      </c>
      <c r="H1055" t="s">
        <v>1226</v>
      </c>
      <c r="I1055" t="s">
        <v>55</v>
      </c>
    </row>
    <row r="1056" spans="1:9" x14ac:dyDescent="0.25">
      <c r="A1056" s="1" t="str">
        <f>HYPERLINK("https://lynxcrm-apac--c.eu19.visual.force.com/0011i000001xo49AAA","Cordez, Sherry Hugo")</f>
        <v>Cordez, Sherry Hugo</v>
      </c>
      <c r="B1056" t="s">
        <v>2502</v>
      </c>
      <c r="C1056" t="s">
        <v>28</v>
      </c>
      <c r="D1056" t="s">
        <v>54</v>
      </c>
      <c r="E1056" t="s">
        <v>8</v>
      </c>
      <c r="F1056" t="s">
        <v>1225</v>
      </c>
      <c r="G1056" t="s">
        <v>1225</v>
      </c>
      <c r="H1056" t="s">
        <v>8</v>
      </c>
      <c r="I1056" t="s">
        <v>55</v>
      </c>
    </row>
    <row r="1057" spans="1:9" x14ac:dyDescent="0.25">
      <c r="A1057" s="1" t="str">
        <f>HYPERLINK("https://lynxcrm-apac--c.eu19.visual.force.com/0011i000001xn5aAAA","Corporate Medical Centre")</f>
        <v>Corporate Medical Centre</v>
      </c>
      <c r="B1057" t="s">
        <v>2503</v>
      </c>
      <c r="C1057" t="s">
        <v>10</v>
      </c>
      <c r="D1057" t="s">
        <v>8</v>
      </c>
      <c r="E1057" t="s">
        <v>8</v>
      </c>
      <c r="F1057" t="s">
        <v>891</v>
      </c>
      <c r="G1057" t="s">
        <v>892</v>
      </c>
      <c r="H1057" t="s">
        <v>893</v>
      </c>
      <c r="I1057" t="s">
        <v>894</v>
      </c>
    </row>
    <row r="1058" spans="1:9" x14ac:dyDescent="0.25">
      <c r="A1058" s="1" t="str">
        <f>HYPERLINK("https://lynxcrm-apac--c.eu19.visual.force.com/0011i000001xmbkAAA","Corporation Clinic")</f>
        <v>Corporation Clinic</v>
      </c>
      <c r="B1058" t="s">
        <v>2504</v>
      </c>
      <c r="C1058" t="s">
        <v>10</v>
      </c>
      <c r="D1058" t="s">
        <v>8</v>
      </c>
      <c r="E1058" t="s">
        <v>8</v>
      </c>
      <c r="F1058" t="s">
        <v>1514</v>
      </c>
      <c r="G1058" t="s">
        <v>1348</v>
      </c>
      <c r="H1058" t="s">
        <v>1348</v>
      </c>
      <c r="I1058" t="s">
        <v>1517</v>
      </c>
    </row>
    <row r="1059" spans="1:9" x14ac:dyDescent="0.25">
      <c r="A1059" s="1" t="str">
        <f>HYPERLINK("https://lynxcrm-apac--c.eu19.visual.force.com/0011i000001xn3SAAQ","Cosmas Chen General Surgery &amp; Vascular Centre Pte Ltd")</f>
        <v>Cosmas Chen General Surgery &amp; Vascular Centre Pte Ltd</v>
      </c>
      <c r="B1059" t="s">
        <v>2505</v>
      </c>
      <c r="C1059" t="s">
        <v>10</v>
      </c>
      <c r="D1059" t="s">
        <v>8</v>
      </c>
      <c r="E1059" t="s">
        <v>8</v>
      </c>
      <c r="F1059" t="s">
        <v>202</v>
      </c>
      <c r="G1059" t="s">
        <v>2506</v>
      </c>
      <c r="H1059" t="s">
        <v>2507</v>
      </c>
      <c r="I1059" t="s">
        <v>200</v>
      </c>
    </row>
    <row r="1060" spans="1:9" x14ac:dyDescent="0.25">
      <c r="A1060" s="1" t="str">
        <f>HYPERLINK("https://lynxcrm-apac--c.eu19.visual.force.com/0011i000001xnBEAAY","Cough &amp; Chest Specialist")</f>
        <v>Cough &amp; Chest Specialist</v>
      </c>
      <c r="B1060" t="s">
        <v>2508</v>
      </c>
      <c r="C1060" t="s">
        <v>10</v>
      </c>
      <c r="D1060" t="s">
        <v>8</v>
      </c>
      <c r="E1060" t="s">
        <v>8</v>
      </c>
      <c r="F1060" t="s">
        <v>373</v>
      </c>
      <c r="G1060" t="s">
        <v>1296</v>
      </c>
      <c r="H1060" t="s">
        <v>1297</v>
      </c>
      <c r="I1060" t="s">
        <v>123</v>
      </c>
    </row>
    <row r="1061" spans="1:9" x14ac:dyDescent="0.25">
      <c r="A1061" s="1" t="str">
        <f>HYPERLINK("https://lynxcrm-apac--c.eu19.visual.force.com/0011i000001xnXeAAI","Countryside Clinic &amp; Surgery")</f>
        <v>Countryside Clinic &amp; Surgery</v>
      </c>
      <c r="B1061" t="s">
        <v>2509</v>
      </c>
      <c r="C1061" t="s">
        <v>10</v>
      </c>
      <c r="D1061" t="s">
        <v>8</v>
      </c>
      <c r="E1061" t="s">
        <v>8</v>
      </c>
      <c r="F1061" t="s">
        <v>2510</v>
      </c>
      <c r="G1061" t="s">
        <v>2511</v>
      </c>
      <c r="H1061" t="s">
        <v>2511</v>
      </c>
      <c r="I1061" t="s">
        <v>18</v>
      </c>
    </row>
    <row r="1062" spans="1:9" x14ac:dyDescent="0.25">
      <c r="A1062" s="1" t="str">
        <f>HYPERLINK("https://lynxcrm-apac--c.eu19.visual.force.com/0011i000001xnABAAY","Crawfurd Medical")</f>
        <v>Crawfurd Medical</v>
      </c>
      <c r="B1062" t="s">
        <v>2512</v>
      </c>
      <c r="C1062" t="s">
        <v>10</v>
      </c>
      <c r="D1062" t="s">
        <v>8</v>
      </c>
      <c r="E1062" t="s">
        <v>8</v>
      </c>
      <c r="F1062" t="s">
        <v>881</v>
      </c>
      <c r="G1062" t="s">
        <v>1574</v>
      </c>
      <c r="H1062" t="s">
        <v>1574</v>
      </c>
      <c r="I1062" t="s">
        <v>883</v>
      </c>
    </row>
    <row r="1063" spans="1:9" x14ac:dyDescent="0.25">
      <c r="A1063" s="1" t="str">
        <f>HYPERLINK("https://lynxcrm-apac--c.eu19.visual.force.com/0011i000001xn8yAAA","Crescent Clinic &amp; Dental Surgery")</f>
        <v>Crescent Clinic &amp; Dental Surgery</v>
      </c>
      <c r="B1063" t="s">
        <v>2513</v>
      </c>
      <c r="C1063" t="s">
        <v>10</v>
      </c>
      <c r="D1063" t="s">
        <v>8</v>
      </c>
      <c r="E1063" t="s">
        <v>8</v>
      </c>
      <c r="F1063" t="s">
        <v>2514</v>
      </c>
      <c r="G1063" t="s">
        <v>2515</v>
      </c>
      <c r="H1063" t="s">
        <v>2515</v>
      </c>
      <c r="I1063" t="s">
        <v>2516</v>
      </c>
    </row>
    <row r="1064" spans="1:9" x14ac:dyDescent="0.25">
      <c r="A1064" s="1" t="str">
        <f>HYPERLINK("https://lynxcrm-apac--c.eu19.visual.force.com/0011i00000UMnHvAAL","Crossroad Clinic")</f>
        <v>Crossroad Clinic</v>
      </c>
      <c r="B1064" t="s">
        <v>2517</v>
      </c>
      <c r="C1064" t="s">
        <v>10</v>
      </c>
      <c r="D1064" t="s">
        <v>8</v>
      </c>
      <c r="E1064" t="s">
        <v>8</v>
      </c>
      <c r="F1064" t="s">
        <v>2518</v>
      </c>
      <c r="G1064" t="s">
        <v>2519</v>
      </c>
      <c r="H1064" t="s">
        <v>8</v>
      </c>
      <c r="I1064" t="s">
        <v>2520</v>
      </c>
    </row>
    <row r="1065" spans="1:9" x14ac:dyDescent="0.25">
      <c r="A1065" s="1" t="str">
        <f>HYPERLINK("https://lynxcrm-apac--c.eu19.visual.force.com/0011i00000Xf145AAB","Curie Oncology")</f>
        <v>Curie Oncology</v>
      </c>
      <c r="B1065" t="s">
        <v>2521</v>
      </c>
      <c r="C1065" t="s">
        <v>10</v>
      </c>
      <c r="D1065" t="s">
        <v>8</v>
      </c>
      <c r="E1065" t="s">
        <v>8</v>
      </c>
      <c r="F1065" t="s">
        <v>2522</v>
      </c>
      <c r="G1065" t="s">
        <v>2523</v>
      </c>
      <c r="H1065" t="s">
        <v>8</v>
      </c>
      <c r="I1065" t="s">
        <v>344</v>
      </c>
    </row>
    <row r="1066" spans="1:9" x14ac:dyDescent="0.25">
      <c r="A1066" s="1" t="str">
        <f>HYPERLINK("https://lynxcrm-apac--c.eu19.visual.force.com/0011i00000Xf146AAB","CURIE Oncology")</f>
        <v>CURIE Oncology</v>
      </c>
      <c r="B1066" t="s">
        <v>2524</v>
      </c>
      <c r="C1066" t="s">
        <v>10</v>
      </c>
      <c r="D1066" t="s">
        <v>8</v>
      </c>
      <c r="E1066" t="s">
        <v>8</v>
      </c>
      <c r="F1066" t="s">
        <v>2525</v>
      </c>
      <c r="G1066" t="s">
        <v>2526</v>
      </c>
      <c r="H1066" t="s">
        <v>8</v>
      </c>
      <c r="I1066" t="s">
        <v>344</v>
      </c>
    </row>
    <row r="1067" spans="1:9" x14ac:dyDescent="0.25">
      <c r="A1067" s="1" t="str">
        <f>HYPERLINK("https://lynxcrm-apac--c.eu19.visual.force.com/0011i000001xoihAAA","Da Costa, Joel Luis")</f>
        <v>Da Costa, Joel Luis</v>
      </c>
      <c r="B1067" t="s">
        <v>2527</v>
      </c>
      <c r="C1067" t="s">
        <v>28</v>
      </c>
      <c r="D1067" t="s">
        <v>2528</v>
      </c>
      <c r="E1067" t="s">
        <v>8</v>
      </c>
      <c r="F1067" t="s">
        <v>1688</v>
      </c>
      <c r="G1067" t="s">
        <v>1689</v>
      </c>
      <c r="H1067" t="s">
        <v>1689</v>
      </c>
      <c r="I1067" t="s">
        <v>1691</v>
      </c>
    </row>
    <row r="1068" spans="1:9" x14ac:dyDescent="0.25">
      <c r="A1068" s="1" t="str">
        <f>HYPERLINK("https://lynxcrm-apac--c.eu19.visual.force.com/0011i000001xnb8AAA","Daily Medical Centre")</f>
        <v>Daily Medical Centre</v>
      </c>
      <c r="B1068" t="s">
        <v>2529</v>
      </c>
      <c r="C1068" t="s">
        <v>10</v>
      </c>
      <c r="D1068" t="s">
        <v>8</v>
      </c>
      <c r="E1068" t="s">
        <v>8</v>
      </c>
      <c r="F1068" t="s">
        <v>2530</v>
      </c>
      <c r="G1068" t="s">
        <v>833</v>
      </c>
      <c r="H1068" t="s">
        <v>2531</v>
      </c>
      <c r="I1068" t="s">
        <v>2532</v>
      </c>
    </row>
    <row r="1069" spans="1:9" x14ac:dyDescent="0.25">
      <c r="A1069" s="1" t="str">
        <f>HYPERLINK("https://lynxcrm-apac--c.eu19.visual.force.com/0011i000001xnarAAA","Daniel Wai Diabetes Thyroid &amp; Hormone Clinic")</f>
        <v>Daniel Wai Diabetes Thyroid &amp; Hormone Clinic</v>
      </c>
      <c r="B1069" t="s">
        <v>2533</v>
      </c>
      <c r="C1069" t="s">
        <v>10</v>
      </c>
      <c r="D1069" t="s">
        <v>8</v>
      </c>
      <c r="E1069" t="s">
        <v>8</v>
      </c>
      <c r="F1069" t="s">
        <v>2534</v>
      </c>
      <c r="G1069" t="s">
        <v>121</v>
      </c>
      <c r="H1069" t="s">
        <v>2535</v>
      </c>
      <c r="I1069" t="s">
        <v>123</v>
      </c>
    </row>
    <row r="1070" spans="1:9" x14ac:dyDescent="0.25">
      <c r="A1070" s="1" t="str">
        <f>HYPERLINK("https://lynxcrm-apac--c.eu19.visual.force.com/0011i000001xmtbAAA","Dapartment of Pharmacy")</f>
        <v>Dapartment of Pharmacy</v>
      </c>
      <c r="B1070" t="s">
        <v>2536</v>
      </c>
      <c r="C1070" t="s">
        <v>10</v>
      </c>
      <c r="D1070" t="s">
        <v>8</v>
      </c>
      <c r="E1070" t="s">
        <v>8</v>
      </c>
      <c r="F1070" t="s">
        <v>258</v>
      </c>
      <c r="G1070" t="s">
        <v>261</v>
      </c>
      <c r="H1070" t="s">
        <v>261</v>
      </c>
      <c r="I1070" t="s">
        <v>260</v>
      </c>
    </row>
    <row r="1071" spans="1:9" x14ac:dyDescent="0.25">
      <c r="A1071" s="1" t="str">
        <f>HYPERLINK("https://lynxcrm-apac--c.eu19.visual.force.com/0011i00000FF6yOAAT","Darren Koh")</f>
        <v>Darren Koh</v>
      </c>
      <c r="B1071" t="s">
        <v>2537</v>
      </c>
      <c r="C1071" t="s">
        <v>10</v>
      </c>
      <c r="D1071" t="s">
        <v>959</v>
      </c>
      <c r="E1071" t="s">
        <v>8</v>
      </c>
      <c r="F1071" t="s">
        <v>959</v>
      </c>
      <c r="G1071" t="s">
        <v>960</v>
      </c>
      <c r="H1071" t="s">
        <v>8</v>
      </c>
      <c r="I1071" t="s">
        <v>961</v>
      </c>
    </row>
    <row r="1072" spans="1:9" x14ac:dyDescent="0.25">
      <c r="A1072" s="1" t="str">
        <f>HYPERLINK("https://lynxcrm-apac--c.eu19.visual.force.com/0011i000001xoXwAAI","Das, De Syamal")</f>
        <v>Das, De Syamal</v>
      </c>
      <c r="B1072" t="s">
        <v>2538</v>
      </c>
      <c r="C1072" t="s">
        <v>28</v>
      </c>
      <c r="D1072" t="s">
        <v>1737</v>
      </c>
      <c r="E1072" t="s">
        <v>8</v>
      </c>
      <c r="F1072" t="s">
        <v>2539</v>
      </c>
      <c r="G1072" t="s">
        <v>2540</v>
      </c>
      <c r="H1072" t="s">
        <v>2541</v>
      </c>
      <c r="I1072" t="s">
        <v>2542</v>
      </c>
    </row>
    <row r="1073" spans="1:9" x14ac:dyDescent="0.25">
      <c r="A1073" s="1" t="str">
        <f>HYPERLINK("https://lynxcrm-apac--c.eu19.visual.force.com/0011i000001xoRXAAY","Davamani")</f>
        <v>Davamani</v>
      </c>
      <c r="B1073" t="s">
        <v>2543</v>
      </c>
      <c r="C1073" t="s">
        <v>28</v>
      </c>
      <c r="D1073" t="s">
        <v>520</v>
      </c>
      <c r="E1073" t="s">
        <v>8</v>
      </c>
      <c r="F1073" t="s">
        <v>90</v>
      </c>
      <c r="G1073" t="s">
        <v>521</v>
      </c>
      <c r="H1073" t="s">
        <v>521</v>
      </c>
      <c r="I1073" t="s">
        <v>92</v>
      </c>
    </row>
    <row r="1074" spans="1:9" x14ac:dyDescent="0.25">
      <c r="A1074" s="1" t="str">
        <f>HYPERLINK("https://lynxcrm-apac--c.eu19.visual.force.com/0011i000001xngQAAQ","David, Carmody")</f>
        <v>David, Carmody</v>
      </c>
      <c r="B1074" t="s">
        <v>2544</v>
      </c>
      <c r="C1074" t="s">
        <v>28</v>
      </c>
      <c r="D1074" t="s">
        <v>251</v>
      </c>
      <c r="E1074" t="s">
        <v>8</v>
      </c>
      <c r="F1074" t="s">
        <v>251</v>
      </c>
      <c r="G1074" t="s">
        <v>252</v>
      </c>
      <c r="H1074" t="s">
        <v>252</v>
      </c>
      <c r="I1074" t="s">
        <v>253</v>
      </c>
    </row>
    <row r="1075" spans="1:9" x14ac:dyDescent="0.25">
      <c r="A1075" s="1" t="str">
        <f>HYPERLINK("https://lynxcrm-apac--c.eu19.visual.force.com/0011i000001xn0gAAA","David Tan Medical Aesthetics")</f>
        <v>David Tan Medical Aesthetics</v>
      </c>
      <c r="B1075" t="s">
        <v>2545</v>
      </c>
      <c r="C1075" t="s">
        <v>10</v>
      </c>
      <c r="D1075" t="s">
        <v>8</v>
      </c>
      <c r="E1075" t="s">
        <v>8</v>
      </c>
      <c r="F1075" t="s">
        <v>2546</v>
      </c>
      <c r="G1075" t="s">
        <v>2547</v>
      </c>
      <c r="H1075" t="s">
        <v>2548</v>
      </c>
      <c r="I1075" t="s">
        <v>543</v>
      </c>
    </row>
    <row r="1076" spans="1:9" x14ac:dyDescent="0.25">
      <c r="A1076" s="1" t="str">
        <f>HYPERLINK("https://lynxcrm-apac--c.eu19.visual.force.com/0011i000001xn0NAAQ","Dawson Medical Clinic")</f>
        <v>Dawson Medical Clinic</v>
      </c>
      <c r="B1076" t="s">
        <v>2549</v>
      </c>
      <c r="C1076" t="s">
        <v>10</v>
      </c>
      <c r="D1076" t="s">
        <v>8</v>
      </c>
      <c r="E1076" t="s">
        <v>8</v>
      </c>
      <c r="F1076" t="s">
        <v>2550</v>
      </c>
      <c r="G1076" t="s">
        <v>944</v>
      </c>
      <c r="H1076" t="s">
        <v>944</v>
      </c>
      <c r="I1076" t="s">
        <v>2551</v>
      </c>
    </row>
    <row r="1077" spans="1:9" x14ac:dyDescent="0.25">
      <c r="A1077" s="1" t="str">
        <f>HYPERLINK("https://lynxcrm-apac--c.eu19.visual.force.com/0011i000001xncrAAA","Dawson Place Clinic")</f>
        <v>Dawson Place Clinic</v>
      </c>
      <c r="B1077" t="s">
        <v>2552</v>
      </c>
      <c r="C1077" t="s">
        <v>10</v>
      </c>
      <c r="D1077" t="s">
        <v>8</v>
      </c>
      <c r="E1077" t="s">
        <v>8</v>
      </c>
      <c r="F1077" t="s">
        <v>2090</v>
      </c>
      <c r="G1077" t="s">
        <v>356</v>
      </c>
      <c r="H1077" t="s">
        <v>356</v>
      </c>
      <c r="I1077" t="s">
        <v>357</v>
      </c>
    </row>
    <row r="1078" spans="1:9" x14ac:dyDescent="0.25">
      <c r="A1078" s="1" t="str">
        <f>HYPERLINK("https://lynxcrm-apac--c.eu19.visual.force.com/0011i000001xnMrAAI","Dayspring Medical Clinic")</f>
        <v>Dayspring Medical Clinic</v>
      </c>
      <c r="B1078" t="s">
        <v>2553</v>
      </c>
      <c r="C1078" t="s">
        <v>10</v>
      </c>
      <c r="D1078" t="s">
        <v>8</v>
      </c>
      <c r="E1078" t="s">
        <v>8</v>
      </c>
      <c r="F1078" t="s">
        <v>2554</v>
      </c>
      <c r="G1078" t="s">
        <v>1881</v>
      </c>
      <c r="H1078" t="s">
        <v>1881</v>
      </c>
      <c r="I1078" t="s">
        <v>1883</v>
      </c>
    </row>
    <row r="1079" spans="1:9" x14ac:dyDescent="0.25">
      <c r="A1079" s="1" t="str">
        <f>HYPERLINK("https://lynxcrm-apac--c.eu19.visual.force.com/0011i000001xn1uAAA","Dayspring Medical Clinic Pte Ltd")</f>
        <v>Dayspring Medical Clinic Pte Ltd</v>
      </c>
      <c r="B1079" t="s">
        <v>2555</v>
      </c>
      <c r="C1079" t="s">
        <v>10</v>
      </c>
      <c r="D1079" t="s">
        <v>8</v>
      </c>
      <c r="E1079" t="s">
        <v>8</v>
      </c>
      <c r="F1079" t="s">
        <v>1880</v>
      </c>
      <c r="G1079" t="s">
        <v>1881</v>
      </c>
      <c r="H1079" t="s">
        <v>1882</v>
      </c>
      <c r="I1079" t="s">
        <v>1883</v>
      </c>
    </row>
    <row r="1080" spans="1:9" x14ac:dyDescent="0.25">
      <c r="A1080" s="1" t="str">
        <f>HYPERLINK("https://lynxcrm-apac--c.eu19.visual.force.com/0011i000001xokyAAA","Deepa, Govindasamy")</f>
        <v>Deepa, Govindasamy</v>
      </c>
      <c r="B1080" t="s">
        <v>2556</v>
      </c>
      <c r="C1080" t="s">
        <v>28</v>
      </c>
      <c r="D1080" t="s">
        <v>516</v>
      </c>
      <c r="E1080" t="s">
        <v>8</v>
      </c>
      <c r="F1080" t="s">
        <v>517</v>
      </c>
      <c r="G1080" t="s">
        <v>517</v>
      </c>
      <c r="H1080" t="s">
        <v>8</v>
      </c>
      <c r="I1080" t="s">
        <v>518</v>
      </c>
    </row>
    <row r="1081" spans="1:9" x14ac:dyDescent="0.25">
      <c r="A1081" s="1" t="str">
        <f>HYPERLINK("https://lynxcrm-apac--c.eu19.visual.force.com/0011i000001xoCXAAY","Deepak, Doddabele Srinivas")</f>
        <v>Deepak, Doddabele Srinivas</v>
      </c>
      <c r="B1081" t="s">
        <v>2557</v>
      </c>
      <c r="C1081" t="s">
        <v>28</v>
      </c>
      <c r="D1081" t="s">
        <v>429</v>
      </c>
      <c r="E1081" t="s">
        <v>8</v>
      </c>
      <c r="F1081" t="s">
        <v>246</v>
      </c>
      <c r="G1081" t="s">
        <v>428</v>
      </c>
      <c r="H1081" t="s">
        <v>428</v>
      </c>
      <c r="I1081" t="s">
        <v>430</v>
      </c>
    </row>
    <row r="1082" spans="1:9" x14ac:dyDescent="0.25">
      <c r="A1082" s="1" t="str">
        <f>HYPERLINK("https://lynxcrm-apac--c.eu19.visual.force.com/0011i000001xoCXAAY","Deepak, Doddabele Srinivas")</f>
        <v>Deepak, Doddabele Srinivas</v>
      </c>
      <c r="B1082" t="s">
        <v>2557</v>
      </c>
      <c r="C1082" t="s">
        <v>28</v>
      </c>
      <c r="D1082" t="s">
        <v>429</v>
      </c>
      <c r="E1082" t="s">
        <v>8</v>
      </c>
      <c r="F1082" t="s">
        <v>429</v>
      </c>
      <c r="G1082" t="s">
        <v>428</v>
      </c>
      <c r="H1082" t="s">
        <v>428</v>
      </c>
      <c r="I1082" t="s">
        <v>430</v>
      </c>
    </row>
    <row r="1083" spans="1:9" x14ac:dyDescent="0.25">
      <c r="A1083" s="1" t="str">
        <f>HYPERLINK("https://lynxcrm-apac--c.eu19.visual.force.com/0011i00000Xf1HdAAJ","de Mel, Sanjay")</f>
        <v>de Mel, Sanjay</v>
      </c>
      <c r="B1083" t="s">
        <v>2558</v>
      </c>
      <c r="C1083" t="s">
        <v>28</v>
      </c>
      <c r="D1083" t="s">
        <v>429</v>
      </c>
      <c r="E1083" t="s">
        <v>8</v>
      </c>
      <c r="F1083" t="s">
        <v>594</v>
      </c>
      <c r="G1083" t="s">
        <v>595</v>
      </c>
      <c r="H1083" t="s">
        <v>8</v>
      </c>
      <c r="I1083" t="s">
        <v>596</v>
      </c>
    </row>
    <row r="1084" spans="1:9" x14ac:dyDescent="0.25">
      <c r="A1084" s="1" t="str">
        <f>HYPERLINK("https://lynxcrm-apac--c.eu19.visual.force.com/0011i000001xoitAAA","Denas, Chandra")</f>
        <v>Denas, Chandra</v>
      </c>
      <c r="B1084" t="s">
        <v>2559</v>
      </c>
      <c r="C1084" t="s">
        <v>28</v>
      </c>
      <c r="D1084" t="s">
        <v>2560</v>
      </c>
      <c r="E1084" t="s">
        <v>8</v>
      </c>
      <c r="F1084" t="s">
        <v>2561</v>
      </c>
      <c r="G1084" t="s">
        <v>2562</v>
      </c>
      <c r="H1084" t="s">
        <v>2562</v>
      </c>
      <c r="I1084" t="s">
        <v>2352</v>
      </c>
    </row>
    <row r="1085" spans="1:9" x14ac:dyDescent="0.25">
      <c r="A1085" s="1" t="str">
        <f>HYPERLINK("https://lynxcrm-apac--c.eu19.visual.force.com/0011i000001xnY0AAI","Deparment of A&amp;E")</f>
        <v>Deparment of A&amp;E</v>
      </c>
      <c r="B1085" t="s">
        <v>2563</v>
      </c>
      <c r="C1085" t="s">
        <v>10</v>
      </c>
      <c r="D1085" t="s">
        <v>8</v>
      </c>
      <c r="E1085" t="s">
        <v>8</v>
      </c>
      <c r="F1085" t="s">
        <v>584</v>
      </c>
      <c r="G1085" t="s">
        <v>583</v>
      </c>
      <c r="H1085" t="s">
        <v>583</v>
      </c>
      <c r="I1085" t="s">
        <v>585</v>
      </c>
    </row>
    <row r="1086" spans="1:9" x14ac:dyDescent="0.25">
      <c r="A1086" s="1" t="str">
        <f>HYPERLINK("https://lynxcrm-apac--c.eu19.visual.force.com/0011i000001xmcNAAQ","Departmen of A&amp;E")</f>
        <v>Departmen of A&amp;E</v>
      </c>
      <c r="B1086" t="s">
        <v>2564</v>
      </c>
      <c r="C1086" t="s">
        <v>10</v>
      </c>
      <c r="D1086" t="s">
        <v>8</v>
      </c>
      <c r="E1086" t="s">
        <v>8</v>
      </c>
      <c r="F1086" t="s">
        <v>258</v>
      </c>
      <c r="G1086" t="s">
        <v>261</v>
      </c>
      <c r="H1086" t="s">
        <v>261</v>
      </c>
      <c r="I1086" t="s">
        <v>260</v>
      </c>
    </row>
    <row r="1087" spans="1:9" x14ac:dyDescent="0.25">
      <c r="A1087" s="1" t="str">
        <f>HYPERLINK("https://lynxcrm-apac--c.eu19.visual.force.com/0011i000001xn45AAA","Department of A&amp;E")</f>
        <v>Department of A&amp;E</v>
      </c>
      <c r="B1087" t="s">
        <v>2565</v>
      </c>
      <c r="C1087" t="s">
        <v>10</v>
      </c>
      <c r="D1087" t="s">
        <v>8</v>
      </c>
      <c r="E1087" t="s">
        <v>8</v>
      </c>
      <c r="F1087" t="s">
        <v>584</v>
      </c>
      <c r="G1087" t="s">
        <v>583</v>
      </c>
      <c r="H1087" t="s">
        <v>583</v>
      </c>
      <c r="I1087" t="s">
        <v>585</v>
      </c>
    </row>
    <row r="1088" spans="1:9" x14ac:dyDescent="0.25">
      <c r="A1088" s="1" t="str">
        <f>HYPERLINK("https://lynxcrm-apac--c.eu19.visual.force.com/0011i000001xnS7AAI","Department of A&amp;E")</f>
        <v>Department of A&amp;E</v>
      </c>
      <c r="B1088" t="s">
        <v>2566</v>
      </c>
      <c r="C1088" t="s">
        <v>10</v>
      </c>
      <c r="D1088" t="s">
        <v>8</v>
      </c>
      <c r="E1088" t="s">
        <v>8</v>
      </c>
      <c r="F1088" t="s">
        <v>258</v>
      </c>
      <c r="G1088" t="s">
        <v>261</v>
      </c>
      <c r="H1088" t="s">
        <v>261</v>
      </c>
      <c r="I1088" t="s">
        <v>260</v>
      </c>
    </row>
    <row r="1089" spans="1:9" x14ac:dyDescent="0.25">
      <c r="A1089" s="1" t="str">
        <f>HYPERLINK("https://lynxcrm-apac--c.eu19.visual.force.com/0011i000001xnaPAAQ","Department of A&amp;E")</f>
        <v>Department of A&amp;E</v>
      </c>
      <c r="B1089" t="s">
        <v>2567</v>
      </c>
      <c r="C1089" t="s">
        <v>10</v>
      </c>
      <c r="D1089" t="s">
        <v>8</v>
      </c>
      <c r="E1089" t="s">
        <v>8</v>
      </c>
      <c r="F1089" t="s">
        <v>584</v>
      </c>
      <c r="G1089" t="s">
        <v>583</v>
      </c>
      <c r="H1089" t="s">
        <v>583</v>
      </c>
      <c r="I1089" t="s">
        <v>585</v>
      </c>
    </row>
    <row r="1090" spans="1:9" x14ac:dyDescent="0.25">
      <c r="A1090" s="1" t="str">
        <f>HYPERLINK("https://lynxcrm-apac--c.eu19.visual.force.com/0011i000001xnPCAAY","Department of A&amp;E")</f>
        <v>Department of A&amp;E</v>
      </c>
      <c r="B1090" t="s">
        <v>2568</v>
      </c>
      <c r="C1090" t="s">
        <v>10</v>
      </c>
      <c r="D1090" t="s">
        <v>8</v>
      </c>
      <c r="E1090" t="s">
        <v>8</v>
      </c>
      <c r="F1090" t="s">
        <v>428</v>
      </c>
      <c r="G1090" t="s">
        <v>429</v>
      </c>
      <c r="H1090" t="s">
        <v>429</v>
      </c>
      <c r="I1090" t="s">
        <v>430</v>
      </c>
    </row>
    <row r="1091" spans="1:9" x14ac:dyDescent="0.25">
      <c r="A1091" s="1" t="str">
        <f>HYPERLINK("https://lynxcrm-apac--c.eu19.visual.force.com/0011i000001xnRqAAI","Department of A&amp;E")</f>
        <v>Department of A&amp;E</v>
      </c>
      <c r="B1091" t="s">
        <v>2569</v>
      </c>
      <c r="C1091" t="s">
        <v>10</v>
      </c>
      <c r="D1091" t="s">
        <v>8</v>
      </c>
      <c r="E1091" t="s">
        <v>8</v>
      </c>
      <c r="F1091" t="s">
        <v>584</v>
      </c>
      <c r="G1091" t="s">
        <v>583</v>
      </c>
      <c r="H1091" t="s">
        <v>583</v>
      </c>
      <c r="I1091" t="s">
        <v>585</v>
      </c>
    </row>
    <row r="1092" spans="1:9" x14ac:dyDescent="0.25">
      <c r="A1092" s="1" t="str">
        <f>HYPERLINK("https://lynxcrm-apac--c.eu19.visual.force.com/0011i000001xnXsAAI","Department of A&amp;E")</f>
        <v>Department of A&amp;E</v>
      </c>
      <c r="B1092" t="s">
        <v>2570</v>
      </c>
      <c r="C1092" t="s">
        <v>10</v>
      </c>
      <c r="D1092" t="s">
        <v>8</v>
      </c>
      <c r="E1092" t="s">
        <v>8</v>
      </c>
      <c r="F1092" t="s">
        <v>252</v>
      </c>
      <c r="G1092" t="s">
        <v>251</v>
      </c>
      <c r="H1092" t="s">
        <v>251</v>
      </c>
      <c r="I1092" t="s">
        <v>253</v>
      </c>
    </row>
    <row r="1093" spans="1:9" x14ac:dyDescent="0.25">
      <c r="A1093" s="1" t="str">
        <f>HYPERLINK("https://lynxcrm-apac--c.eu19.visual.force.com/0011i000001xmdfAAA","Department of A&amp;E")</f>
        <v>Department of A&amp;E</v>
      </c>
      <c r="B1093" t="s">
        <v>2571</v>
      </c>
      <c r="C1093" t="s">
        <v>10</v>
      </c>
      <c r="D1093" t="s">
        <v>8</v>
      </c>
      <c r="E1093" t="s">
        <v>8</v>
      </c>
      <c r="F1093" t="s">
        <v>584</v>
      </c>
      <c r="G1093" t="s">
        <v>583</v>
      </c>
      <c r="H1093" t="s">
        <v>583</v>
      </c>
      <c r="I1093" t="s">
        <v>585</v>
      </c>
    </row>
    <row r="1094" spans="1:9" x14ac:dyDescent="0.25">
      <c r="A1094" s="1" t="str">
        <f>HYPERLINK("https://lynxcrm-apac--c.eu19.visual.force.com/0011i000001xmrGAAQ","Department of A&amp;E")</f>
        <v>Department of A&amp;E</v>
      </c>
      <c r="B1094" t="s">
        <v>2572</v>
      </c>
      <c r="C1094" t="s">
        <v>10</v>
      </c>
      <c r="D1094" t="s">
        <v>8</v>
      </c>
      <c r="E1094" t="s">
        <v>8</v>
      </c>
      <c r="F1094" t="s">
        <v>258</v>
      </c>
      <c r="G1094" t="s">
        <v>261</v>
      </c>
      <c r="H1094" t="s">
        <v>261</v>
      </c>
      <c r="I1094" t="s">
        <v>260</v>
      </c>
    </row>
    <row r="1095" spans="1:9" x14ac:dyDescent="0.25">
      <c r="A1095" s="1" t="str">
        <f>HYPERLINK("https://lynxcrm-apac--c.eu19.visual.force.com/0011i000001xmrJAAQ","Department of A&amp;E")</f>
        <v>Department of A&amp;E</v>
      </c>
      <c r="B1095" t="s">
        <v>2573</v>
      </c>
      <c r="C1095" t="s">
        <v>10</v>
      </c>
      <c r="D1095" t="s">
        <v>8</v>
      </c>
      <c r="E1095" t="s">
        <v>8</v>
      </c>
      <c r="F1095" t="s">
        <v>258</v>
      </c>
      <c r="G1095" t="s">
        <v>261</v>
      </c>
      <c r="H1095" t="s">
        <v>261</v>
      </c>
      <c r="I1095" t="s">
        <v>260</v>
      </c>
    </row>
    <row r="1096" spans="1:9" x14ac:dyDescent="0.25">
      <c r="A1096" s="1" t="str">
        <f>HYPERLINK("https://lynxcrm-apac--c.eu19.visual.force.com/0011i000001xmg3AAA","Department of A&amp;E")</f>
        <v>Department of A&amp;E</v>
      </c>
      <c r="B1096" t="s">
        <v>2574</v>
      </c>
      <c r="C1096" t="s">
        <v>10</v>
      </c>
      <c r="D1096" t="s">
        <v>8</v>
      </c>
      <c r="E1096" t="s">
        <v>8</v>
      </c>
      <c r="F1096" t="s">
        <v>258</v>
      </c>
      <c r="G1096" t="s">
        <v>261</v>
      </c>
      <c r="H1096" t="s">
        <v>261</v>
      </c>
      <c r="I1096" t="s">
        <v>260</v>
      </c>
    </row>
    <row r="1097" spans="1:9" x14ac:dyDescent="0.25">
      <c r="A1097" s="1" t="str">
        <f>HYPERLINK("https://lynxcrm-apac--c.eu19.visual.force.com/0011i000001xmrAAAQ","Department of A&amp;E")</f>
        <v>Department of A&amp;E</v>
      </c>
      <c r="B1097" t="s">
        <v>2575</v>
      </c>
      <c r="C1097" t="s">
        <v>10</v>
      </c>
      <c r="D1097" t="s">
        <v>8</v>
      </c>
      <c r="E1097" t="s">
        <v>8</v>
      </c>
      <c r="F1097" t="s">
        <v>584</v>
      </c>
      <c r="G1097" t="s">
        <v>583</v>
      </c>
      <c r="H1097" t="s">
        <v>583</v>
      </c>
      <c r="I1097" t="s">
        <v>585</v>
      </c>
    </row>
    <row r="1098" spans="1:9" x14ac:dyDescent="0.25">
      <c r="A1098" s="1" t="str">
        <f>HYPERLINK("https://lynxcrm-apac--c.eu19.visual.force.com/0011i000001xn3uAAA","Department of A&amp;E")</f>
        <v>Department of A&amp;E</v>
      </c>
      <c r="B1098" t="s">
        <v>2576</v>
      </c>
      <c r="C1098" t="s">
        <v>10</v>
      </c>
      <c r="D1098" t="s">
        <v>8</v>
      </c>
      <c r="E1098" t="s">
        <v>8</v>
      </c>
      <c r="F1098" t="s">
        <v>252</v>
      </c>
      <c r="G1098" t="s">
        <v>251</v>
      </c>
      <c r="H1098" t="s">
        <v>251</v>
      </c>
      <c r="I1098" t="s">
        <v>253</v>
      </c>
    </row>
    <row r="1099" spans="1:9" x14ac:dyDescent="0.25">
      <c r="A1099" s="1" t="str">
        <f>HYPERLINK("https://lynxcrm-apac--c.eu19.visual.force.com/0011i000001xnXMAAY","Department of A&amp;E")</f>
        <v>Department of A&amp;E</v>
      </c>
      <c r="B1099" t="s">
        <v>2577</v>
      </c>
      <c r="C1099" t="s">
        <v>10</v>
      </c>
      <c r="D1099" t="s">
        <v>8</v>
      </c>
      <c r="E1099" t="s">
        <v>8</v>
      </c>
      <c r="F1099" t="s">
        <v>258</v>
      </c>
      <c r="G1099" t="s">
        <v>261</v>
      </c>
      <c r="H1099" t="s">
        <v>261</v>
      </c>
      <c r="I1099" t="s">
        <v>260</v>
      </c>
    </row>
    <row r="1100" spans="1:9" x14ac:dyDescent="0.25">
      <c r="A1100" s="1" t="str">
        <f>HYPERLINK("https://lynxcrm-apac--c.eu19.visual.force.com/0011i000001xnXoAAI","Department of A&amp;E")</f>
        <v>Department of A&amp;E</v>
      </c>
      <c r="B1100" t="s">
        <v>2578</v>
      </c>
      <c r="C1100" t="s">
        <v>10</v>
      </c>
      <c r="D1100" t="s">
        <v>8</v>
      </c>
      <c r="E1100" t="s">
        <v>8</v>
      </c>
      <c r="F1100" t="s">
        <v>584</v>
      </c>
      <c r="G1100" t="s">
        <v>583</v>
      </c>
      <c r="H1100" t="s">
        <v>583</v>
      </c>
      <c r="I1100" t="s">
        <v>585</v>
      </c>
    </row>
    <row r="1101" spans="1:9" x14ac:dyDescent="0.25">
      <c r="A1101" s="1" t="str">
        <f>HYPERLINK("https://lynxcrm-apac--c.eu19.visual.force.com/0011i000001xnDHAAY","Department of Anaesthesia")</f>
        <v>Department of Anaesthesia</v>
      </c>
      <c r="B1101" t="s">
        <v>2579</v>
      </c>
      <c r="C1101" t="s">
        <v>10</v>
      </c>
      <c r="D1101" t="s">
        <v>8</v>
      </c>
      <c r="E1101" t="s">
        <v>8</v>
      </c>
      <c r="F1101" t="s">
        <v>584</v>
      </c>
      <c r="G1101" t="s">
        <v>583</v>
      </c>
      <c r="H1101" t="s">
        <v>583</v>
      </c>
      <c r="I1101" t="s">
        <v>585</v>
      </c>
    </row>
    <row r="1102" spans="1:9" x14ac:dyDescent="0.25">
      <c r="A1102" s="1" t="str">
        <f>HYPERLINK("https://lynxcrm-apac--c.eu19.visual.force.com/0011i000001xn8NAAQ","Department of Cardiology")</f>
        <v>Department of Cardiology</v>
      </c>
      <c r="B1102" t="s">
        <v>2580</v>
      </c>
      <c r="C1102" t="s">
        <v>10</v>
      </c>
      <c r="D1102" t="s">
        <v>8</v>
      </c>
      <c r="E1102" t="s">
        <v>8</v>
      </c>
      <c r="F1102" t="s">
        <v>164</v>
      </c>
      <c r="G1102" t="s">
        <v>163</v>
      </c>
      <c r="H1102" t="s">
        <v>163</v>
      </c>
      <c r="I1102" t="s">
        <v>165</v>
      </c>
    </row>
    <row r="1103" spans="1:9" x14ac:dyDescent="0.25">
      <c r="A1103" s="1" t="str">
        <f>HYPERLINK("https://lynxcrm-apac--c.eu19.visual.force.com/0011i000001xnMGAAY","Department Of Colorectal")</f>
        <v>Department Of Colorectal</v>
      </c>
      <c r="B1103" t="s">
        <v>2581</v>
      </c>
      <c r="C1103" t="s">
        <v>10</v>
      </c>
      <c r="D1103" t="s">
        <v>8</v>
      </c>
      <c r="E1103" t="s">
        <v>8</v>
      </c>
      <c r="F1103" t="s">
        <v>252</v>
      </c>
      <c r="G1103" t="s">
        <v>251</v>
      </c>
      <c r="H1103" t="s">
        <v>251</v>
      </c>
      <c r="I1103" t="s">
        <v>253</v>
      </c>
    </row>
    <row r="1104" spans="1:9" x14ac:dyDescent="0.25">
      <c r="A1104" s="1" t="str">
        <f>HYPERLINK("https://lynxcrm-apac--c.eu19.visual.force.com/0011i000001xmddAAA","Department of Dermatology")</f>
        <v>Department of Dermatology</v>
      </c>
      <c r="B1104" t="s">
        <v>2582</v>
      </c>
      <c r="C1104" t="s">
        <v>10</v>
      </c>
      <c r="D1104" t="s">
        <v>8</v>
      </c>
      <c r="E1104" t="s">
        <v>8</v>
      </c>
      <c r="F1104" t="s">
        <v>163</v>
      </c>
      <c r="G1104" t="s">
        <v>164</v>
      </c>
      <c r="H1104" t="s">
        <v>164</v>
      </c>
      <c r="I1104" t="s">
        <v>165</v>
      </c>
    </row>
    <row r="1105" spans="1:9" x14ac:dyDescent="0.25">
      <c r="A1105" s="1" t="str">
        <f>HYPERLINK("https://lynxcrm-apac--c.eu19.visual.force.com/0011i000001xnanAAA","Department of Dermatology")</f>
        <v>Department of Dermatology</v>
      </c>
      <c r="B1105" t="s">
        <v>2583</v>
      </c>
      <c r="C1105" t="s">
        <v>10</v>
      </c>
      <c r="D1105" t="s">
        <v>8</v>
      </c>
      <c r="E1105" t="s">
        <v>8</v>
      </c>
      <c r="F1105" t="s">
        <v>252</v>
      </c>
      <c r="G1105" t="s">
        <v>251</v>
      </c>
      <c r="H1105" t="s">
        <v>251</v>
      </c>
      <c r="I1105" t="s">
        <v>253</v>
      </c>
    </row>
    <row r="1106" spans="1:9" x14ac:dyDescent="0.25">
      <c r="A1106" s="1" t="str">
        <f>HYPERLINK("https://lynxcrm-apac--c.eu19.visual.force.com/0011i000001xmr9AAA","Department of Endocrinology")</f>
        <v>Department of Endocrinology</v>
      </c>
      <c r="B1106" t="s">
        <v>2584</v>
      </c>
      <c r="C1106" t="s">
        <v>10</v>
      </c>
      <c r="D1106" t="s">
        <v>8</v>
      </c>
      <c r="E1106" t="s">
        <v>8</v>
      </c>
      <c r="F1106" t="s">
        <v>252</v>
      </c>
      <c r="G1106" t="s">
        <v>251</v>
      </c>
      <c r="H1106" t="s">
        <v>251</v>
      </c>
      <c r="I1106" t="s">
        <v>253</v>
      </c>
    </row>
    <row r="1107" spans="1:9" x14ac:dyDescent="0.25">
      <c r="A1107" s="1" t="str">
        <f>HYPERLINK("https://lynxcrm-apac--c.eu19.visual.force.com/0011i000001xnPkAAI","Department of Endocrinology")</f>
        <v>Department of Endocrinology</v>
      </c>
      <c r="B1107" t="s">
        <v>2585</v>
      </c>
      <c r="C1107" t="s">
        <v>10</v>
      </c>
      <c r="D1107" t="s">
        <v>8</v>
      </c>
      <c r="E1107" t="s">
        <v>8</v>
      </c>
      <c r="F1107" t="s">
        <v>258</v>
      </c>
      <c r="G1107" t="s">
        <v>261</v>
      </c>
      <c r="H1107" t="s">
        <v>261</v>
      </c>
      <c r="I1107" t="s">
        <v>260</v>
      </c>
    </row>
    <row r="1108" spans="1:9" x14ac:dyDescent="0.25">
      <c r="A1108" s="1" t="str">
        <f>HYPERLINK("https://lynxcrm-apac--c.eu19.visual.force.com/0011i000001xmcIAAQ","Department of ENT")</f>
        <v>Department of ENT</v>
      </c>
      <c r="B1108" t="s">
        <v>2586</v>
      </c>
      <c r="C1108" t="s">
        <v>10</v>
      </c>
      <c r="D1108" t="s">
        <v>8</v>
      </c>
      <c r="E1108" t="s">
        <v>8</v>
      </c>
      <c r="F1108" t="s">
        <v>258</v>
      </c>
      <c r="G1108" t="s">
        <v>261</v>
      </c>
      <c r="H1108" t="s">
        <v>261</v>
      </c>
      <c r="I1108" t="s">
        <v>260</v>
      </c>
    </row>
    <row r="1109" spans="1:9" x14ac:dyDescent="0.25">
      <c r="A1109" s="1" t="str">
        <f>HYPERLINK("https://lynxcrm-apac--c.eu19.visual.force.com/0011i000001xnNjAAI","Department of ENT")</f>
        <v>Department of ENT</v>
      </c>
      <c r="B1109" t="s">
        <v>2587</v>
      </c>
      <c r="C1109" t="s">
        <v>10</v>
      </c>
      <c r="D1109" t="s">
        <v>8</v>
      </c>
      <c r="E1109" t="s">
        <v>8</v>
      </c>
      <c r="F1109" t="s">
        <v>584</v>
      </c>
      <c r="G1109" t="s">
        <v>583</v>
      </c>
      <c r="H1109" t="s">
        <v>583</v>
      </c>
      <c r="I1109" t="s">
        <v>585</v>
      </c>
    </row>
    <row r="1110" spans="1:9" x14ac:dyDescent="0.25">
      <c r="A1110" s="1" t="str">
        <f>HYPERLINK("https://lynxcrm-apac--c.eu19.visual.force.com/0011i000001xnTBAAY","Department of ENT")</f>
        <v>Department of ENT</v>
      </c>
      <c r="B1110" t="s">
        <v>2588</v>
      </c>
      <c r="C1110" t="s">
        <v>10</v>
      </c>
      <c r="D1110" t="s">
        <v>8</v>
      </c>
      <c r="E1110" t="s">
        <v>8</v>
      </c>
      <c r="F1110" t="s">
        <v>258</v>
      </c>
      <c r="G1110" t="s">
        <v>261</v>
      </c>
      <c r="H1110" t="s">
        <v>261</v>
      </c>
      <c r="I1110" t="s">
        <v>260</v>
      </c>
    </row>
    <row r="1111" spans="1:9" x14ac:dyDescent="0.25">
      <c r="A1111" s="1" t="str">
        <f>HYPERLINK("https://lynxcrm-apac--c.eu19.visual.force.com/0011i000001xnZRAAY","Department of ENT")</f>
        <v>Department of ENT</v>
      </c>
      <c r="B1111" t="s">
        <v>2589</v>
      </c>
      <c r="C1111" t="s">
        <v>10</v>
      </c>
      <c r="D1111" t="s">
        <v>8</v>
      </c>
      <c r="E1111" t="s">
        <v>8</v>
      </c>
      <c r="F1111" t="s">
        <v>252</v>
      </c>
      <c r="G1111" t="s">
        <v>251</v>
      </c>
      <c r="H1111" t="s">
        <v>251</v>
      </c>
      <c r="I1111" t="s">
        <v>253</v>
      </c>
    </row>
    <row r="1112" spans="1:9" x14ac:dyDescent="0.25">
      <c r="A1112" s="1" t="str">
        <f>HYPERLINK("https://lynxcrm-apac--c.eu19.visual.force.com/0011i000001xn6bAAA","Department of General Medicine")</f>
        <v>Department of General Medicine</v>
      </c>
      <c r="B1112" t="s">
        <v>2590</v>
      </c>
      <c r="C1112" t="s">
        <v>10</v>
      </c>
      <c r="D1112" t="s">
        <v>8</v>
      </c>
      <c r="E1112" t="s">
        <v>8</v>
      </c>
      <c r="F1112" t="s">
        <v>360</v>
      </c>
      <c r="G1112" t="s">
        <v>1253</v>
      </c>
      <c r="H1112" t="s">
        <v>1253</v>
      </c>
      <c r="I1112" t="s">
        <v>362</v>
      </c>
    </row>
    <row r="1113" spans="1:9" x14ac:dyDescent="0.25">
      <c r="A1113" s="1" t="str">
        <f>HYPERLINK("https://lynxcrm-apac--c.eu19.visual.force.com/0011i000001xnNqAAI","Department of General Medicine")</f>
        <v>Department of General Medicine</v>
      </c>
      <c r="B1113" t="s">
        <v>2591</v>
      </c>
      <c r="C1113" t="s">
        <v>10</v>
      </c>
      <c r="D1113" t="s">
        <v>8</v>
      </c>
      <c r="E1113" t="s">
        <v>8</v>
      </c>
      <c r="F1113" t="s">
        <v>258</v>
      </c>
      <c r="G1113" t="s">
        <v>261</v>
      </c>
      <c r="H1113" t="s">
        <v>261</v>
      </c>
      <c r="I1113" t="s">
        <v>260</v>
      </c>
    </row>
    <row r="1114" spans="1:9" x14ac:dyDescent="0.25">
      <c r="A1114" s="1" t="str">
        <f>HYPERLINK("https://lynxcrm-apac--c.eu19.visual.force.com/0011i000001xn5NAAQ","Department of General Surgery")</f>
        <v>Department of General Surgery</v>
      </c>
      <c r="B1114" t="s">
        <v>2592</v>
      </c>
      <c r="C1114" t="s">
        <v>10</v>
      </c>
      <c r="D1114" t="s">
        <v>8</v>
      </c>
      <c r="E1114" t="s">
        <v>8</v>
      </c>
      <c r="F1114" t="s">
        <v>360</v>
      </c>
      <c r="G1114" t="s">
        <v>1253</v>
      </c>
      <c r="H1114" t="s">
        <v>1253</v>
      </c>
      <c r="I1114" t="s">
        <v>362</v>
      </c>
    </row>
    <row r="1115" spans="1:9" x14ac:dyDescent="0.25">
      <c r="A1115" s="1" t="str">
        <f>HYPERLINK("https://lynxcrm-apac--c.eu19.visual.force.com/0011i000001xnNlAAI","Department of General Surgery")</f>
        <v>Department of General Surgery</v>
      </c>
      <c r="B1115" t="s">
        <v>2593</v>
      </c>
      <c r="C1115" t="s">
        <v>10</v>
      </c>
      <c r="D1115" t="s">
        <v>8</v>
      </c>
      <c r="E1115" t="s">
        <v>8</v>
      </c>
      <c r="F1115" t="s">
        <v>252</v>
      </c>
      <c r="G1115" t="s">
        <v>251</v>
      </c>
      <c r="H1115" t="s">
        <v>251</v>
      </c>
      <c r="I1115" t="s">
        <v>253</v>
      </c>
    </row>
    <row r="1116" spans="1:9" x14ac:dyDescent="0.25">
      <c r="A1116" s="1" t="str">
        <f>HYPERLINK("https://lynxcrm-apac--c.eu19.visual.force.com/0011i000001xmtKAAQ","Department of General Surgery")</f>
        <v>Department of General Surgery</v>
      </c>
      <c r="B1116" t="s">
        <v>2594</v>
      </c>
      <c r="C1116" t="s">
        <v>10</v>
      </c>
      <c r="D1116" t="s">
        <v>8</v>
      </c>
      <c r="E1116" t="s">
        <v>8</v>
      </c>
      <c r="F1116" t="s">
        <v>252</v>
      </c>
      <c r="G1116" t="s">
        <v>251</v>
      </c>
      <c r="H1116" t="s">
        <v>251</v>
      </c>
      <c r="I1116" t="s">
        <v>253</v>
      </c>
    </row>
    <row r="1117" spans="1:9" x14ac:dyDescent="0.25">
      <c r="A1117" s="1" t="str">
        <f>HYPERLINK("https://lynxcrm-apac--c.eu19.visual.force.com/0011i000001xmuTAAQ","Department of General Surgery")</f>
        <v>Department of General Surgery</v>
      </c>
      <c r="B1117" t="s">
        <v>2595</v>
      </c>
      <c r="C1117" t="s">
        <v>10</v>
      </c>
      <c r="D1117" t="s">
        <v>8</v>
      </c>
      <c r="E1117" t="s">
        <v>8</v>
      </c>
      <c r="F1117" t="s">
        <v>360</v>
      </c>
      <c r="G1117" t="s">
        <v>1253</v>
      </c>
      <c r="H1117" t="s">
        <v>1253</v>
      </c>
      <c r="I1117" t="s">
        <v>362</v>
      </c>
    </row>
    <row r="1118" spans="1:9" x14ac:dyDescent="0.25">
      <c r="A1118" s="1" t="str">
        <f>HYPERLINK("https://lynxcrm-apac--c.eu19.visual.force.com/0011i000001xmplAAA","Department of General Surgery")</f>
        <v>Department of General Surgery</v>
      </c>
      <c r="B1118" t="s">
        <v>2596</v>
      </c>
      <c r="C1118" t="s">
        <v>10</v>
      </c>
      <c r="D1118" t="s">
        <v>8</v>
      </c>
      <c r="E1118" t="s">
        <v>8</v>
      </c>
      <c r="F1118" t="s">
        <v>252</v>
      </c>
      <c r="G1118" t="s">
        <v>251</v>
      </c>
      <c r="H1118" t="s">
        <v>251</v>
      </c>
      <c r="I1118" t="s">
        <v>253</v>
      </c>
    </row>
    <row r="1119" spans="1:9" x14ac:dyDescent="0.25">
      <c r="A1119" s="1" t="str">
        <f>HYPERLINK("https://lynxcrm-apac--c.eu19.visual.force.com/0011i000001xmnUAAQ","Department of General Surgery")</f>
        <v>Department of General Surgery</v>
      </c>
      <c r="B1119" t="s">
        <v>2597</v>
      </c>
      <c r="C1119" t="s">
        <v>10</v>
      </c>
      <c r="D1119" t="s">
        <v>8</v>
      </c>
      <c r="E1119" t="s">
        <v>8</v>
      </c>
      <c r="F1119" t="s">
        <v>584</v>
      </c>
      <c r="G1119" t="s">
        <v>583</v>
      </c>
      <c r="H1119" t="s">
        <v>583</v>
      </c>
      <c r="I1119" t="s">
        <v>585</v>
      </c>
    </row>
    <row r="1120" spans="1:9" x14ac:dyDescent="0.25">
      <c r="A1120" s="1" t="str">
        <f>HYPERLINK("https://lynxcrm-apac--c.eu19.visual.force.com/0011i000001xmckAAA","Department of Geriatrics")</f>
        <v>Department of Geriatrics</v>
      </c>
      <c r="B1120" t="s">
        <v>2598</v>
      </c>
      <c r="C1120" t="s">
        <v>10</v>
      </c>
      <c r="D1120" t="s">
        <v>8</v>
      </c>
      <c r="E1120" t="s">
        <v>8</v>
      </c>
      <c r="F1120" t="s">
        <v>258</v>
      </c>
      <c r="G1120" t="s">
        <v>261</v>
      </c>
      <c r="H1120" t="s">
        <v>261</v>
      </c>
      <c r="I1120" t="s">
        <v>260</v>
      </c>
    </row>
    <row r="1121" spans="1:9" x14ac:dyDescent="0.25">
      <c r="A1121" s="1" t="str">
        <f>HYPERLINK("https://lynxcrm-apac--c.eu19.visual.force.com/0011i000001xnRuAAI","Department of Geriatrics")</f>
        <v>Department of Geriatrics</v>
      </c>
      <c r="B1121" t="s">
        <v>2599</v>
      </c>
      <c r="C1121" t="s">
        <v>10</v>
      </c>
      <c r="D1121" t="s">
        <v>8</v>
      </c>
      <c r="E1121" t="s">
        <v>8</v>
      </c>
      <c r="F1121" t="s">
        <v>258</v>
      </c>
      <c r="G1121" t="s">
        <v>261</v>
      </c>
      <c r="H1121" t="s">
        <v>261</v>
      </c>
      <c r="I1121" t="s">
        <v>260</v>
      </c>
    </row>
    <row r="1122" spans="1:9" x14ac:dyDescent="0.25">
      <c r="A1122" s="1" t="str">
        <f>HYPERLINK("https://lynxcrm-apac--c.eu19.visual.force.com/0011i000001xnNaAAI","Department of Internal Medicine")</f>
        <v>Department of Internal Medicine</v>
      </c>
      <c r="B1122" t="s">
        <v>2600</v>
      </c>
      <c r="C1122" t="s">
        <v>10</v>
      </c>
      <c r="D1122" t="s">
        <v>8</v>
      </c>
      <c r="E1122" t="s">
        <v>8</v>
      </c>
      <c r="F1122" t="s">
        <v>252</v>
      </c>
      <c r="G1122" t="s">
        <v>251</v>
      </c>
      <c r="H1122" t="s">
        <v>251</v>
      </c>
      <c r="I1122" t="s">
        <v>253</v>
      </c>
    </row>
    <row r="1123" spans="1:9" x14ac:dyDescent="0.25">
      <c r="A1123" s="1" t="str">
        <f>HYPERLINK("https://lynxcrm-apac--c.eu19.visual.force.com/0011i000001xmr1AAA","Department Of Internal Medicine")</f>
        <v>Department Of Internal Medicine</v>
      </c>
      <c r="B1123" t="s">
        <v>2601</v>
      </c>
      <c r="C1123" t="s">
        <v>10</v>
      </c>
      <c r="D1123" t="s">
        <v>8</v>
      </c>
      <c r="E1123" t="s">
        <v>8</v>
      </c>
      <c r="F1123" t="s">
        <v>252</v>
      </c>
      <c r="G1123" t="s">
        <v>251</v>
      </c>
      <c r="H1123" t="s">
        <v>251</v>
      </c>
      <c r="I1123" t="s">
        <v>253</v>
      </c>
    </row>
    <row r="1124" spans="1:9" x14ac:dyDescent="0.25">
      <c r="A1124" s="1" t="str">
        <f>HYPERLINK("https://lynxcrm-apac--c.eu19.visual.force.com/0011i000001xnPGAAY","Department of Medicine")</f>
        <v>Department of Medicine</v>
      </c>
      <c r="B1124" t="s">
        <v>2602</v>
      </c>
      <c r="C1124" t="s">
        <v>10</v>
      </c>
      <c r="D1124" t="s">
        <v>8</v>
      </c>
      <c r="E1124" t="s">
        <v>8</v>
      </c>
      <c r="F1124" t="s">
        <v>252</v>
      </c>
      <c r="G1124" t="s">
        <v>251</v>
      </c>
      <c r="H1124" t="s">
        <v>251</v>
      </c>
      <c r="I1124" t="s">
        <v>253</v>
      </c>
    </row>
    <row r="1125" spans="1:9" x14ac:dyDescent="0.25">
      <c r="A1125" s="1" t="str">
        <f>HYPERLINK("https://lynxcrm-apac--c.eu19.visual.force.com/0011i000001xmolAAA","Department of Medicine")</f>
        <v>Department of Medicine</v>
      </c>
      <c r="B1125" t="s">
        <v>2603</v>
      </c>
      <c r="C1125" t="s">
        <v>10</v>
      </c>
      <c r="D1125" t="s">
        <v>8</v>
      </c>
      <c r="E1125" t="s">
        <v>8</v>
      </c>
      <c r="F1125" t="s">
        <v>360</v>
      </c>
      <c r="G1125" t="s">
        <v>1253</v>
      </c>
      <c r="H1125" t="s">
        <v>1253</v>
      </c>
      <c r="I1125" t="s">
        <v>362</v>
      </c>
    </row>
    <row r="1126" spans="1:9" x14ac:dyDescent="0.25">
      <c r="A1126" s="1" t="str">
        <f>HYPERLINK("https://lynxcrm-apac--c.eu19.visual.force.com/0011i000001xnaeAAA","Department of Medicine")</f>
        <v>Department of Medicine</v>
      </c>
      <c r="B1126" t="s">
        <v>2604</v>
      </c>
      <c r="C1126" t="s">
        <v>10</v>
      </c>
      <c r="D1126" t="s">
        <v>8</v>
      </c>
      <c r="E1126" t="s">
        <v>8</v>
      </c>
      <c r="F1126" t="s">
        <v>584</v>
      </c>
      <c r="G1126" t="s">
        <v>583</v>
      </c>
      <c r="H1126" t="s">
        <v>583</v>
      </c>
      <c r="I1126" t="s">
        <v>585</v>
      </c>
    </row>
    <row r="1127" spans="1:9" x14ac:dyDescent="0.25">
      <c r="A1127" s="1" t="str">
        <f>HYPERLINK("https://lynxcrm-apac--c.eu19.visual.force.com/0011i000001xmg4AAA","Department of Neurology")</f>
        <v>Department of Neurology</v>
      </c>
      <c r="B1127" t="s">
        <v>2605</v>
      </c>
      <c r="C1127" t="s">
        <v>10</v>
      </c>
      <c r="D1127" t="s">
        <v>8</v>
      </c>
      <c r="E1127" t="s">
        <v>8</v>
      </c>
      <c r="F1127" t="s">
        <v>258</v>
      </c>
      <c r="G1127" t="s">
        <v>261</v>
      </c>
      <c r="H1127" t="s">
        <v>261</v>
      </c>
      <c r="I1127" t="s">
        <v>260</v>
      </c>
    </row>
    <row r="1128" spans="1:9" x14ac:dyDescent="0.25">
      <c r="A1128" s="1" t="str">
        <f>HYPERLINK("https://lynxcrm-apac--c.eu19.visual.force.com/0011i000001xn7JAAQ","Department of Neurosurgeon")</f>
        <v>Department of Neurosurgeon</v>
      </c>
      <c r="B1128" t="s">
        <v>2606</v>
      </c>
      <c r="C1128" t="s">
        <v>10</v>
      </c>
      <c r="D1128" t="s">
        <v>8</v>
      </c>
      <c r="E1128" t="s">
        <v>8</v>
      </c>
      <c r="F1128" t="s">
        <v>258</v>
      </c>
      <c r="G1128" t="s">
        <v>261</v>
      </c>
      <c r="H1128" t="s">
        <v>261</v>
      </c>
      <c r="I1128" t="s">
        <v>260</v>
      </c>
    </row>
    <row r="1129" spans="1:9" x14ac:dyDescent="0.25">
      <c r="A1129" s="1" t="str">
        <f>HYPERLINK("https://lynxcrm-apac--c.eu19.visual.force.com/0011i000001xmcvAAA","Department of Neurosurgery")</f>
        <v>Department of Neurosurgery</v>
      </c>
      <c r="B1129" t="s">
        <v>2607</v>
      </c>
      <c r="C1129" t="s">
        <v>10</v>
      </c>
      <c r="D1129" t="s">
        <v>8</v>
      </c>
      <c r="E1129" t="s">
        <v>8</v>
      </c>
      <c r="F1129" t="s">
        <v>258</v>
      </c>
      <c r="G1129" t="s">
        <v>474</v>
      </c>
      <c r="H1129" t="s">
        <v>474</v>
      </c>
      <c r="I1129" t="s">
        <v>260</v>
      </c>
    </row>
    <row r="1130" spans="1:9" x14ac:dyDescent="0.25">
      <c r="A1130" s="1" t="str">
        <f>HYPERLINK("https://lynxcrm-apac--c.eu19.visual.force.com/0011i000001xn6sAAA","Department of Neurosurgery")</f>
        <v>Department of Neurosurgery</v>
      </c>
      <c r="B1130" t="s">
        <v>2608</v>
      </c>
      <c r="C1130" t="s">
        <v>10</v>
      </c>
      <c r="D1130" t="s">
        <v>8</v>
      </c>
      <c r="E1130" t="s">
        <v>8</v>
      </c>
      <c r="F1130" t="s">
        <v>258</v>
      </c>
      <c r="G1130" t="s">
        <v>474</v>
      </c>
      <c r="H1130" t="s">
        <v>474</v>
      </c>
      <c r="I1130" t="s">
        <v>260</v>
      </c>
    </row>
    <row r="1131" spans="1:9" x14ac:dyDescent="0.25">
      <c r="A1131" s="1" t="str">
        <f>HYPERLINK("https://lynxcrm-apac--c.eu19.visual.force.com/0011i000001xn3fAAA","Department of Neurosurgery")</f>
        <v>Department of Neurosurgery</v>
      </c>
      <c r="B1131" t="s">
        <v>2609</v>
      </c>
      <c r="C1131" t="s">
        <v>10</v>
      </c>
      <c r="D1131" t="s">
        <v>8</v>
      </c>
      <c r="E1131" t="s">
        <v>8</v>
      </c>
      <c r="F1131" t="s">
        <v>258</v>
      </c>
      <c r="G1131" t="s">
        <v>474</v>
      </c>
      <c r="H1131" t="s">
        <v>474</v>
      </c>
      <c r="I1131" t="s">
        <v>260</v>
      </c>
    </row>
    <row r="1132" spans="1:9" x14ac:dyDescent="0.25">
      <c r="A1132" s="1" t="str">
        <f>HYPERLINK("https://lynxcrm-apac--c.eu19.visual.force.com/0011i000001xnDdAAI","Department of O&amp;G")</f>
        <v>Department of O&amp;G</v>
      </c>
      <c r="B1132" t="s">
        <v>2610</v>
      </c>
      <c r="C1132" t="s">
        <v>10</v>
      </c>
      <c r="D1132" t="s">
        <v>8</v>
      </c>
      <c r="E1132" t="s">
        <v>8</v>
      </c>
      <c r="F1132" t="s">
        <v>163</v>
      </c>
      <c r="G1132" t="s">
        <v>164</v>
      </c>
      <c r="H1132" t="s">
        <v>164</v>
      </c>
      <c r="I1132" t="s">
        <v>165</v>
      </c>
    </row>
    <row r="1133" spans="1:9" x14ac:dyDescent="0.25">
      <c r="A1133" s="1" t="str">
        <f>HYPERLINK("https://lynxcrm-apac--c.eu19.visual.force.com/0011i000001xmpuAAA","Department of O&amp;G")</f>
        <v>Department of O&amp;G</v>
      </c>
      <c r="B1133" t="s">
        <v>2611</v>
      </c>
      <c r="C1133" t="s">
        <v>10</v>
      </c>
      <c r="D1133" t="s">
        <v>8</v>
      </c>
      <c r="E1133" t="s">
        <v>8</v>
      </c>
      <c r="F1133" t="s">
        <v>163</v>
      </c>
      <c r="G1133" t="s">
        <v>164</v>
      </c>
      <c r="H1133" t="s">
        <v>164</v>
      </c>
      <c r="I1133" t="s">
        <v>165</v>
      </c>
    </row>
    <row r="1134" spans="1:9" x14ac:dyDescent="0.25">
      <c r="A1134" s="1" t="str">
        <f>HYPERLINK("https://lynxcrm-apac--c.eu19.visual.force.com/0011i000001xnP2AAI","Department of O&amp;G")</f>
        <v>Department of O&amp;G</v>
      </c>
      <c r="B1134" t="s">
        <v>2612</v>
      </c>
      <c r="C1134" t="s">
        <v>10</v>
      </c>
      <c r="D1134" t="s">
        <v>8</v>
      </c>
      <c r="E1134" t="s">
        <v>8</v>
      </c>
      <c r="F1134" t="s">
        <v>163</v>
      </c>
      <c r="G1134" t="s">
        <v>164</v>
      </c>
      <c r="H1134" t="s">
        <v>164</v>
      </c>
      <c r="I1134" t="s">
        <v>2613</v>
      </c>
    </row>
    <row r="1135" spans="1:9" x14ac:dyDescent="0.25">
      <c r="A1135" s="1" t="str">
        <f>HYPERLINK("https://lynxcrm-apac--c.eu19.visual.force.com/0011i000001xnPUAAY","Department of Oncology")</f>
        <v>Department of Oncology</v>
      </c>
      <c r="B1135" t="s">
        <v>2614</v>
      </c>
      <c r="C1135" t="s">
        <v>10</v>
      </c>
      <c r="D1135" t="s">
        <v>8</v>
      </c>
      <c r="E1135" t="s">
        <v>8</v>
      </c>
      <c r="F1135" t="s">
        <v>252</v>
      </c>
      <c r="G1135" t="s">
        <v>251</v>
      </c>
      <c r="H1135" t="s">
        <v>251</v>
      </c>
      <c r="I1135" t="s">
        <v>253</v>
      </c>
    </row>
    <row r="1136" spans="1:9" x14ac:dyDescent="0.25">
      <c r="A1136" s="1" t="str">
        <f>HYPERLINK("https://lynxcrm-apac--c.eu19.visual.force.com/0011i000001xmeZAAQ","Department of Oncology")</f>
        <v>Department of Oncology</v>
      </c>
      <c r="B1136" t="s">
        <v>2615</v>
      </c>
      <c r="C1136" t="s">
        <v>10</v>
      </c>
      <c r="D1136" t="s">
        <v>8</v>
      </c>
      <c r="E1136" t="s">
        <v>8</v>
      </c>
      <c r="F1136" t="s">
        <v>252</v>
      </c>
      <c r="G1136" t="s">
        <v>251</v>
      </c>
      <c r="H1136" t="s">
        <v>251</v>
      </c>
      <c r="I1136" t="s">
        <v>253</v>
      </c>
    </row>
    <row r="1137" spans="1:9" x14ac:dyDescent="0.25">
      <c r="A1137" s="1" t="str">
        <f>HYPERLINK("https://lynxcrm-apac--c.eu19.visual.force.com/0011i000001xmmhAAA","Department of Oncology")</f>
        <v>Department of Oncology</v>
      </c>
      <c r="B1137" t="s">
        <v>2616</v>
      </c>
      <c r="C1137" t="s">
        <v>10</v>
      </c>
      <c r="D1137" t="s">
        <v>8</v>
      </c>
      <c r="E1137" t="s">
        <v>8</v>
      </c>
      <c r="F1137" t="s">
        <v>252</v>
      </c>
      <c r="G1137" t="s">
        <v>251</v>
      </c>
      <c r="H1137" t="s">
        <v>251</v>
      </c>
      <c r="I1137" t="s">
        <v>253</v>
      </c>
    </row>
    <row r="1138" spans="1:9" x14ac:dyDescent="0.25">
      <c r="A1138" s="1" t="str">
        <f>HYPERLINK("https://lynxcrm-apac--c.eu19.visual.force.com/0011i000001xnXEAAY","Department of Oncology")</f>
        <v>Department of Oncology</v>
      </c>
      <c r="B1138" t="s">
        <v>2617</v>
      </c>
      <c r="C1138" t="s">
        <v>10</v>
      </c>
      <c r="D1138" t="s">
        <v>8</v>
      </c>
      <c r="E1138" t="s">
        <v>8</v>
      </c>
      <c r="F1138" t="s">
        <v>584</v>
      </c>
      <c r="G1138" t="s">
        <v>583</v>
      </c>
      <c r="H1138" t="s">
        <v>583</v>
      </c>
      <c r="I1138" t="s">
        <v>585</v>
      </c>
    </row>
    <row r="1139" spans="1:9" x14ac:dyDescent="0.25">
      <c r="A1139" s="1" t="str">
        <f>HYPERLINK("https://lynxcrm-apac--c.eu19.visual.force.com/0011i000001xmaxAAA","Department of Opthalmology")</f>
        <v>Department of Opthalmology</v>
      </c>
      <c r="B1139" t="s">
        <v>2618</v>
      </c>
      <c r="C1139" t="s">
        <v>10</v>
      </c>
      <c r="D1139" t="s">
        <v>8</v>
      </c>
      <c r="E1139" t="s">
        <v>8</v>
      </c>
      <c r="F1139" t="s">
        <v>258</v>
      </c>
      <c r="G1139" t="s">
        <v>261</v>
      </c>
      <c r="H1139" t="s">
        <v>261</v>
      </c>
      <c r="I1139" t="s">
        <v>260</v>
      </c>
    </row>
    <row r="1140" spans="1:9" x14ac:dyDescent="0.25">
      <c r="A1140" s="1" t="str">
        <f>HYPERLINK("https://lynxcrm-apac--c.eu19.visual.force.com/0011i000001xn6cAAA","Department of Opthalmology")</f>
        <v>Department of Opthalmology</v>
      </c>
      <c r="B1140" t="s">
        <v>2619</v>
      </c>
      <c r="C1140" t="s">
        <v>10</v>
      </c>
      <c r="D1140" t="s">
        <v>8</v>
      </c>
      <c r="E1140" t="s">
        <v>8</v>
      </c>
      <c r="F1140" t="s">
        <v>584</v>
      </c>
      <c r="G1140" t="s">
        <v>583</v>
      </c>
      <c r="H1140" t="s">
        <v>583</v>
      </c>
      <c r="I1140" t="s">
        <v>585</v>
      </c>
    </row>
    <row r="1141" spans="1:9" x14ac:dyDescent="0.25">
      <c r="A1141" s="1" t="str">
        <f>HYPERLINK("https://lynxcrm-apac--c.eu19.visual.force.com/0011i000001xnM9AAI","Department of Opthalmology")</f>
        <v>Department of Opthalmology</v>
      </c>
      <c r="B1141" t="s">
        <v>2620</v>
      </c>
      <c r="C1141" t="s">
        <v>10</v>
      </c>
      <c r="D1141" t="s">
        <v>8</v>
      </c>
      <c r="E1141" t="s">
        <v>8</v>
      </c>
      <c r="F1141" t="s">
        <v>258</v>
      </c>
      <c r="G1141" t="s">
        <v>261</v>
      </c>
      <c r="H1141" t="s">
        <v>261</v>
      </c>
      <c r="I1141" t="s">
        <v>260</v>
      </c>
    </row>
    <row r="1142" spans="1:9" x14ac:dyDescent="0.25">
      <c r="A1142" s="1" t="str">
        <f>HYPERLINK("https://lynxcrm-apac--c.eu19.visual.force.com/0011i000001xnNJAAY","Department of Opthalmology")</f>
        <v>Department of Opthalmology</v>
      </c>
      <c r="B1142" t="s">
        <v>2621</v>
      </c>
      <c r="C1142" t="s">
        <v>10</v>
      </c>
      <c r="D1142" t="s">
        <v>8</v>
      </c>
      <c r="E1142" t="s">
        <v>8</v>
      </c>
      <c r="F1142" t="s">
        <v>258</v>
      </c>
      <c r="G1142" t="s">
        <v>261</v>
      </c>
      <c r="H1142" t="s">
        <v>261</v>
      </c>
      <c r="I1142" t="s">
        <v>260</v>
      </c>
    </row>
    <row r="1143" spans="1:9" x14ac:dyDescent="0.25">
      <c r="A1143" s="1" t="str">
        <f>HYPERLINK("https://lynxcrm-apac--c.eu19.visual.force.com/0011i000001xmdXAAQ","Department of Opthalmology")</f>
        <v>Department of Opthalmology</v>
      </c>
      <c r="B1143" t="s">
        <v>2622</v>
      </c>
      <c r="C1143" t="s">
        <v>10</v>
      </c>
      <c r="D1143" t="s">
        <v>8</v>
      </c>
      <c r="E1143" t="s">
        <v>8</v>
      </c>
      <c r="F1143" t="s">
        <v>584</v>
      </c>
      <c r="G1143" t="s">
        <v>583</v>
      </c>
      <c r="H1143" t="s">
        <v>583</v>
      </c>
      <c r="I1143" t="s">
        <v>585</v>
      </c>
    </row>
    <row r="1144" spans="1:9" x14ac:dyDescent="0.25">
      <c r="A1144" s="1" t="str">
        <f>HYPERLINK("https://lynxcrm-apac--c.eu19.visual.force.com/0011i000001xmduAAA","Department of Opthalmology")</f>
        <v>Department of Opthalmology</v>
      </c>
      <c r="B1144" t="s">
        <v>2623</v>
      </c>
      <c r="C1144" t="s">
        <v>10</v>
      </c>
      <c r="D1144" t="s">
        <v>8</v>
      </c>
      <c r="E1144" t="s">
        <v>8</v>
      </c>
      <c r="F1144" t="s">
        <v>258</v>
      </c>
      <c r="G1144" t="s">
        <v>261</v>
      </c>
      <c r="H1144" t="s">
        <v>261</v>
      </c>
      <c r="I1144" t="s">
        <v>260</v>
      </c>
    </row>
    <row r="1145" spans="1:9" x14ac:dyDescent="0.25">
      <c r="A1145" s="1" t="str">
        <f>HYPERLINK("https://lynxcrm-apac--c.eu19.visual.force.com/0011i000001xn4cAAA","Department of Opthalmology")</f>
        <v>Department of Opthalmology</v>
      </c>
      <c r="B1145" t="s">
        <v>2624</v>
      </c>
      <c r="C1145" t="s">
        <v>10</v>
      </c>
      <c r="D1145" t="s">
        <v>8</v>
      </c>
      <c r="E1145" t="s">
        <v>8</v>
      </c>
      <c r="F1145" t="s">
        <v>252</v>
      </c>
      <c r="G1145" t="s">
        <v>251</v>
      </c>
      <c r="H1145" t="s">
        <v>251</v>
      </c>
      <c r="I1145" t="s">
        <v>253</v>
      </c>
    </row>
    <row r="1146" spans="1:9" x14ac:dyDescent="0.25">
      <c r="A1146" s="1" t="str">
        <f>HYPERLINK("https://lynxcrm-apac--c.eu19.visual.force.com/0011i000001xn6qAAA","Department of Opthalmology")</f>
        <v>Department of Opthalmology</v>
      </c>
      <c r="B1146" t="s">
        <v>2625</v>
      </c>
      <c r="C1146" t="s">
        <v>10</v>
      </c>
      <c r="D1146" t="s">
        <v>8</v>
      </c>
      <c r="E1146" t="s">
        <v>8</v>
      </c>
      <c r="F1146" t="s">
        <v>258</v>
      </c>
      <c r="G1146" t="s">
        <v>261</v>
      </c>
      <c r="H1146" t="s">
        <v>261</v>
      </c>
      <c r="I1146" t="s">
        <v>260</v>
      </c>
    </row>
    <row r="1147" spans="1:9" x14ac:dyDescent="0.25">
      <c r="A1147" s="1" t="str">
        <f>HYPERLINK("https://lynxcrm-apac--c.eu19.visual.force.com/0011i000001xnXRAAY","Department of Opthalmology")</f>
        <v>Department of Opthalmology</v>
      </c>
      <c r="B1147" t="s">
        <v>2626</v>
      </c>
      <c r="C1147" t="s">
        <v>10</v>
      </c>
      <c r="D1147" t="s">
        <v>8</v>
      </c>
      <c r="E1147" t="s">
        <v>8</v>
      </c>
      <c r="F1147" t="s">
        <v>252</v>
      </c>
      <c r="G1147" t="s">
        <v>251</v>
      </c>
      <c r="H1147" t="s">
        <v>251</v>
      </c>
      <c r="I1147" t="s">
        <v>253</v>
      </c>
    </row>
    <row r="1148" spans="1:9" x14ac:dyDescent="0.25">
      <c r="A1148" s="1" t="str">
        <f>HYPERLINK("https://lynxcrm-apac--c.eu19.visual.force.com/0011i000001xmiwAAA","Department of Opthalmology")</f>
        <v>Department of Opthalmology</v>
      </c>
      <c r="B1148" t="s">
        <v>2627</v>
      </c>
      <c r="C1148" t="s">
        <v>10</v>
      </c>
      <c r="D1148" t="s">
        <v>8</v>
      </c>
      <c r="E1148" t="s">
        <v>8</v>
      </c>
      <c r="F1148" t="s">
        <v>252</v>
      </c>
      <c r="G1148" t="s">
        <v>251</v>
      </c>
      <c r="H1148" t="s">
        <v>251</v>
      </c>
      <c r="I1148" t="s">
        <v>253</v>
      </c>
    </row>
    <row r="1149" spans="1:9" x14ac:dyDescent="0.25">
      <c r="A1149" s="1" t="str">
        <f>HYPERLINK("https://lynxcrm-apac--c.eu19.visual.force.com/0011i000001xmriAAA","Department of Opthalmology")</f>
        <v>Department of Opthalmology</v>
      </c>
      <c r="B1149" t="s">
        <v>2628</v>
      </c>
      <c r="C1149" t="s">
        <v>10</v>
      </c>
      <c r="D1149" t="s">
        <v>8</v>
      </c>
      <c r="E1149" t="s">
        <v>8</v>
      </c>
      <c r="F1149" t="s">
        <v>258</v>
      </c>
      <c r="G1149" t="s">
        <v>261</v>
      </c>
      <c r="H1149" t="s">
        <v>261</v>
      </c>
      <c r="I1149" t="s">
        <v>260</v>
      </c>
    </row>
    <row r="1150" spans="1:9" x14ac:dyDescent="0.25">
      <c r="A1150" s="1" t="str">
        <f>HYPERLINK("https://lynxcrm-apac--c.eu19.visual.force.com/0011i000001xnSCAAY","Department of Opthalmology")</f>
        <v>Department of Opthalmology</v>
      </c>
      <c r="B1150" t="s">
        <v>2629</v>
      </c>
      <c r="C1150" t="s">
        <v>10</v>
      </c>
      <c r="D1150" t="s">
        <v>8</v>
      </c>
      <c r="E1150" t="s">
        <v>8</v>
      </c>
      <c r="F1150" t="s">
        <v>252</v>
      </c>
      <c r="G1150" t="s">
        <v>251</v>
      </c>
      <c r="H1150" t="s">
        <v>251</v>
      </c>
      <c r="I1150" t="s">
        <v>253</v>
      </c>
    </row>
    <row r="1151" spans="1:9" x14ac:dyDescent="0.25">
      <c r="A1151" s="1" t="str">
        <f>HYPERLINK("https://lynxcrm-apac--c.eu19.visual.force.com/0011i000001xmrhAAA","Department of Opthalmology")</f>
        <v>Department of Opthalmology</v>
      </c>
      <c r="B1151" t="s">
        <v>2630</v>
      </c>
      <c r="C1151" t="s">
        <v>10</v>
      </c>
      <c r="D1151" t="s">
        <v>8</v>
      </c>
      <c r="E1151" t="s">
        <v>8</v>
      </c>
      <c r="F1151" t="s">
        <v>258</v>
      </c>
      <c r="G1151" t="s">
        <v>261</v>
      </c>
      <c r="H1151" t="s">
        <v>261</v>
      </c>
      <c r="I1151" t="s">
        <v>260</v>
      </c>
    </row>
    <row r="1152" spans="1:9" x14ac:dyDescent="0.25">
      <c r="A1152" s="1" t="str">
        <f>HYPERLINK("https://lynxcrm-apac--c.eu19.visual.force.com/0011i000001xn3vAAA","Department of Opthalmology")</f>
        <v>Department of Opthalmology</v>
      </c>
      <c r="B1152" t="s">
        <v>2631</v>
      </c>
      <c r="C1152" t="s">
        <v>10</v>
      </c>
      <c r="D1152" t="s">
        <v>8</v>
      </c>
      <c r="E1152" t="s">
        <v>8</v>
      </c>
      <c r="F1152" t="s">
        <v>258</v>
      </c>
      <c r="G1152" t="s">
        <v>261</v>
      </c>
      <c r="H1152" t="s">
        <v>261</v>
      </c>
      <c r="I1152" t="s">
        <v>260</v>
      </c>
    </row>
    <row r="1153" spans="1:9" x14ac:dyDescent="0.25">
      <c r="A1153" s="1" t="str">
        <f>HYPERLINK("https://lynxcrm-apac--c.eu19.visual.force.com/0011i000001xnM8AAI","Department of Opthalmology")</f>
        <v>Department of Opthalmology</v>
      </c>
      <c r="B1153" t="s">
        <v>2632</v>
      </c>
      <c r="C1153" t="s">
        <v>10</v>
      </c>
      <c r="D1153" t="s">
        <v>8</v>
      </c>
      <c r="E1153" t="s">
        <v>8</v>
      </c>
      <c r="F1153" t="s">
        <v>258</v>
      </c>
      <c r="G1153" t="s">
        <v>261</v>
      </c>
      <c r="H1153" t="s">
        <v>261</v>
      </c>
      <c r="I1153" t="s">
        <v>260</v>
      </c>
    </row>
    <row r="1154" spans="1:9" x14ac:dyDescent="0.25">
      <c r="A1154" s="1" t="str">
        <f>HYPERLINK("https://lynxcrm-apac--c.eu19.visual.force.com/0011i000001xnLcAAI","Department of Orthopaedic")</f>
        <v>Department of Orthopaedic</v>
      </c>
      <c r="B1154" t="s">
        <v>2633</v>
      </c>
      <c r="C1154" t="s">
        <v>10</v>
      </c>
      <c r="D1154" t="s">
        <v>8</v>
      </c>
      <c r="E1154" t="s">
        <v>8</v>
      </c>
      <c r="F1154" t="s">
        <v>252</v>
      </c>
      <c r="G1154" t="s">
        <v>251</v>
      </c>
      <c r="H1154" t="s">
        <v>251</v>
      </c>
      <c r="I1154" t="s">
        <v>253</v>
      </c>
    </row>
    <row r="1155" spans="1:9" x14ac:dyDescent="0.25">
      <c r="A1155" s="1" t="str">
        <f>HYPERLINK("https://lynxcrm-apac--c.eu19.visual.force.com/0011i000001xmlaAAA","Department of Orthopaedic")</f>
        <v>Department of Orthopaedic</v>
      </c>
      <c r="B1155" t="s">
        <v>2634</v>
      </c>
      <c r="C1155" t="s">
        <v>10</v>
      </c>
      <c r="D1155" t="s">
        <v>8</v>
      </c>
      <c r="E1155" t="s">
        <v>8</v>
      </c>
      <c r="F1155" t="s">
        <v>261</v>
      </c>
      <c r="G1155" t="s">
        <v>347</v>
      </c>
      <c r="H1155" t="s">
        <v>347</v>
      </c>
      <c r="I1155" t="s">
        <v>415</v>
      </c>
    </row>
    <row r="1156" spans="1:9" x14ac:dyDescent="0.25">
      <c r="A1156" s="1" t="str">
        <f>HYPERLINK("https://lynxcrm-apac--c.eu19.visual.force.com/0011i000001xnYjAAI","Department of Orthopaedic")</f>
        <v>Department of Orthopaedic</v>
      </c>
      <c r="B1156" t="s">
        <v>2635</v>
      </c>
      <c r="C1156" t="s">
        <v>10</v>
      </c>
      <c r="D1156" t="s">
        <v>8</v>
      </c>
      <c r="E1156" t="s">
        <v>8</v>
      </c>
      <c r="F1156" t="s">
        <v>584</v>
      </c>
      <c r="G1156" t="s">
        <v>583</v>
      </c>
      <c r="H1156" t="s">
        <v>583</v>
      </c>
      <c r="I1156" t="s">
        <v>585</v>
      </c>
    </row>
    <row r="1157" spans="1:9" x14ac:dyDescent="0.25">
      <c r="A1157" s="1" t="str">
        <f>HYPERLINK("https://lynxcrm-apac--c.eu19.visual.force.com/0011i000001xmexAAA","Departmen tof Orthopaedic")</f>
        <v>Departmen tof Orthopaedic</v>
      </c>
      <c r="B1157" t="s">
        <v>2636</v>
      </c>
      <c r="C1157" t="s">
        <v>10</v>
      </c>
      <c r="D1157" t="s">
        <v>8</v>
      </c>
      <c r="E1157" t="s">
        <v>8</v>
      </c>
      <c r="F1157" t="s">
        <v>252</v>
      </c>
      <c r="G1157" t="s">
        <v>251</v>
      </c>
      <c r="H1157" t="s">
        <v>251</v>
      </c>
      <c r="I1157" t="s">
        <v>253</v>
      </c>
    </row>
    <row r="1158" spans="1:9" x14ac:dyDescent="0.25">
      <c r="A1158" s="1" t="str">
        <f>HYPERLINK("https://lynxcrm-apac--c.eu19.visual.force.com/0011i000001xmqGAAQ","Department of Pathology")</f>
        <v>Department of Pathology</v>
      </c>
      <c r="B1158" t="s">
        <v>2637</v>
      </c>
      <c r="C1158" t="s">
        <v>10</v>
      </c>
      <c r="D1158" t="s">
        <v>8</v>
      </c>
      <c r="E1158" t="s">
        <v>8</v>
      </c>
      <c r="F1158" t="s">
        <v>252</v>
      </c>
      <c r="G1158" t="s">
        <v>251</v>
      </c>
      <c r="H1158" t="s">
        <v>251</v>
      </c>
      <c r="I1158" t="s">
        <v>253</v>
      </c>
    </row>
    <row r="1159" spans="1:9" x14ac:dyDescent="0.25">
      <c r="A1159" s="1" t="str">
        <f>HYPERLINK("https://lynxcrm-apac--c.eu19.visual.force.com/0011i000001xnZDAAY","Department of Pharmacology")</f>
        <v>Department of Pharmacology</v>
      </c>
      <c r="B1159" t="s">
        <v>2638</v>
      </c>
      <c r="C1159" t="s">
        <v>10</v>
      </c>
      <c r="D1159" t="s">
        <v>8</v>
      </c>
      <c r="E1159" t="s">
        <v>8</v>
      </c>
      <c r="F1159" t="s">
        <v>609</v>
      </c>
      <c r="G1159" t="s">
        <v>1307</v>
      </c>
      <c r="H1159" t="s">
        <v>1307</v>
      </c>
      <c r="I1159" t="s">
        <v>610</v>
      </c>
    </row>
    <row r="1160" spans="1:9" x14ac:dyDescent="0.25">
      <c r="A1160" s="1" t="str">
        <f>HYPERLINK("https://lynxcrm-apac--c.eu19.visual.force.com/0011i000001xnbEAAQ","Department of Pharmacy")</f>
        <v>Department of Pharmacy</v>
      </c>
      <c r="B1160" t="s">
        <v>2639</v>
      </c>
      <c r="C1160" t="s">
        <v>10</v>
      </c>
      <c r="D1160" t="s">
        <v>8</v>
      </c>
      <c r="E1160" t="s">
        <v>8</v>
      </c>
      <c r="F1160" t="s">
        <v>258</v>
      </c>
      <c r="G1160" t="s">
        <v>261</v>
      </c>
      <c r="H1160" t="s">
        <v>261</v>
      </c>
      <c r="I1160" t="s">
        <v>260</v>
      </c>
    </row>
    <row r="1161" spans="1:9" x14ac:dyDescent="0.25">
      <c r="A1161" s="1" t="str">
        <f>HYPERLINK("https://lynxcrm-apac--c.eu19.visual.force.com/0011i000001xmtaAAA","Department of Pharmacy")</f>
        <v>Department of Pharmacy</v>
      </c>
      <c r="B1161" t="s">
        <v>2640</v>
      </c>
      <c r="C1161" t="s">
        <v>10</v>
      </c>
      <c r="D1161" t="s">
        <v>8</v>
      </c>
      <c r="E1161" t="s">
        <v>8</v>
      </c>
      <c r="F1161" t="s">
        <v>20</v>
      </c>
      <c r="G1161" t="s">
        <v>21</v>
      </c>
      <c r="H1161" t="s">
        <v>21</v>
      </c>
      <c r="I1161" t="s">
        <v>22</v>
      </c>
    </row>
    <row r="1162" spans="1:9" x14ac:dyDescent="0.25">
      <c r="A1162" s="1" t="str">
        <f>HYPERLINK("https://lynxcrm-apac--c.eu19.visual.force.com/0011i000001xn7WAAQ","Department of Pharmacy")</f>
        <v>Department of Pharmacy</v>
      </c>
      <c r="B1162" t="s">
        <v>2641</v>
      </c>
      <c r="C1162" t="s">
        <v>10</v>
      </c>
      <c r="D1162" t="s">
        <v>8</v>
      </c>
      <c r="E1162" t="s">
        <v>8</v>
      </c>
      <c r="F1162" t="s">
        <v>147</v>
      </c>
      <c r="G1162" t="s">
        <v>148</v>
      </c>
      <c r="H1162" t="s">
        <v>148</v>
      </c>
      <c r="I1162" t="s">
        <v>149</v>
      </c>
    </row>
    <row r="1163" spans="1:9" x14ac:dyDescent="0.25">
      <c r="A1163" s="1" t="str">
        <f>HYPERLINK("https://lynxcrm-apac--c.eu19.visual.force.com/0011i000001xmwbAAA","Department of Psychiatry")</f>
        <v>Department of Psychiatry</v>
      </c>
      <c r="B1163" t="s">
        <v>2642</v>
      </c>
      <c r="C1163" t="s">
        <v>10</v>
      </c>
      <c r="D1163" t="s">
        <v>8</v>
      </c>
      <c r="E1163" t="s">
        <v>8</v>
      </c>
      <c r="F1163" t="s">
        <v>428</v>
      </c>
      <c r="G1163" t="s">
        <v>429</v>
      </c>
      <c r="H1163" t="s">
        <v>429</v>
      </c>
      <c r="I1163" t="s">
        <v>430</v>
      </c>
    </row>
    <row r="1164" spans="1:9" x14ac:dyDescent="0.25">
      <c r="A1164" s="1" t="str">
        <f>HYPERLINK("https://lynxcrm-apac--c.eu19.visual.force.com/0011i000001xnN3AAI","Department of Renal")</f>
        <v>Department of Renal</v>
      </c>
      <c r="B1164" t="s">
        <v>2643</v>
      </c>
      <c r="C1164" t="s">
        <v>10</v>
      </c>
      <c r="D1164" t="s">
        <v>8</v>
      </c>
      <c r="E1164" t="s">
        <v>8</v>
      </c>
      <c r="F1164" t="s">
        <v>258</v>
      </c>
      <c r="G1164" t="s">
        <v>261</v>
      </c>
      <c r="H1164" t="s">
        <v>261</v>
      </c>
      <c r="I1164" t="s">
        <v>260</v>
      </c>
    </row>
    <row r="1165" spans="1:9" x14ac:dyDescent="0.25">
      <c r="A1165" s="1" t="str">
        <f>HYPERLINK("https://lynxcrm-apac--c.eu19.visual.force.com/0011i000001xnMLAAY","Department of Rheumatology")</f>
        <v>Department of Rheumatology</v>
      </c>
      <c r="B1165" t="s">
        <v>2644</v>
      </c>
      <c r="C1165" t="s">
        <v>10</v>
      </c>
      <c r="D1165" t="s">
        <v>8</v>
      </c>
      <c r="E1165" t="s">
        <v>8</v>
      </c>
      <c r="F1165" t="s">
        <v>258</v>
      </c>
      <c r="G1165" t="s">
        <v>261</v>
      </c>
      <c r="H1165" t="s">
        <v>261</v>
      </c>
      <c r="I1165" t="s">
        <v>260</v>
      </c>
    </row>
    <row r="1166" spans="1:9" x14ac:dyDescent="0.25">
      <c r="A1166" s="1" t="str">
        <f>HYPERLINK("https://lynxcrm-apac--c.eu19.visual.force.com/0011i000001xnQCAAY","Department of Rheumatology")</f>
        <v>Department of Rheumatology</v>
      </c>
      <c r="B1166" t="s">
        <v>2645</v>
      </c>
      <c r="C1166" t="s">
        <v>10</v>
      </c>
      <c r="D1166" t="s">
        <v>8</v>
      </c>
      <c r="E1166" t="s">
        <v>8</v>
      </c>
      <c r="F1166" t="s">
        <v>252</v>
      </c>
      <c r="G1166" t="s">
        <v>251</v>
      </c>
      <c r="H1166" t="s">
        <v>251</v>
      </c>
      <c r="I1166" t="s">
        <v>253</v>
      </c>
    </row>
    <row r="1167" spans="1:9" x14ac:dyDescent="0.25">
      <c r="A1167" s="1" t="str">
        <f>HYPERLINK("https://lynxcrm-apac--c.eu19.visual.force.com/0011i000001xnZ7AAI","Department of Surgery")</f>
        <v>Department of Surgery</v>
      </c>
      <c r="B1167" t="s">
        <v>2646</v>
      </c>
      <c r="C1167" t="s">
        <v>10</v>
      </c>
      <c r="D1167" t="s">
        <v>8</v>
      </c>
      <c r="E1167" t="s">
        <v>8</v>
      </c>
      <c r="F1167" t="s">
        <v>584</v>
      </c>
      <c r="G1167" t="s">
        <v>583</v>
      </c>
      <c r="H1167" t="s">
        <v>583</v>
      </c>
      <c r="I1167" t="s">
        <v>585</v>
      </c>
    </row>
    <row r="1168" spans="1:9" x14ac:dyDescent="0.25">
      <c r="A1168" s="1" t="str">
        <f>HYPERLINK("https://lynxcrm-apac--c.eu19.visual.force.com/0011i000001xmjgAAA","Department of Surgery")</f>
        <v>Department of Surgery</v>
      </c>
      <c r="B1168" t="s">
        <v>2647</v>
      </c>
      <c r="C1168" t="s">
        <v>10</v>
      </c>
      <c r="D1168" t="s">
        <v>8</v>
      </c>
      <c r="E1168" t="s">
        <v>8</v>
      </c>
      <c r="F1168" t="s">
        <v>584</v>
      </c>
      <c r="G1168" t="s">
        <v>583</v>
      </c>
      <c r="H1168" t="s">
        <v>583</v>
      </c>
      <c r="I1168" t="s">
        <v>585</v>
      </c>
    </row>
    <row r="1169" spans="1:9" x14ac:dyDescent="0.25">
      <c r="A1169" s="1" t="str">
        <f>HYPERLINK("https://lynxcrm-apac--c.eu19.visual.force.com/0011i000001xnUVAAY","Department of Surgery")</f>
        <v>Department of Surgery</v>
      </c>
      <c r="B1169" t="s">
        <v>2648</v>
      </c>
      <c r="C1169" t="s">
        <v>10</v>
      </c>
      <c r="D1169" t="s">
        <v>8</v>
      </c>
      <c r="E1169" t="s">
        <v>8</v>
      </c>
      <c r="F1169" t="s">
        <v>584</v>
      </c>
      <c r="G1169" t="s">
        <v>583</v>
      </c>
      <c r="H1169" t="s">
        <v>583</v>
      </c>
      <c r="I1169" t="s">
        <v>585</v>
      </c>
    </row>
    <row r="1170" spans="1:9" x14ac:dyDescent="0.25">
      <c r="A1170" s="1" t="str">
        <f>HYPERLINK("https://lynxcrm-apac--c.eu19.visual.force.com/0011i000001xnUYAAY","Department of Surgery")</f>
        <v>Department of Surgery</v>
      </c>
      <c r="B1170" t="s">
        <v>2649</v>
      </c>
      <c r="C1170" t="s">
        <v>10</v>
      </c>
      <c r="D1170" t="s">
        <v>8</v>
      </c>
      <c r="E1170" t="s">
        <v>8</v>
      </c>
      <c r="F1170" t="s">
        <v>584</v>
      </c>
      <c r="G1170" t="s">
        <v>583</v>
      </c>
      <c r="H1170" t="s">
        <v>583</v>
      </c>
      <c r="I1170" t="s">
        <v>585</v>
      </c>
    </row>
    <row r="1171" spans="1:9" x14ac:dyDescent="0.25">
      <c r="A1171" s="1" t="str">
        <f>HYPERLINK("https://lynxcrm-apac--c.eu19.visual.force.com/0011i000001xnZ4AAI","Department of Surgery")</f>
        <v>Department of Surgery</v>
      </c>
      <c r="B1171" t="s">
        <v>2650</v>
      </c>
      <c r="C1171" t="s">
        <v>10</v>
      </c>
      <c r="D1171" t="s">
        <v>8</v>
      </c>
      <c r="E1171" t="s">
        <v>8</v>
      </c>
      <c r="F1171" t="s">
        <v>584</v>
      </c>
      <c r="G1171" t="s">
        <v>583</v>
      </c>
      <c r="H1171" t="s">
        <v>583</v>
      </c>
      <c r="I1171" t="s">
        <v>585</v>
      </c>
    </row>
    <row r="1172" spans="1:9" x14ac:dyDescent="0.25">
      <c r="A1172" s="1" t="str">
        <f>HYPERLINK("https://lynxcrm-apac--c.eu19.visual.force.com/0011i000001xn5AAAQ","Department of Surgery")</f>
        <v>Department of Surgery</v>
      </c>
      <c r="B1172" t="s">
        <v>2651</v>
      </c>
      <c r="C1172" t="s">
        <v>10</v>
      </c>
      <c r="D1172" t="s">
        <v>8</v>
      </c>
      <c r="E1172" t="s">
        <v>8</v>
      </c>
      <c r="F1172" t="s">
        <v>452</v>
      </c>
      <c r="G1172" t="s">
        <v>449</v>
      </c>
      <c r="H1172" t="s">
        <v>449</v>
      </c>
      <c r="I1172" t="s">
        <v>454</v>
      </c>
    </row>
    <row r="1173" spans="1:9" x14ac:dyDescent="0.25">
      <c r="A1173" s="1" t="str">
        <f>HYPERLINK("https://lynxcrm-apac--c.eu19.visual.force.com/0011i000001xnQ2AAI","Department of Surgery")</f>
        <v>Department of Surgery</v>
      </c>
      <c r="B1173" t="s">
        <v>2652</v>
      </c>
      <c r="C1173" t="s">
        <v>10</v>
      </c>
      <c r="D1173" t="s">
        <v>8</v>
      </c>
      <c r="E1173" t="s">
        <v>8</v>
      </c>
      <c r="F1173" t="s">
        <v>252</v>
      </c>
      <c r="G1173" t="s">
        <v>251</v>
      </c>
      <c r="H1173" t="s">
        <v>251</v>
      </c>
      <c r="I1173" t="s">
        <v>253</v>
      </c>
    </row>
    <row r="1174" spans="1:9" x14ac:dyDescent="0.25">
      <c r="A1174" s="1" t="str">
        <f>HYPERLINK("https://lynxcrm-apac--c.eu19.visual.force.com/0011i000001xnURAAY","Department of Urology")</f>
        <v>Department of Urology</v>
      </c>
      <c r="B1174" t="s">
        <v>2653</v>
      </c>
      <c r="C1174" t="s">
        <v>10</v>
      </c>
      <c r="D1174" t="s">
        <v>8</v>
      </c>
      <c r="E1174" t="s">
        <v>8</v>
      </c>
      <c r="F1174" t="s">
        <v>584</v>
      </c>
      <c r="G1174" t="s">
        <v>583</v>
      </c>
      <c r="H1174" t="s">
        <v>583</v>
      </c>
      <c r="I1174" t="s">
        <v>585</v>
      </c>
    </row>
    <row r="1175" spans="1:9" x14ac:dyDescent="0.25">
      <c r="A1175" s="1" t="str">
        <f>HYPERLINK("https://lynxcrm-apac--c.eu19.visual.force.com/0011i000001xnZ5AAI","Department of Urology")</f>
        <v>Department of Urology</v>
      </c>
      <c r="B1175" t="s">
        <v>2654</v>
      </c>
      <c r="C1175" t="s">
        <v>10</v>
      </c>
      <c r="D1175" t="s">
        <v>8</v>
      </c>
      <c r="E1175" t="s">
        <v>8</v>
      </c>
      <c r="F1175" t="s">
        <v>584</v>
      </c>
      <c r="G1175" t="s">
        <v>583</v>
      </c>
      <c r="H1175" t="s">
        <v>583</v>
      </c>
      <c r="I1175" t="s">
        <v>585</v>
      </c>
    </row>
    <row r="1176" spans="1:9" x14ac:dyDescent="0.25">
      <c r="A1176" s="1" t="str">
        <f>HYPERLINK("https://lynxcrm-apac--c.eu19.visual.force.com/0011i000001xnJrAAI","Department of Urology")</f>
        <v>Department of Urology</v>
      </c>
      <c r="B1176" t="s">
        <v>2655</v>
      </c>
      <c r="C1176" t="s">
        <v>10</v>
      </c>
      <c r="D1176" t="s">
        <v>8</v>
      </c>
      <c r="E1176" t="s">
        <v>8</v>
      </c>
      <c r="F1176" t="s">
        <v>584</v>
      </c>
      <c r="G1176" t="s">
        <v>583</v>
      </c>
      <c r="H1176" t="s">
        <v>583</v>
      </c>
      <c r="I1176" t="s">
        <v>585</v>
      </c>
    </row>
    <row r="1177" spans="1:9" x14ac:dyDescent="0.25">
      <c r="A1177" s="1" t="str">
        <f>HYPERLINK("https://lynxcrm-apac--c.eu19.visual.force.com/0011i000001xnL4AAI","Department of Urology")</f>
        <v>Department of Urology</v>
      </c>
      <c r="B1177" t="s">
        <v>2656</v>
      </c>
      <c r="C1177" t="s">
        <v>10</v>
      </c>
      <c r="D1177" t="s">
        <v>8</v>
      </c>
      <c r="E1177" t="s">
        <v>8</v>
      </c>
      <c r="F1177" t="s">
        <v>584</v>
      </c>
      <c r="G1177" t="s">
        <v>583</v>
      </c>
      <c r="H1177" t="s">
        <v>583</v>
      </c>
      <c r="I1177" t="s">
        <v>585</v>
      </c>
    </row>
    <row r="1178" spans="1:9" x14ac:dyDescent="0.25">
      <c r="A1178" s="1" t="str">
        <f>HYPERLINK("https://lynxcrm-apac--c.eu19.visual.force.com/0011i000001xmbcAAA","Department of Urology")</f>
        <v>Department of Urology</v>
      </c>
      <c r="B1178" t="s">
        <v>2657</v>
      </c>
      <c r="C1178" t="s">
        <v>10</v>
      </c>
      <c r="D1178" t="s">
        <v>8</v>
      </c>
      <c r="E1178" t="s">
        <v>8</v>
      </c>
      <c r="F1178" t="s">
        <v>252</v>
      </c>
      <c r="G1178" t="s">
        <v>251</v>
      </c>
      <c r="H1178" t="s">
        <v>251</v>
      </c>
      <c r="I1178" t="s">
        <v>253</v>
      </c>
    </row>
    <row r="1179" spans="1:9" x14ac:dyDescent="0.25">
      <c r="A1179" s="1" t="str">
        <f>HYPERLINK("https://lynxcrm-apac--c.eu19.visual.force.com/0011i000001xmryAAA","Department of Urology")</f>
        <v>Department of Urology</v>
      </c>
      <c r="B1179" t="s">
        <v>2658</v>
      </c>
      <c r="C1179" t="s">
        <v>10</v>
      </c>
      <c r="D1179" t="s">
        <v>8</v>
      </c>
      <c r="E1179" t="s">
        <v>8</v>
      </c>
      <c r="F1179" t="s">
        <v>258</v>
      </c>
      <c r="G1179" t="s">
        <v>261</v>
      </c>
      <c r="H1179" t="s">
        <v>261</v>
      </c>
      <c r="I1179" t="s">
        <v>260</v>
      </c>
    </row>
    <row r="1180" spans="1:9" x14ac:dyDescent="0.25">
      <c r="A1180" s="1" t="str">
        <f>HYPERLINK("https://lynxcrm-apac--c.eu19.visual.force.com/0011i000001xnZ8AAI","Department of Urology")</f>
        <v>Department of Urology</v>
      </c>
      <c r="B1180" t="s">
        <v>2659</v>
      </c>
      <c r="C1180" t="s">
        <v>10</v>
      </c>
      <c r="D1180" t="s">
        <v>8</v>
      </c>
      <c r="E1180" t="s">
        <v>8</v>
      </c>
      <c r="F1180" t="s">
        <v>584</v>
      </c>
      <c r="G1180" t="s">
        <v>583</v>
      </c>
      <c r="H1180" t="s">
        <v>583</v>
      </c>
      <c r="I1180" t="s">
        <v>585</v>
      </c>
    </row>
    <row r="1181" spans="1:9" x14ac:dyDescent="0.25">
      <c r="A1181" s="1" t="str">
        <f>HYPERLINK("https://lynxcrm-apac--c.eu19.visual.force.com/0011i000001xnaNAAQ","Department opf A&amp;E")</f>
        <v>Department opf A&amp;E</v>
      </c>
      <c r="B1181" t="s">
        <v>2660</v>
      </c>
      <c r="C1181" t="s">
        <v>10</v>
      </c>
      <c r="D1181" t="s">
        <v>8</v>
      </c>
      <c r="E1181" t="s">
        <v>8</v>
      </c>
      <c r="F1181" t="s">
        <v>258</v>
      </c>
      <c r="G1181" t="s">
        <v>261</v>
      </c>
      <c r="H1181" t="s">
        <v>261</v>
      </c>
      <c r="I1181" t="s">
        <v>260</v>
      </c>
    </row>
    <row r="1182" spans="1:9" x14ac:dyDescent="0.25">
      <c r="A1182" s="1" t="str">
        <f>HYPERLINK("https://lynxcrm-apac--c.eu19.visual.force.com/0011i000001xmj1AAA","Departmentt of Surgery")</f>
        <v>Departmentt of Surgery</v>
      </c>
      <c r="B1182" t="s">
        <v>2661</v>
      </c>
      <c r="C1182" t="s">
        <v>10</v>
      </c>
      <c r="D1182" t="s">
        <v>8</v>
      </c>
      <c r="E1182" t="s">
        <v>8</v>
      </c>
      <c r="F1182" t="s">
        <v>584</v>
      </c>
      <c r="G1182" t="s">
        <v>583</v>
      </c>
      <c r="H1182" t="s">
        <v>583</v>
      </c>
      <c r="I1182" t="s">
        <v>585</v>
      </c>
    </row>
    <row r="1183" spans="1:9" x14ac:dyDescent="0.25">
      <c r="A1183" s="1" t="str">
        <f>HYPERLINK("https://lynxcrm-apac--c.eu19.visual.force.com/0011i000001xmchAAA","Departmnet of A&amp;E")</f>
        <v>Departmnet of A&amp;E</v>
      </c>
      <c r="B1183" t="s">
        <v>2662</v>
      </c>
      <c r="C1183" t="s">
        <v>10</v>
      </c>
      <c r="D1183" t="s">
        <v>8</v>
      </c>
      <c r="E1183" t="s">
        <v>8</v>
      </c>
      <c r="F1183" t="s">
        <v>258</v>
      </c>
      <c r="G1183" t="s">
        <v>261</v>
      </c>
      <c r="H1183" t="s">
        <v>261</v>
      </c>
      <c r="I1183" t="s">
        <v>260</v>
      </c>
    </row>
    <row r="1184" spans="1:9" x14ac:dyDescent="0.25">
      <c r="A1184" s="1" t="str">
        <f>HYPERLINK("https://lynxcrm-apac--c.eu19.visual.force.com/0011i000001xn6hAAA","Dept of Cardiac Anaesthesia")</f>
        <v>Dept of Cardiac Anaesthesia</v>
      </c>
      <c r="B1184" t="s">
        <v>2663</v>
      </c>
      <c r="C1184" t="s">
        <v>10</v>
      </c>
      <c r="D1184" t="s">
        <v>8</v>
      </c>
      <c r="E1184" t="s">
        <v>8</v>
      </c>
      <c r="F1184" t="s">
        <v>452</v>
      </c>
      <c r="G1184" t="s">
        <v>449</v>
      </c>
      <c r="H1184" t="s">
        <v>449</v>
      </c>
      <c r="I1184" t="s">
        <v>454</v>
      </c>
    </row>
    <row r="1185" spans="1:9" x14ac:dyDescent="0.25">
      <c r="A1185" s="1" t="str">
        <f>HYPERLINK("https://lynxcrm-apac--c.eu19.visual.force.com/0011i000001xnN9AAI","Dept of Cardiac Anaesthesia")</f>
        <v>Dept of Cardiac Anaesthesia</v>
      </c>
      <c r="B1185" t="s">
        <v>2664</v>
      </c>
      <c r="C1185" t="s">
        <v>10</v>
      </c>
      <c r="D1185" t="s">
        <v>8</v>
      </c>
      <c r="E1185" t="s">
        <v>8</v>
      </c>
      <c r="F1185" t="s">
        <v>452</v>
      </c>
      <c r="G1185" t="s">
        <v>449</v>
      </c>
      <c r="H1185" t="s">
        <v>449</v>
      </c>
      <c r="I1185" t="s">
        <v>454</v>
      </c>
    </row>
    <row r="1186" spans="1:9" x14ac:dyDescent="0.25">
      <c r="A1186" s="1" t="str">
        <f>HYPERLINK("https://lynxcrm-apac--c.eu19.visual.force.com/0011i000001xnNBAAY","Dept of Cardiac Anaesthesia")</f>
        <v>Dept of Cardiac Anaesthesia</v>
      </c>
      <c r="B1186" t="s">
        <v>2665</v>
      </c>
      <c r="C1186" t="s">
        <v>10</v>
      </c>
      <c r="D1186" t="s">
        <v>8</v>
      </c>
      <c r="E1186" t="s">
        <v>8</v>
      </c>
      <c r="F1186" t="s">
        <v>452</v>
      </c>
      <c r="G1186" t="s">
        <v>449</v>
      </c>
      <c r="H1186" t="s">
        <v>449</v>
      </c>
      <c r="I1186" t="s">
        <v>454</v>
      </c>
    </row>
    <row r="1187" spans="1:9" x14ac:dyDescent="0.25">
      <c r="A1187" s="1" t="str">
        <f>HYPERLINK("https://lynxcrm-apac--c.eu19.visual.force.com/0011i000001xmhTAAQ","Dept of Cardiac Anaesthesia")</f>
        <v>Dept of Cardiac Anaesthesia</v>
      </c>
      <c r="B1187" t="s">
        <v>2666</v>
      </c>
      <c r="C1187" t="s">
        <v>10</v>
      </c>
      <c r="D1187" t="s">
        <v>8</v>
      </c>
      <c r="E1187" t="s">
        <v>8</v>
      </c>
      <c r="F1187" t="s">
        <v>452</v>
      </c>
      <c r="G1187" t="s">
        <v>449</v>
      </c>
      <c r="H1187" t="s">
        <v>449</v>
      </c>
      <c r="I1187" t="s">
        <v>454</v>
      </c>
    </row>
    <row r="1188" spans="1:9" x14ac:dyDescent="0.25">
      <c r="A1188" s="1" t="str">
        <f>HYPERLINK("https://lynxcrm-apac--c.eu19.visual.force.com/0011i000001xmnYAAQ","Dept of Cardiac Anaesthesia")</f>
        <v>Dept of Cardiac Anaesthesia</v>
      </c>
      <c r="B1188" t="s">
        <v>2667</v>
      </c>
      <c r="C1188" t="s">
        <v>10</v>
      </c>
      <c r="D1188" t="s">
        <v>8</v>
      </c>
      <c r="E1188" t="s">
        <v>8</v>
      </c>
      <c r="F1188" t="s">
        <v>452</v>
      </c>
      <c r="G1188" t="s">
        <v>449</v>
      </c>
      <c r="H1188" t="s">
        <v>449</v>
      </c>
      <c r="I1188" t="s">
        <v>454</v>
      </c>
    </row>
    <row r="1189" spans="1:9" x14ac:dyDescent="0.25">
      <c r="A1189" s="1" t="str">
        <f>HYPERLINK("https://lynxcrm-apac--c.eu19.visual.force.com/0011i000001xmqeAAA","Dept of Colorectal Surgery")</f>
        <v>Dept of Colorectal Surgery</v>
      </c>
      <c r="B1189" t="s">
        <v>2668</v>
      </c>
      <c r="C1189" t="s">
        <v>10</v>
      </c>
      <c r="D1189" t="s">
        <v>8</v>
      </c>
      <c r="E1189" t="s">
        <v>8</v>
      </c>
      <c r="F1189" t="s">
        <v>584</v>
      </c>
      <c r="G1189" t="s">
        <v>583</v>
      </c>
      <c r="H1189" t="s">
        <v>583</v>
      </c>
      <c r="I1189" t="s">
        <v>585</v>
      </c>
    </row>
    <row r="1190" spans="1:9" x14ac:dyDescent="0.25">
      <c r="A1190" s="1" t="str">
        <f>HYPERLINK("https://lynxcrm-apac--c.eu19.visual.force.com/0011i000001xn1zAAA","Dept of Colorectal Surgery")</f>
        <v>Dept of Colorectal Surgery</v>
      </c>
      <c r="B1190" t="s">
        <v>2669</v>
      </c>
      <c r="C1190" t="s">
        <v>10</v>
      </c>
      <c r="D1190" t="s">
        <v>8</v>
      </c>
      <c r="E1190" t="s">
        <v>8</v>
      </c>
      <c r="F1190" t="s">
        <v>252</v>
      </c>
      <c r="G1190" t="s">
        <v>251</v>
      </c>
      <c r="H1190" t="s">
        <v>251</v>
      </c>
      <c r="I1190" t="s">
        <v>253</v>
      </c>
    </row>
    <row r="1191" spans="1:9" x14ac:dyDescent="0.25">
      <c r="A1191" s="1" t="str">
        <f>HYPERLINK("https://lynxcrm-apac--c.eu19.visual.force.com/0011i000001xnPhAAI","Dept of Colorectal Surgery")</f>
        <v>Dept of Colorectal Surgery</v>
      </c>
      <c r="B1191" t="s">
        <v>2670</v>
      </c>
      <c r="C1191" t="s">
        <v>10</v>
      </c>
      <c r="D1191" t="s">
        <v>8</v>
      </c>
      <c r="E1191" t="s">
        <v>8</v>
      </c>
      <c r="F1191" t="s">
        <v>252</v>
      </c>
      <c r="G1191" t="s">
        <v>251</v>
      </c>
      <c r="H1191" t="s">
        <v>251</v>
      </c>
      <c r="I1191" t="s">
        <v>253</v>
      </c>
    </row>
    <row r="1192" spans="1:9" x14ac:dyDescent="0.25">
      <c r="A1192" s="1" t="str">
        <f>HYPERLINK("https://lynxcrm-apac--c.eu19.visual.force.com/0011i000001xmfvAAA","Dept of Diagnostic Radiology")</f>
        <v>Dept of Diagnostic Radiology</v>
      </c>
      <c r="B1192" t="s">
        <v>2671</v>
      </c>
      <c r="C1192" t="s">
        <v>10</v>
      </c>
      <c r="D1192" t="s">
        <v>8</v>
      </c>
      <c r="E1192" t="s">
        <v>8</v>
      </c>
      <c r="F1192" t="s">
        <v>452</v>
      </c>
      <c r="G1192" t="s">
        <v>449</v>
      </c>
      <c r="H1192" t="s">
        <v>449</v>
      </c>
      <c r="I1192" t="s">
        <v>454</v>
      </c>
    </row>
    <row r="1193" spans="1:9" x14ac:dyDescent="0.25">
      <c r="A1193" s="1" t="str">
        <f>HYPERLINK("https://lynxcrm-apac--c.eu19.visual.force.com/0011i000001xn6iAAA","Dept of Diagnostic Radiology")</f>
        <v>Dept of Diagnostic Radiology</v>
      </c>
      <c r="B1193" t="s">
        <v>2672</v>
      </c>
      <c r="C1193" t="s">
        <v>10</v>
      </c>
      <c r="D1193" t="s">
        <v>8</v>
      </c>
      <c r="E1193" t="s">
        <v>8</v>
      </c>
      <c r="F1193" t="s">
        <v>452</v>
      </c>
      <c r="G1193" t="s">
        <v>449</v>
      </c>
      <c r="H1193" t="s">
        <v>449</v>
      </c>
      <c r="I1193" t="s">
        <v>454</v>
      </c>
    </row>
    <row r="1194" spans="1:9" x14ac:dyDescent="0.25">
      <c r="A1194" s="1" t="str">
        <f>HYPERLINK("https://lynxcrm-apac--c.eu19.visual.force.com/0011i000001xn6jAAA","Dept of Diagnostic Radiology")</f>
        <v>Dept of Diagnostic Radiology</v>
      </c>
      <c r="B1194" t="s">
        <v>2673</v>
      </c>
      <c r="C1194" t="s">
        <v>10</v>
      </c>
      <c r="D1194" t="s">
        <v>8</v>
      </c>
      <c r="E1194" t="s">
        <v>8</v>
      </c>
      <c r="F1194" t="s">
        <v>452</v>
      </c>
      <c r="G1194" t="s">
        <v>449</v>
      </c>
      <c r="H1194" t="s">
        <v>449</v>
      </c>
      <c r="I1194" t="s">
        <v>454</v>
      </c>
    </row>
    <row r="1195" spans="1:9" x14ac:dyDescent="0.25">
      <c r="A1195" s="1" t="str">
        <f>HYPERLINK("https://lynxcrm-apac--c.eu19.visual.force.com/0011i000001xnNCAAY","Dept of Diagnostic Radiology")</f>
        <v>Dept of Diagnostic Radiology</v>
      </c>
      <c r="B1195" t="s">
        <v>2674</v>
      </c>
      <c r="C1195" t="s">
        <v>10</v>
      </c>
      <c r="D1195" t="s">
        <v>8</v>
      </c>
      <c r="E1195" t="s">
        <v>8</v>
      </c>
      <c r="F1195" t="s">
        <v>452</v>
      </c>
      <c r="G1195" t="s">
        <v>449</v>
      </c>
      <c r="H1195" t="s">
        <v>449</v>
      </c>
      <c r="I1195" t="s">
        <v>454</v>
      </c>
    </row>
    <row r="1196" spans="1:9" x14ac:dyDescent="0.25">
      <c r="A1196" s="1" t="str">
        <f>HYPERLINK("https://lynxcrm-apac--c.eu19.visual.force.com/0011i000001xnNDAAY","Dept of Diagnostic Radiology")</f>
        <v>Dept of Diagnostic Radiology</v>
      </c>
      <c r="B1196" t="s">
        <v>2675</v>
      </c>
      <c r="C1196" t="s">
        <v>10</v>
      </c>
      <c r="D1196" t="s">
        <v>8</v>
      </c>
      <c r="E1196" t="s">
        <v>8</v>
      </c>
      <c r="F1196" t="s">
        <v>452</v>
      </c>
      <c r="G1196" t="s">
        <v>449</v>
      </c>
      <c r="H1196" t="s">
        <v>449</v>
      </c>
      <c r="I1196" t="s">
        <v>454</v>
      </c>
    </row>
    <row r="1197" spans="1:9" x14ac:dyDescent="0.25">
      <c r="A1197" s="1" t="str">
        <f>HYPERLINK("https://lynxcrm-apac--c.eu19.visual.force.com/0011i000001xmnGAAQ","Dept of Gastroenterology")</f>
        <v>Dept of Gastroenterology</v>
      </c>
      <c r="B1197" t="s">
        <v>2676</v>
      </c>
      <c r="C1197" t="s">
        <v>10</v>
      </c>
      <c r="D1197" t="s">
        <v>8</v>
      </c>
      <c r="E1197" t="s">
        <v>8</v>
      </c>
      <c r="F1197" t="s">
        <v>258</v>
      </c>
      <c r="G1197" t="s">
        <v>261</v>
      </c>
      <c r="H1197" t="s">
        <v>261</v>
      </c>
      <c r="I1197" t="s">
        <v>260</v>
      </c>
    </row>
    <row r="1198" spans="1:9" x14ac:dyDescent="0.25">
      <c r="A1198" s="1" t="str">
        <f>HYPERLINK("https://lynxcrm-apac--c.eu19.visual.force.com/0011i000001xmwqAAA","Dept of Gastroenterology")</f>
        <v>Dept of Gastroenterology</v>
      </c>
      <c r="B1198" t="s">
        <v>2677</v>
      </c>
      <c r="C1198" t="s">
        <v>10</v>
      </c>
      <c r="D1198" t="s">
        <v>8</v>
      </c>
      <c r="E1198" t="s">
        <v>8</v>
      </c>
      <c r="F1198" t="s">
        <v>584</v>
      </c>
      <c r="G1198" t="s">
        <v>583</v>
      </c>
      <c r="H1198" t="s">
        <v>583</v>
      </c>
      <c r="I1198" t="s">
        <v>585</v>
      </c>
    </row>
    <row r="1199" spans="1:9" x14ac:dyDescent="0.25">
      <c r="A1199" s="1" t="str">
        <f>HYPERLINK("https://lynxcrm-apac--c.eu19.visual.force.com/0011i000001xnRGAAY","Dept of Gastroenterology")</f>
        <v>Dept of Gastroenterology</v>
      </c>
      <c r="B1199" t="s">
        <v>2678</v>
      </c>
      <c r="C1199" t="s">
        <v>10</v>
      </c>
      <c r="D1199" t="s">
        <v>8</v>
      </c>
      <c r="E1199" t="s">
        <v>8</v>
      </c>
      <c r="F1199" t="s">
        <v>584</v>
      </c>
      <c r="G1199" t="s">
        <v>583</v>
      </c>
      <c r="H1199" t="s">
        <v>583</v>
      </c>
      <c r="I1199" t="s">
        <v>585</v>
      </c>
    </row>
    <row r="1200" spans="1:9" x14ac:dyDescent="0.25">
      <c r="A1200" s="1" t="str">
        <f>HYPERLINK("https://lynxcrm-apac--c.eu19.visual.force.com/0011i000001xnSpAAI","Dept of General Medicine")</f>
        <v>Dept of General Medicine</v>
      </c>
      <c r="B1200" t="s">
        <v>2679</v>
      </c>
      <c r="C1200" t="s">
        <v>10</v>
      </c>
      <c r="D1200" t="s">
        <v>8</v>
      </c>
      <c r="E1200" t="s">
        <v>8</v>
      </c>
      <c r="F1200" t="s">
        <v>258</v>
      </c>
      <c r="G1200" t="s">
        <v>261</v>
      </c>
      <c r="H1200" t="s">
        <v>261</v>
      </c>
      <c r="I1200" t="s">
        <v>260</v>
      </c>
    </row>
    <row r="1201" spans="1:9" x14ac:dyDescent="0.25">
      <c r="A1201" s="1" t="str">
        <f>HYPERLINK("https://lynxcrm-apac--c.eu19.visual.force.com/0011i000001xmdrAAA","Dept of General Surgery")</f>
        <v>Dept of General Surgery</v>
      </c>
      <c r="B1201" t="s">
        <v>2680</v>
      </c>
      <c r="C1201" t="s">
        <v>10</v>
      </c>
      <c r="D1201" t="s">
        <v>8</v>
      </c>
      <c r="E1201" t="s">
        <v>8</v>
      </c>
      <c r="F1201" t="s">
        <v>252</v>
      </c>
      <c r="G1201" t="s">
        <v>251</v>
      </c>
      <c r="H1201" t="s">
        <v>251</v>
      </c>
      <c r="I1201" t="s">
        <v>253</v>
      </c>
    </row>
    <row r="1202" spans="1:9" x14ac:dyDescent="0.25">
      <c r="A1202" s="1" t="str">
        <f>HYPERLINK("https://lynxcrm-apac--c.eu19.visual.force.com/0011i000001xmmxAAA","Dept of General Surgery")</f>
        <v>Dept of General Surgery</v>
      </c>
      <c r="B1202" t="s">
        <v>2681</v>
      </c>
      <c r="C1202" t="s">
        <v>10</v>
      </c>
      <c r="D1202" t="s">
        <v>8</v>
      </c>
      <c r="E1202" t="s">
        <v>8</v>
      </c>
      <c r="F1202" t="s">
        <v>252</v>
      </c>
      <c r="G1202" t="s">
        <v>251</v>
      </c>
      <c r="H1202" t="s">
        <v>251</v>
      </c>
      <c r="I1202" t="s">
        <v>253</v>
      </c>
    </row>
    <row r="1203" spans="1:9" x14ac:dyDescent="0.25">
      <c r="A1203" s="1" t="str">
        <f>HYPERLINK("https://lynxcrm-apac--c.eu19.visual.force.com/0011i000001xmofAAA","Dept of General Surgery")</f>
        <v>Dept of General Surgery</v>
      </c>
      <c r="B1203" t="s">
        <v>2682</v>
      </c>
      <c r="C1203" t="s">
        <v>10</v>
      </c>
      <c r="D1203" t="s">
        <v>8</v>
      </c>
      <c r="E1203" t="s">
        <v>8</v>
      </c>
      <c r="F1203" t="s">
        <v>258</v>
      </c>
      <c r="G1203" t="s">
        <v>261</v>
      </c>
      <c r="H1203" t="s">
        <v>261</v>
      </c>
      <c r="I1203" t="s">
        <v>260</v>
      </c>
    </row>
    <row r="1204" spans="1:9" x14ac:dyDescent="0.25">
      <c r="A1204" s="1" t="str">
        <f>HYPERLINK("https://lynxcrm-apac--c.eu19.visual.force.com/0011i000001xmojAAA","Dept of General Surgery")</f>
        <v>Dept of General Surgery</v>
      </c>
      <c r="B1204" t="s">
        <v>2683</v>
      </c>
      <c r="C1204" t="s">
        <v>10</v>
      </c>
      <c r="D1204" t="s">
        <v>8</v>
      </c>
      <c r="E1204" t="s">
        <v>8</v>
      </c>
      <c r="F1204" t="s">
        <v>252</v>
      </c>
      <c r="G1204" t="s">
        <v>251</v>
      </c>
      <c r="H1204" t="s">
        <v>251</v>
      </c>
      <c r="I1204" t="s">
        <v>253</v>
      </c>
    </row>
    <row r="1205" spans="1:9" x14ac:dyDescent="0.25">
      <c r="A1205" s="1" t="str">
        <f>HYPERLINK("https://lynxcrm-apac--c.eu19.visual.force.com/0011i000001xmqfAAA","Dept of General Surgery")</f>
        <v>Dept of General Surgery</v>
      </c>
      <c r="B1205" t="s">
        <v>2684</v>
      </c>
      <c r="C1205" t="s">
        <v>10</v>
      </c>
      <c r="D1205" t="s">
        <v>8</v>
      </c>
      <c r="E1205" t="s">
        <v>8</v>
      </c>
      <c r="F1205" t="s">
        <v>252</v>
      </c>
      <c r="G1205" t="s">
        <v>251</v>
      </c>
      <c r="H1205" t="s">
        <v>251</v>
      </c>
      <c r="I1205" t="s">
        <v>253</v>
      </c>
    </row>
    <row r="1206" spans="1:9" x14ac:dyDescent="0.25">
      <c r="A1206" s="1" t="str">
        <f>HYPERLINK("https://lynxcrm-apac--c.eu19.visual.force.com/0011i000001xmqiAAA","Dept of General Surgery")</f>
        <v>Dept of General Surgery</v>
      </c>
      <c r="B1206" t="s">
        <v>2685</v>
      </c>
      <c r="C1206" t="s">
        <v>10</v>
      </c>
      <c r="D1206" t="s">
        <v>8</v>
      </c>
      <c r="E1206" t="s">
        <v>8</v>
      </c>
      <c r="F1206" t="s">
        <v>252</v>
      </c>
      <c r="G1206" t="s">
        <v>251</v>
      </c>
      <c r="H1206" t="s">
        <v>251</v>
      </c>
      <c r="I1206" t="s">
        <v>253</v>
      </c>
    </row>
    <row r="1207" spans="1:9" x14ac:dyDescent="0.25">
      <c r="A1207" s="1" t="str">
        <f>HYPERLINK("https://lynxcrm-apac--c.eu19.visual.force.com/0011i000001xmu4AAA","Dept of General Surgery")</f>
        <v>Dept of General Surgery</v>
      </c>
      <c r="B1207" t="s">
        <v>2686</v>
      </c>
      <c r="C1207" t="s">
        <v>10</v>
      </c>
      <c r="D1207" t="s">
        <v>8</v>
      </c>
      <c r="E1207" t="s">
        <v>8</v>
      </c>
      <c r="F1207" t="s">
        <v>258</v>
      </c>
      <c r="G1207" t="s">
        <v>261</v>
      </c>
      <c r="H1207" t="s">
        <v>261</v>
      </c>
      <c r="I1207" t="s">
        <v>260</v>
      </c>
    </row>
    <row r="1208" spans="1:9" x14ac:dyDescent="0.25">
      <c r="A1208" s="1" t="str">
        <f>HYPERLINK("https://lynxcrm-apac--c.eu19.visual.force.com/0011i000001xn1vAAA","Dept of General Surgery")</f>
        <v>Dept of General Surgery</v>
      </c>
      <c r="B1208" t="s">
        <v>2687</v>
      </c>
      <c r="C1208" t="s">
        <v>10</v>
      </c>
      <c r="D1208" t="s">
        <v>8</v>
      </c>
      <c r="E1208" t="s">
        <v>8</v>
      </c>
      <c r="F1208" t="s">
        <v>252</v>
      </c>
      <c r="G1208" t="s">
        <v>251</v>
      </c>
      <c r="H1208" t="s">
        <v>251</v>
      </c>
      <c r="I1208" t="s">
        <v>253</v>
      </c>
    </row>
    <row r="1209" spans="1:9" x14ac:dyDescent="0.25">
      <c r="A1209" s="1" t="str">
        <f>HYPERLINK("https://lynxcrm-apac--c.eu19.visual.force.com/0011i000001xnM6AAI","Dept of General Surgery")</f>
        <v>Dept of General Surgery</v>
      </c>
      <c r="B1209" t="s">
        <v>2688</v>
      </c>
      <c r="C1209" t="s">
        <v>10</v>
      </c>
      <c r="D1209" t="s">
        <v>8</v>
      </c>
      <c r="E1209" t="s">
        <v>8</v>
      </c>
      <c r="F1209" t="s">
        <v>252</v>
      </c>
      <c r="G1209" t="s">
        <v>251</v>
      </c>
      <c r="H1209" t="s">
        <v>251</v>
      </c>
      <c r="I1209" t="s">
        <v>253</v>
      </c>
    </row>
    <row r="1210" spans="1:9" x14ac:dyDescent="0.25">
      <c r="A1210" s="1" t="str">
        <f>HYPERLINK("https://lynxcrm-apac--c.eu19.visual.force.com/0011i000001xnRWAAY","Dept of General Surgery")</f>
        <v>Dept of General Surgery</v>
      </c>
      <c r="B1210" t="s">
        <v>2689</v>
      </c>
      <c r="C1210" t="s">
        <v>10</v>
      </c>
      <c r="D1210" t="s">
        <v>8</v>
      </c>
      <c r="E1210" t="s">
        <v>8</v>
      </c>
      <c r="F1210" t="s">
        <v>258</v>
      </c>
      <c r="G1210" t="s">
        <v>261</v>
      </c>
      <c r="H1210" t="s">
        <v>261</v>
      </c>
      <c r="I1210" t="s">
        <v>260</v>
      </c>
    </row>
    <row r="1211" spans="1:9" x14ac:dyDescent="0.25">
      <c r="A1211" s="1" t="str">
        <f>HYPERLINK("https://lynxcrm-apac--c.eu19.visual.force.com/0011i000001xmmiAAA","Dept of General Surgery")</f>
        <v>Dept of General Surgery</v>
      </c>
      <c r="B1211" t="s">
        <v>2690</v>
      </c>
      <c r="C1211" t="s">
        <v>10</v>
      </c>
      <c r="D1211" t="s">
        <v>8</v>
      </c>
      <c r="E1211" t="s">
        <v>8</v>
      </c>
      <c r="F1211" t="s">
        <v>252</v>
      </c>
      <c r="G1211" t="s">
        <v>251</v>
      </c>
      <c r="H1211" t="s">
        <v>251</v>
      </c>
      <c r="I1211" t="s">
        <v>253</v>
      </c>
    </row>
    <row r="1212" spans="1:9" x14ac:dyDescent="0.25">
      <c r="A1212" s="1" t="str">
        <f>HYPERLINK("https://lynxcrm-apac--c.eu19.visual.force.com/0011i000001xmqSAAQ","Dept of General Surgery")</f>
        <v>Dept of General Surgery</v>
      </c>
      <c r="B1212" t="s">
        <v>2691</v>
      </c>
      <c r="C1212" t="s">
        <v>10</v>
      </c>
      <c r="D1212" t="s">
        <v>8</v>
      </c>
      <c r="E1212" t="s">
        <v>8</v>
      </c>
      <c r="F1212" t="s">
        <v>252</v>
      </c>
      <c r="G1212" t="s">
        <v>251</v>
      </c>
      <c r="H1212" t="s">
        <v>251</v>
      </c>
      <c r="I1212" t="s">
        <v>253</v>
      </c>
    </row>
    <row r="1213" spans="1:9" x14ac:dyDescent="0.25">
      <c r="A1213" s="1" t="str">
        <f>HYPERLINK("https://lynxcrm-apac--c.eu19.visual.force.com/0011i000001xmqjAAA","Dept of General Surgery")</f>
        <v>Dept of General Surgery</v>
      </c>
      <c r="B1213" t="s">
        <v>2692</v>
      </c>
      <c r="C1213" t="s">
        <v>10</v>
      </c>
      <c r="D1213" t="s">
        <v>8</v>
      </c>
      <c r="E1213" t="s">
        <v>8</v>
      </c>
      <c r="F1213" t="s">
        <v>252</v>
      </c>
      <c r="G1213" t="s">
        <v>251</v>
      </c>
      <c r="H1213" t="s">
        <v>251</v>
      </c>
      <c r="I1213" t="s">
        <v>253</v>
      </c>
    </row>
    <row r="1214" spans="1:9" x14ac:dyDescent="0.25">
      <c r="A1214" s="1" t="str">
        <f>HYPERLINK("https://lynxcrm-apac--c.eu19.visual.force.com/0011i000001xmthAAA","Dept of General Surgery")</f>
        <v>Dept of General Surgery</v>
      </c>
      <c r="B1214" t="s">
        <v>2693</v>
      </c>
      <c r="C1214" t="s">
        <v>10</v>
      </c>
      <c r="D1214" t="s">
        <v>8</v>
      </c>
      <c r="E1214" t="s">
        <v>8</v>
      </c>
      <c r="F1214" t="s">
        <v>258</v>
      </c>
      <c r="G1214" t="s">
        <v>261</v>
      </c>
      <c r="H1214" t="s">
        <v>261</v>
      </c>
      <c r="I1214" t="s">
        <v>260</v>
      </c>
    </row>
    <row r="1215" spans="1:9" x14ac:dyDescent="0.25">
      <c r="A1215" s="1" t="str">
        <f>HYPERLINK("https://lynxcrm-apac--c.eu19.visual.force.com/0011i000001xmuJAAQ","Dept of General Surgery")</f>
        <v>Dept of General Surgery</v>
      </c>
      <c r="B1215" t="s">
        <v>2694</v>
      </c>
      <c r="C1215" t="s">
        <v>10</v>
      </c>
      <c r="D1215" t="s">
        <v>8</v>
      </c>
      <c r="E1215" t="s">
        <v>8</v>
      </c>
      <c r="F1215" t="s">
        <v>258</v>
      </c>
      <c r="G1215" t="s">
        <v>261</v>
      </c>
      <c r="H1215" t="s">
        <v>261</v>
      </c>
      <c r="I1215" t="s">
        <v>260</v>
      </c>
    </row>
    <row r="1216" spans="1:9" x14ac:dyDescent="0.25">
      <c r="A1216" s="1" t="str">
        <f>HYPERLINK("https://lynxcrm-apac--c.eu19.visual.force.com/0011i000001xn4kAAA","Dept of General Surgery")</f>
        <v>Dept of General Surgery</v>
      </c>
      <c r="B1216" t="s">
        <v>2695</v>
      </c>
      <c r="C1216" t="s">
        <v>10</v>
      </c>
      <c r="D1216" t="s">
        <v>8</v>
      </c>
      <c r="E1216" t="s">
        <v>8</v>
      </c>
      <c r="F1216" t="s">
        <v>258</v>
      </c>
      <c r="G1216" t="s">
        <v>261</v>
      </c>
      <c r="H1216" t="s">
        <v>261</v>
      </c>
      <c r="I1216" t="s">
        <v>260</v>
      </c>
    </row>
    <row r="1217" spans="1:9" x14ac:dyDescent="0.25">
      <c r="A1217" s="1" t="str">
        <f>HYPERLINK("https://lynxcrm-apac--c.eu19.visual.force.com/0011i000001xnTFAAY","Dept of General Surgery")</f>
        <v>Dept of General Surgery</v>
      </c>
      <c r="B1217" t="s">
        <v>2696</v>
      </c>
      <c r="C1217" t="s">
        <v>10</v>
      </c>
      <c r="D1217" t="s">
        <v>8</v>
      </c>
      <c r="E1217" t="s">
        <v>8</v>
      </c>
      <c r="F1217" t="s">
        <v>252</v>
      </c>
      <c r="G1217" t="s">
        <v>251</v>
      </c>
      <c r="H1217" t="s">
        <v>251</v>
      </c>
      <c r="I1217" t="s">
        <v>253</v>
      </c>
    </row>
    <row r="1218" spans="1:9" x14ac:dyDescent="0.25">
      <c r="A1218" s="1" t="str">
        <f>HYPERLINK("https://lynxcrm-apac--c.eu19.visual.force.com/0011i000001xnUAAAY","Dept of General Surgery")</f>
        <v>Dept of General Surgery</v>
      </c>
      <c r="B1218" t="s">
        <v>2697</v>
      </c>
      <c r="C1218" t="s">
        <v>10</v>
      </c>
      <c r="D1218" t="s">
        <v>8</v>
      </c>
      <c r="E1218" t="s">
        <v>8</v>
      </c>
      <c r="F1218" t="s">
        <v>258</v>
      </c>
      <c r="G1218" t="s">
        <v>261</v>
      </c>
      <c r="H1218" t="s">
        <v>261</v>
      </c>
      <c r="I1218" t="s">
        <v>260</v>
      </c>
    </row>
    <row r="1219" spans="1:9" x14ac:dyDescent="0.25">
      <c r="A1219" s="1" t="str">
        <f>HYPERLINK("https://lynxcrm-apac--c.eu19.visual.force.com/0011i000001xnULAAY","Dept of General Surgery")</f>
        <v>Dept of General Surgery</v>
      </c>
      <c r="B1219" t="s">
        <v>2698</v>
      </c>
      <c r="C1219" t="s">
        <v>10</v>
      </c>
      <c r="D1219" t="s">
        <v>8</v>
      </c>
      <c r="E1219" t="s">
        <v>8</v>
      </c>
      <c r="F1219" t="s">
        <v>252</v>
      </c>
      <c r="G1219" t="s">
        <v>251</v>
      </c>
      <c r="H1219" t="s">
        <v>251</v>
      </c>
      <c r="I1219" t="s">
        <v>253</v>
      </c>
    </row>
    <row r="1220" spans="1:9" x14ac:dyDescent="0.25">
      <c r="A1220" s="1" t="str">
        <f>HYPERLINK("https://lynxcrm-apac--c.eu19.visual.force.com/0011i000001xnUQAAY","Dept of General Surgery")</f>
        <v>Dept of General Surgery</v>
      </c>
      <c r="B1220" t="s">
        <v>2699</v>
      </c>
      <c r="C1220" t="s">
        <v>10</v>
      </c>
      <c r="D1220" t="s">
        <v>8</v>
      </c>
      <c r="E1220" t="s">
        <v>8</v>
      </c>
      <c r="F1220" t="s">
        <v>584</v>
      </c>
      <c r="G1220" t="s">
        <v>583</v>
      </c>
      <c r="H1220" t="s">
        <v>583</v>
      </c>
      <c r="I1220" t="s">
        <v>585</v>
      </c>
    </row>
    <row r="1221" spans="1:9" x14ac:dyDescent="0.25">
      <c r="A1221" s="1" t="str">
        <f>HYPERLINK("https://lynxcrm-apac--c.eu19.visual.force.com/0011i000001xmq7AAA","Dept of General Surgery")</f>
        <v>Dept of General Surgery</v>
      </c>
      <c r="B1221" t="s">
        <v>2700</v>
      </c>
      <c r="C1221" t="s">
        <v>10</v>
      </c>
      <c r="D1221" t="s">
        <v>8</v>
      </c>
      <c r="E1221" t="s">
        <v>8</v>
      </c>
      <c r="F1221" t="s">
        <v>252</v>
      </c>
      <c r="G1221" t="s">
        <v>251</v>
      </c>
      <c r="H1221" t="s">
        <v>251</v>
      </c>
      <c r="I1221" t="s">
        <v>253</v>
      </c>
    </row>
    <row r="1222" spans="1:9" x14ac:dyDescent="0.25">
      <c r="A1222" s="1" t="str">
        <f>HYPERLINK("https://lynxcrm-apac--c.eu19.visual.force.com/0011i000001xn2UAAQ","Dept of General Surgery")</f>
        <v>Dept of General Surgery</v>
      </c>
      <c r="B1222" t="s">
        <v>2701</v>
      </c>
      <c r="C1222" t="s">
        <v>10</v>
      </c>
      <c r="D1222" t="s">
        <v>8</v>
      </c>
      <c r="E1222" t="s">
        <v>8</v>
      </c>
      <c r="F1222" t="s">
        <v>252</v>
      </c>
      <c r="G1222" t="s">
        <v>251</v>
      </c>
      <c r="H1222" t="s">
        <v>251</v>
      </c>
      <c r="I1222" t="s">
        <v>253</v>
      </c>
    </row>
    <row r="1223" spans="1:9" x14ac:dyDescent="0.25">
      <c r="A1223" s="1" t="str">
        <f>HYPERLINK("https://lynxcrm-apac--c.eu19.visual.force.com/0011i000001xn44AAA","Dept of General Surgery")</f>
        <v>Dept of General Surgery</v>
      </c>
      <c r="B1223" t="s">
        <v>2702</v>
      </c>
      <c r="C1223" t="s">
        <v>10</v>
      </c>
      <c r="D1223" t="s">
        <v>8</v>
      </c>
      <c r="E1223" t="s">
        <v>8</v>
      </c>
      <c r="F1223" t="s">
        <v>258</v>
      </c>
      <c r="G1223" t="s">
        <v>261</v>
      </c>
      <c r="H1223" t="s">
        <v>261</v>
      </c>
      <c r="I1223" t="s">
        <v>260</v>
      </c>
    </row>
    <row r="1224" spans="1:9" x14ac:dyDescent="0.25">
      <c r="A1224" s="1" t="str">
        <f>HYPERLINK("https://lynxcrm-apac--c.eu19.visual.force.com/0011i000001xn5TAAQ","Dept of General Surgery")</f>
        <v>Dept of General Surgery</v>
      </c>
      <c r="B1224" t="s">
        <v>2703</v>
      </c>
      <c r="C1224" t="s">
        <v>10</v>
      </c>
      <c r="D1224" t="s">
        <v>8</v>
      </c>
      <c r="E1224" t="s">
        <v>8</v>
      </c>
      <c r="F1224" t="s">
        <v>252</v>
      </c>
      <c r="G1224" t="s">
        <v>251</v>
      </c>
      <c r="H1224" t="s">
        <v>251</v>
      </c>
      <c r="I1224" t="s">
        <v>253</v>
      </c>
    </row>
    <row r="1225" spans="1:9" x14ac:dyDescent="0.25">
      <c r="A1225" s="1" t="str">
        <f>HYPERLINK("https://lynxcrm-apac--c.eu19.visual.force.com/0011i000001xnKuAAI","Dept of General Surgery")</f>
        <v>Dept of General Surgery</v>
      </c>
      <c r="B1225" t="s">
        <v>2704</v>
      </c>
      <c r="C1225" t="s">
        <v>10</v>
      </c>
      <c r="D1225" t="s">
        <v>8</v>
      </c>
      <c r="E1225" t="s">
        <v>8</v>
      </c>
      <c r="F1225" t="s">
        <v>258</v>
      </c>
      <c r="G1225" t="s">
        <v>261</v>
      </c>
      <c r="H1225" t="s">
        <v>261</v>
      </c>
      <c r="I1225" t="s">
        <v>260</v>
      </c>
    </row>
    <row r="1226" spans="1:9" x14ac:dyDescent="0.25">
      <c r="A1226" s="1" t="str">
        <f>HYPERLINK("https://lynxcrm-apac--c.eu19.visual.force.com/0011i000001xnRiAAI","Dept of General Surgery")</f>
        <v>Dept of General Surgery</v>
      </c>
      <c r="B1226" t="s">
        <v>2705</v>
      </c>
      <c r="C1226" t="s">
        <v>10</v>
      </c>
      <c r="D1226" t="s">
        <v>8</v>
      </c>
      <c r="E1226" t="s">
        <v>8</v>
      </c>
      <c r="F1226" t="s">
        <v>584</v>
      </c>
      <c r="G1226" t="s">
        <v>583</v>
      </c>
      <c r="H1226" t="s">
        <v>583</v>
      </c>
      <c r="I1226" t="s">
        <v>585</v>
      </c>
    </row>
    <row r="1227" spans="1:9" x14ac:dyDescent="0.25">
      <c r="A1227" s="1" t="str">
        <f>HYPERLINK("https://lynxcrm-apac--c.eu19.visual.force.com/0011i000001xmcHAAQ","Dept of General Surgery")</f>
        <v>Dept of General Surgery</v>
      </c>
      <c r="B1227" t="s">
        <v>2706</v>
      </c>
      <c r="C1227" t="s">
        <v>10</v>
      </c>
      <c r="D1227" t="s">
        <v>8</v>
      </c>
      <c r="E1227" t="s">
        <v>8</v>
      </c>
      <c r="F1227" t="s">
        <v>258</v>
      </c>
      <c r="G1227" t="s">
        <v>261</v>
      </c>
      <c r="H1227" t="s">
        <v>261</v>
      </c>
      <c r="I1227" t="s">
        <v>260</v>
      </c>
    </row>
    <row r="1228" spans="1:9" x14ac:dyDescent="0.25">
      <c r="A1228" s="1" t="str">
        <f>HYPERLINK("https://lynxcrm-apac--c.eu19.visual.force.com/0011i000001xmomAAA","Dept of General Surgery")</f>
        <v>Dept of General Surgery</v>
      </c>
      <c r="B1228" t="s">
        <v>2707</v>
      </c>
      <c r="C1228" t="s">
        <v>10</v>
      </c>
      <c r="D1228" t="s">
        <v>8</v>
      </c>
      <c r="E1228" t="s">
        <v>8</v>
      </c>
      <c r="F1228" t="s">
        <v>252</v>
      </c>
      <c r="G1228" t="s">
        <v>251</v>
      </c>
      <c r="H1228" t="s">
        <v>251</v>
      </c>
      <c r="I1228" t="s">
        <v>253</v>
      </c>
    </row>
    <row r="1229" spans="1:9" x14ac:dyDescent="0.25">
      <c r="A1229" s="1" t="str">
        <f>HYPERLINK("https://lynxcrm-apac--c.eu19.visual.force.com/0011i000001xn3dAAA","Dept of General Surgery")</f>
        <v>Dept of General Surgery</v>
      </c>
      <c r="B1229" t="s">
        <v>2708</v>
      </c>
      <c r="C1229" t="s">
        <v>10</v>
      </c>
      <c r="D1229" t="s">
        <v>8</v>
      </c>
      <c r="E1229" t="s">
        <v>8</v>
      </c>
      <c r="F1229" t="s">
        <v>360</v>
      </c>
      <c r="G1229" t="s">
        <v>1253</v>
      </c>
      <c r="H1229" t="s">
        <v>1253</v>
      </c>
      <c r="I1229" t="s">
        <v>362</v>
      </c>
    </row>
    <row r="1230" spans="1:9" x14ac:dyDescent="0.25">
      <c r="A1230" s="1" t="str">
        <f>HYPERLINK("https://lynxcrm-apac--c.eu19.visual.force.com/0011i000001xn6nAAA","Dept of General Surgery")</f>
        <v>Dept of General Surgery</v>
      </c>
      <c r="B1230" t="s">
        <v>2709</v>
      </c>
      <c r="C1230" t="s">
        <v>10</v>
      </c>
      <c r="D1230" t="s">
        <v>8</v>
      </c>
      <c r="E1230" t="s">
        <v>8</v>
      </c>
      <c r="F1230" t="s">
        <v>252</v>
      </c>
      <c r="G1230" t="s">
        <v>251</v>
      </c>
      <c r="H1230" t="s">
        <v>251</v>
      </c>
      <c r="I1230" t="s">
        <v>253</v>
      </c>
    </row>
    <row r="1231" spans="1:9" x14ac:dyDescent="0.25">
      <c r="A1231" s="1" t="str">
        <f>HYPERLINK("https://lynxcrm-apac--c.eu19.visual.force.com/0011i000001xnLbAAI","Dept of General Surgery")</f>
        <v>Dept of General Surgery</v>
      </c>
      <c r="B1231" t="s">
        <v>2710</v>
      </c>
      <c r="C1231" t="s">
        <v>10</v>
      </c>
      <c r="D1231" t="s">
        <v>8</v>
      </c>
      <c r="E1231" t="s">
        <v>8</v>
      </c>
      <c r="F1231" t="s">
        <v>258</v>
      </c>
      <c r="G1231" t="s">
        <v>261</v>
      </c>
      <c r="H1231" t="s">
        <v>261</v>
      </c>
      <c r="I1231" t="s">
        <v>260</v>
      </c>
    </row>
    <row r="1232" spans="1:9" x14ac:dyDescent="0.25">
      <c r="A1232" s="1" t="str">
        <f>HYPERLINK("https://lynxcrm-apac--c.eu19.visual.force.com/0011i000001xnN8AAI","Dept of General Surgery")</f>
        <v>Dept of General Surgery</v>
      </c>
      <c r="B1232" t="s">
        <v>2711</v>
      </c>
      <c r="C1232" t="s">
        <v>10</v>
      </c>
      <c r="D1232" t="s">
        <v>8</v>
      </c>
      <c r="E1232" t="s">
        <v>8</v>
      </c>
      <c r="F1232" t="s">
        <v>584</v>
      </c>
      <c r="G1232" t="s">
        <v>583</v>
      </c>
      <c r="H1232" t="s">
        <v>583</v>
      </c>
      <c r="I1232" t="s">
        <v>585</v>
      </c>
    </row>
    <row r="1233" spans="1:9" x14ac:dyDescent="0.25">
      <c r="A1233" s="1" t="str">
        <f>HYPERLINK("https://lynxcrm-apac--c.eu19.visual.force.com/0011i000001xnQ5AAI","Dept of General Surgery")</f>
        <v>Dept of General Surgery</v>
      </c>
      <c r="B1233" t="s">
        <v>2712</v>
      </c>
      <c r="C1233" t="s">
        <v>10</v>
      </c>
      <c r="D1233" t="s">
        <v>8</v>
      </c>
      <c r="E1233" t="s">
        <v>8</v>
      </c>
      <c r="F1233" t="s">
        <v>252</v>
      </c>
      <c r="G1233" t="s">
        <v>251</v>
      </c>
      <c r="H1233" t="s">
        <v>251</v>
      </c>
      <c r="I1233" t="s">
        <v>253</v>
      </c>
    </row>
    <row r="1234" spans="1:9" x14ac:dyDescent="0.25">
      <c r="A1234" s="1" t="str">
        <f>HYPERLINK("https://lynxcrm-apac--c.eu19.visual.force.com/0011i000001xnUrAAI","Dept of General Surgery")</f>
        <v>Dept of General Surgery</v>
      </c>
      <c r="B1234" t="s">
        <v>2713</v>
      </c>
      <c r="C1234" t="s">
        <v>10</v>
      </c>
      <c r="D1234" t="s">
        <v>8</v>
      </c>
      <c r="E1234" t="s">
        <v>8</v>
      </c>
      <c r="F1234" t="s">
        <v>258</v>
      </c>
      <c r="G1234" t="s">
        <v>261</v>
      </c>
      <c r="H1234" t="s">
        <v>261</v>
      </c>
      <c r="I1234" t="s">
        <v>260</v>
      </c>
    </row>
    <row r="1235" spans="1:9" x14ac:dyDescent="0.25">
      <c r="A1235" s="1" t="str">
        <f>HYPERLINK("https://lynxcrm-apac--c.eu19.visual.force.com/0011i000001xmrkAAA","Dept of General Surgery")</f>
        <v>Dept of General Surgery</v>
      </c>
      <c r="B1235" t="s">
        <v>2714</v>
      </c>
      <c r="C1235" t="s">
        <v>10</v>
      </c>
      <c r="D1235" t="s">
        <v>8</v>
      </c>
      <c r="E1235" t="s">
        <v>8</v>
      </c>
      <c r="F1235" t="s">
        <v>163</v>
      </c>
      <c r="G1235" t="s">
        <v>164</v>
      </c>
      <c r="H1235" t="s">
        <v>164</v>
      </c>
      <c r="I1235" t="s">
        <v>165</v>
      </c>
    </row>
    <row r="1236" spans="1:9" x14ac:dyDescent="0.25">
      <c r="A1236" s="1" t="str">
        <f>HYPERLINK("https://lynxcrm-apac--c.eu19.visual.force.com/0011i000001xmg0AAA","Dept of Geriatric Medicine")</f>
        <v>Dept of Geriatric Medicine</v>
      </c>
      <c r="B1236" t="s">
        <v>2715</v>
      </c>
      <c r="C1236" t="s">
        <v>10</v>
      </c>
      <c r="D1236" t="s">
        <v>8</v>
      </c>
      <c r="E1236" t="s">
        <v>8</v>
      </c>
      <c r="F1236" t="s">
        <v>258</v>
      </c>
      <c r="G1236" t="s">
        <v>261</v>
      </c>
      <c r="H1236" t="s">
        <v>261</v>
      </c>
      <c r="I1236" t="s">
        <v>260</v>
      </c>
    </row>
    <row r="1237" spans="1:9" x14ac:dyDescent="0.25">
      <c r="A1237" s="1" t="str">
        <f>HYPERLINK("https://lynxcrm-apac--c.eu19.visual.force.com/0011i000001xmfzAAA","Dept of Geriatric Medicine")</f>
        <v>Dept of Geriatric Medicine</v>
      </c>
      <c r="B1237" t="s">
        <v>2716</v>
      </c>
      <c r="C1237" t="s">
        <v>10</v>
      </c>
      <c r="D1237" t="s">
        <v>8</v>
      </c>
      <c r="E1237" t="s">
        <v>8</v>
      </c>
      <c r="F1237" t="s">
        <v>360</v>
      </c>
      <c r="G1237" t="s">
        <v>1253</v>
      </c>
      <c r="H1237" t="s">
        <v>1253</v>
      </c>
      <c r="I1237" t="s">
        <v>362</v>
      </c>
    </row>
    <row r="1238" spans="1:9" x14ac:dyDescent="0.25">
      <c r="A1238" s="1" t="str">
        <f>HYPERLINK("https://lynxcrm-apac--c.eu19.visual.force.com/0011i000001xmgfAAA","Dept of Internal Medicine")</f>
        <v>Dept of Internal Medicine</v>
      </c>
      <c r="B1238" t="s">
        <v>2717</v>
      </c>
      <c r="C1238" t="s">
        <v>10</v>
      </c>
      <c r="D1238" t="s">
        <v>8</v>
      </c>
      <c r="E1238" t="s">
        <v>8</v>
      </c>
      <c r="F1238" t="s">
        <v>252</v>
      </c>
      <c r="G1238" t="s">
        <v>251</v>
      </c>
      <c r="H1238" t="s">
        <v>251</v>
      </c>
      <c r="I1238" t="s">
        <v>253</v>
      </c>
    </row>
    <row r="1239" spans="1:9" x14ac:dyDescent="0.25">
      <c r="A1239" s="1" t="str">
        <f>HYPERLINK("https://lynxcrm-apac--c.eu19.visual.force.com/0011i000001xmjwAAA","Dept of Neurosurgery")</f>
        <v>Dept of Neurosurgery</v>
      </c>
      <c r="B1239" t="s">
        <v>2718</v>
      </c>
      <c r="C1239" t="s">
        <v>10</v>
      </c>
      <c r="D1239" t="s">
        <v>8</v>
      </c>
      <c r="E1239" t="s">
        <v>8</v>
      </c>
      <c r="F1239" t="s">
        <v>258</v>
      </c>
      <c r="G1239" t="s">
        <v>261</v>
      </c>
      <c r="H1239" t="s">
        <v>261</v>
      </c>
      <c r="I1239" t="s">
        <v>260</v>
      </c>
    </row>
    <row r="1240" spans="1:9" x14ac:dyDescent="0.25">
      <c r="A1240" s="1" t="str">
        <f>HYPERLINK("https://lynxcrm-apac--c.eu19.visual.force.com/0011i000001xmf8AAA","Dept of Nuclear Medicine")</f>
        <v>Dept of Nuclear Medicine</v>
      </c>
      <c r="B1240" t="s">
        <v>2719</v>
      </c>
      <c r="C1240" t="s">
        <v>10</v>
      </c>
      <c r="D1240" t="s">
        <v>8</v>
      </c>
      <c r="E1240" t="s">
        <v>8</v>
      </c>
      <c r="F1240" t="s">
        <v>252</v>
      </c>
      <c r="G1240" t="s">
        <v>251</v>
      </c>
      <c r="H1240" t="s">
        <v>251</v>
      </c>
      <c r="I1240" t="s">
        <v>253</v>
      </c>
    </row>
    <row r="1241" spans="1:9" x14ac:dyDescent="0.25">
      <c r="A1241" s="1" t="str">
        <f>HYPERLINK("https://lynxcrm-apac--c.eu19.visual.force.com/0011i000001xmhZAAQ","Dept of Nuclear Medicine")</f>
        <v>Dept of Nuclear Medicine</v>
      </c>
      <c r="B1241" t="s">
        <v>2720</v>
      </c>
      <c r="C1241" t="s">
        <v>10</v>
      </c>
      <c r="D1241" t="s">
        <v>8</v>
      </c>
      <c r="E1241" t="s">
        <v>8</v>
      </c>
      <c r="F1241" t="s">
        <v>252</v>
      </c>
      <c r="G1241" t="s">
        <v>251</v>
      </c>
      <c r="H1241" t="s">
        <v>251</v>
      </c>
      <c r="I1241" t="s">
        <v>253</v>
      </c>
    </row>
    <row r="1242" spans="1:9" x14ac:dyDescent="0.25">
      <c r="A1242" s="1" t="str">
        <f>HYPERLINK("https://lynxcrm-apac--c.eu19.visual.force.com/0011i000001xmrNAAQ","Dept of Nuclear Medicine")</f>
        <v>Dept of Nuclear Medicine</v>
      </c>
      <c r="B1242" t="s">
        <v>2721</v>
      </c>
      <c r="C1242" t="s">
        <v>10</v>
      </c>
      <c r="D1242" t="s">
        <v>8</v>
      </c>
      <c r="E1242" t="s">
        <v>8</v>
      </c>
      <c r="F1242" t="s">
        <v>252</v>
      </c>
      <c r="G1242" t="s">
        <v>251</v>
      </c>
      <c r="H1242" t="s">
        <v>251</v>
      </c>
      <c r="I1242" t="s">
        <v>253</v>
      </c>
    </row>
    <row r="1243" spans="1:9" x14ac:dyDescent="0.25">
      <c r="A1243" s="1" t="str">
        <f>HYPERLINK("https://lynxcrm-apac--c.eu19.visual.force.com/0011i000001xnNLAAY","Dept of Plastic Surgery")</f>
        <v>Dept of Plastic Surgery</v>
      </c>
      <c r="B1243" t="s">
        <v>2722</v>
      </c>
      <c r="C1243" t="s">
        <v>10</v>
      </c>
      <c r="D1243" t="s">
        <v>8</v>
      </c>
      <c r="E1243" t="s">
        <v>8</v>
      </c>
      <c r="F1243" t="s">
        <v>163</v>
      </c>
      <c r="G1243" t="s">
        <v>164</v>
      </c>
      <c r="H1243" t="s">
        <v>164</v>
      </c>
      <c r="I1243" t="s">
        <v>165</v>
      </c>
    </row>
    <row r="1244" spans="1:9" x14ac:dyDescent="0.25">
      <c r="A1244" s="1" t="str">
        <f>HYPERLINK("https://lynxcrm-apac--c.eu19.visual.force.com/0011i000001xmrBAAQ","Dept of Rehabilitation")</f>
        <v>Dept of Rehabilitation</v>
      </c>
      <c r="B1244" t="s">
        <v>2723</v>
      </c>
      <c r="C1244" t="s">
        <v>10</v>
      </c>
      <c r="D1244" t="s">
        <v>8</v>
      </c>
      <c r="E1244" t="s">
        <v>8</v>
      </c>
      <c r="F1244" t="s">
        <v>258</v>
      </c>
      <c r="G1244" t="s">
        <v>261</v>
      </c>
      <c r="H1244" t="s">
        <v>261</v>
      </c>
      <c r="I1244" t="s">
        <v>260</v>
      </c>
    </row>
    <row r="1245" spans="1:9" x14ac:dyDescent="0.25">
      <c r="A1245" s="1" t="str">
        <f>HYPERLINK("https://lynxcrm-apac--c.eu19.visual.force.com/0011i000001xmtIAAQ","Dept of Rehab Medicine")</f>
        <v>Dept of Rehab Medicine</v>
      </c>
      <c r="B1245" t="s">
        <v>2724</v>
      </c>
      <c r="C1245" t="s">
        <v>10</v>
      </c>
      <c r="D1245" t="s">
        <v>8</v>
      </c>
      <c r="E1245" t="s">
        <v>8</v>
      </c>
      <c r="F1245" t="s">
        <v>584</v>
      </c>
      <c r="G1245" t="s">
        <v>583</v>
      </c>
      <c r="H1245" t="s">
        <v>583</v>
      </c>
      <c r="I1245" t="s">
        <v>585</v>
      </c>
    </row>
    <row r="1246" spans="1:9" x14ac:dyDescent="0.25">
      <c r="A1246" s="1" t="str">
        <f>HYPERLINK("https://lynxcrm-apac--c.eu19.visual.force.com/0011i000001xnUsAAI","Dept of Rheumatology &amp; Immunology")</f>
        <v>Dept of Rheumatology &amp; Immunology</v>
      </c>
      <c r="B1246" t="s">
        <v>2725</v>
      </c>
      <c r="C1246" t="s">
        <v>10</v>
      </c>
      <c r="D1246" t="s">
        <v>8</v>
      </c>
      <c r="E1246" t="s">
        <v>8</v>
      </c>
      <c r="F1246" t="s">
        <v>258</v>
      </c>
      <c r="G1246" t="s">
        <v>261</v>
      </c>
      <c r="H1246" t="s">
        <v>261</v>
      </c>
      <c r="I1246" t="s">
        <v>260</v>
      </c>
    </row>
    <row r="1247" spans="1:9" x14ac:dyDescent="0.25">
      <c r="A1247" s="1" t="str">
        <f>HYPERLINK("https://lynxcrm-apac--c.eu19.visual.force.com/0011i000001xnXmAAI","Dept of Rheumatology &amp; Immunology")</f>
        <v>Dept of Rheumatology &amp; Immunology</v>
      </c>
      <c r="B1247" t="s">
        <v>2726</v>
      </c>
      <c r="C1247" t="s">
        <v>10</v>
      </c>
      <c r="D1247" t="s">
        <v>8</v>
      </c>
      <c r="E1247" t="s">
        <v>8</v>
      </c>
      <c r="F1247" t="s">
        <v>258</v>
      </c>
      <c r="G1247" t="s">
        <v>261</v>
      </c>
      <c r="H1247" t="s">
        <v>261</v>
      </c>
      <c r="I1247" t="s">
        <v>260</v>
      </c>
    </row>
    <row r="1248" spans="1:9" x14ac:dyDescent="0.25">
      <c r="A1248" s="1" t="str">
        <f>HYPERLINK("https://lynxcrm-apac--c.eu19.visual.force.com/0011i00000FG1FAAA1","Derrick Lam Wei Ting")</f>
        <v>Derrick Lam Wei Ting</v>
      </c>
      <c r="B1248" t="s">
        <v>2727</v>
      </c>
      <c r="C1248" t="s">
        <v>10</v>
      </c>
      <c r="D1248" t="s">
        <v>2728</v>
      </c>
      <c r="E1248" t="s">
        <v>8</v>
      </c>
      <c r="F1248" t="s">
        <v>181</v>
      </c>
      <c r="G1248" t="s">
        <v>178</v>
      </c>
      <c r="H1248" t="s">
        <v>8</v>
      </c>
      <c r="I1248" t="s">
        <v>179</v>
      </c>
    </row>
    <row r="1249" spans="1:9" x14ac:dyDescent="0.25">
      <c r="A1249" s="1" t="str">
        <f>HYPERLINK("https://lynxcrm-apac--c.eu19.visual.force.com/0011i000001xmmOAAQ","Desmond Wai Liver &amp; Gastrointestinal Disease Ctr")</f>
        <v>Desmond Wai Liver &amp; Gastrointestinal Disease Ctr</v>
      </c>
      <c r="B1249" t="s">
        <v>2729</v>
      </c>
      <c r="C1249" t="s">
        <v>10</v>
      </c>
      <c r="D1249" t="s">
        <v>8</v>
      </c>
      <c r="E1249" t="s">
        <v>8</v>
      </c>
      <c r="F1249" t="s">
        <v>2730</v>
      </c>
      <c r="G1249" t="s">
        <v>2731</v>
      </c>
      <c r="H1249" t="s">
        <v>2731</v>
      </c>
      <c r="I1249" t="s">
        <v>2732</v>
      </c>
    </row>
    <row r="1250" spans="1:9" x14ac:dyDescent="0.25">
      <c r="A1250" s="1" t="str">
        <f>HYPERLINK("https://lynxcrm-apac--c.eu19.visual.force.com/0011i000001xnmNAAQ","Dhanasekaran, s/o Thanapal")</f>
        <v>Dhanasekaran, s/o Thanapal</v>
      </c>
      <c r="B1250" t="s">
        <v>2733</v>
      </c>
      <c r="C1250" t="s">
        <v>28</v>
      </c>
      <c r="D1250" t="s">
        <v>1698</v>
      </c>
      <c r="E1250" t="s">
        <v>8</v>
      </c>
      <c r="F1250" t="s">
        <v>2273</v>
      </c>
      <c r="G1250" t="s">
        <v>2273</v>
      </c>
      <c r="H1250" t="s">
        <v>8</v>
      </c>
      <c r="I1250" t="s">
        <v>8</v>
      </c>
    </row>
    <row r="1251" spans="1:9" x14ac:dyDescent="0.25">
      <c r="A1251" s="1" t="str">
        <f>HYPERLINK("https://lynxcrm-apac--c.eu19.visual.force.com/0011i000001xnktAAA","Dhanesh, Kumar")</f>
        <v>Dhanesh, Kumar</v>
      </c>
      <c r="B1251" t="s">
        <v>2734</v>
      </c>
      <c r="C1251" t="s">
        <v>28</v>
      </c>
      <c r="D1251" t="s">
        <v>815</v>
      </c>
      <c r="E1251" t="s">
        <v>8</v>
      </c>
      <c r="F1251" t="s">
        <v>816</v>
      </c>
      <c r="G1251" t="s">
        <v>815</v>
      </c>
      <c r="H1251" t="s">
        <v>815</v>
      </c>
      <c r="I1251" t="s">
        <v>817</v>
      </c>
    </row>
    <row r="1252" spans="1:9" x14ac:dyDescent="0.25">
      <c r="A1252" s="1" t="str">
        <f>HYPERLINK("https://lynxcrm-apac--c.eu19.visual.force.com/0011i000001xo1DAAQ","Dharambir, Singh Sethi")</f>
        <v>Dharambir, Singh Sethi</v>
      </c>
      <c r="B1252" t="s">
        <v>2735</v>
      </c>
      <c r="C1252" t="s">
        <v>28</v>
      </c>
      <c r="D1252" t="s">
        <v>251</v>
      </c>
      <c r="E1252" t="s">
        <v>8</v>
      </c>
      <c r="F1252" t="s">
        <v>251</v>
      </c>
      <c r="G1252" t="s">
        <v>252</v>
      </c>
      <c r="H1252" t="s">
        <v>252</v>
      </c>
      <c r="I1252" t="s">
        <v>253</v>
      </c>
    </row>
    <row r="1253" spans="1:9" x14ac:dyDescent="0.25">
      <c r="A1253" s="1" t="str">
        <f>HYPERLINK("https://lynxcrm-apac--c.eu19.visual.force.com/0011i000001xo1DAAQ","Dharambir, Singh Sethi")</f>
        <v>Dharambir, Singh Sethi</v>
      </c>
      <c r="B1253" t="s">
        <v>2735</v>
      </c>
      <c r="C1253" t="s">
        <v>28</v>
      </c>
      <c r="D1253" t="s">
        <v>251</v>
      </c>
      <c r="E1253" t="s">
        <v>8</v>
      </c>
      <c r="F1253" t="s">
        <v>514</v>
      </c>
      <c r="G1253" t="s">
        <v>252</v>
      </c>
      <c r="H1253" t="s">
        <v>252</v>
      </c>
      <c r="I1253" t="s">
        <v>253</v>
      </c>
    </row>
    <row r="1254" spans="1:9" x14ac:dyDescent="0.25">
      <c r="A1254" s="1" t="str">
        <f>HYPERLINK("https://lynxcrm-apac--c.eu19.visual.force.com/0011i000001xoBsAAI","Dharshini, Puvanendran")</f>
        <v>Dharshini, Puvanendran</v>
      </c>
      <c r="B1254" t="s">
        <v>2736</v>
      </c>
      <c r="C1254" t="s">
        <v>28</v>
      </c>
      <c r="D1254" t="s">
        <v>21</v>
      </c>
      <c r="E1254" t="s">
        <v>8</v>
      </c>
      <c r="F1254" t="s">
        <v>2737</v>
      </c>
      <c r="G1254" t="s">
        <v>2737</v>
      </c>
      <c r="H1254" t="s">
        <v>1474</v>
      </c>
      <c r="I1254" t="s">
        <v>13</v>
      </c>
    </row>
    <row r="1255" spans="1:9" x14ac:dyDescent="0.25">
      <c r="A1255" s="1" t="str">
        <f>HYPERLINK("https://lynxcrm-apac--c.eu19.visual.force.com/0011i000001xnDcAAI","Diabetes &amp; Endocrine Consultants Pte Ltd")</f>
        <v>Diabetes &amp; Endocrine Consultants Pte Ltd</v>
      </c>
      <c r="B1255" t="s">
        <v>2738</v>
      </c>
      <c r="C1255" t="s">
        <v>10</v>
      </c>
      <c r="D1255" t="s">
        <v>8</v>
      </c>
      <c r="E1255" t="s">
        <v>8</v>
      </c>
      <c r="F1255" t="s">
        <v>2739</v>
      </c>
      <c r="G1255" t="s">
        <v>2740</v>
      </c>
      <c r="H1255" t="s">
        <v>2740</v>
      </c>
      <c r="I1255" t="s">
        <v>200</v>
      </c>
    </row>
    <row r="1256" spans="1:9" x14ac:dyDescent="0.25">
      <c r="A1256" s="1" t="str">
        <f>HYPERLINK("https://lynxcrm-apac--c.eu19.visual.force.com/0011i000001xn9WAAQ","Dialysis Centre-Youngberg")</f>
        <v>Dialysis Centre-Youngberg</v>
      </c>
      <c r="B1256" t="s">
        <v>2741</v>
      </c>
      <c r="C1256" t="s">
        <v>10</v>
      </c>
      <c r="D1256" t="s">
        <v>8</v>
      </c>
      <c r="E1256" t="s">
        <v>8</v>
      </c>
      <c r="F1256" t="s">
        <v>2742</v>
      </c>
      <c r="G1256" t="s">
        <v>2743</v>
      </c>
      <c r="H1256" t="s">
        <v>2743</v>
      </c>
      <c r="I1256" t="s">
        <v>2744</v>
      </c>
    </row>
    <row r="1257" spans="1:9" x14ac:dyDescent="0.25">
      <c r="A1257" s="1" t="str">
        <f>HYPERLINK("https://lynxcrm-apac--c.eu19.visual.force.com/0011i000001xnMfAAI","Diana's Family Clinic")</f>
        <v>Diana's Family Clinic</v>
      </c>
      <c r="B1257" t="s">
        <v>2745</v>
      </c>
      <c r="C1257" t="s">
        <v>10</v>
      </c>
      <c r="D1257" t="s">
        <v>8</v>
      </c>
      <c r="E1257" t="s">
        <v>8</v>
      </c>
      <c r="F1257" t="s">
        <v>2746</v>
      </c>
      <c r="G1257" t="s">
        <v>2747</v>
      </c>
      <c r="H1257" t="s">
        <v>2747</v>
      </c>
      <c r="I1257" t="s">
        <v>2748</v>
      </c>
    </row>
    <row r="1258" spans="1:9" x14ac:dyDescent="0.25">
      <c r="A1258" s="1" t="str">
        <f>HYPERLINK("https://lynxcrm-apac--c.eu19.visual.force.com/0011i000001xoJRAAY","Diana Ruth Andrea, Barron")</f>
        <v>Diana Ruth Andrea, Barron</v>
      </c>
      <c r="B1258" t="s">
        <v>2749</v>
      </c>
      <c r="C1258" t="s">
        <v>28</v>
      </c>
      <c r="D1258" t="s">
        <v>815</v>
      </c>
      <c r="E1258" t="s">
        <v>8</v>
      </c>
      <c r="F1258" t="s">
        <v>816</v>
      </c>
      <c r="G1258" t="s">
        <v>815</v>
      </c>
      <c r="H1258" t="s">
        <v>815</v>
      </c>
      <c r="I1258" t="s">
        <v>817</v>
      </c>
    </row>
    <row r="1259" spans="1:9" x14ac:dyDescent="0.25">
      <c r="A1259" s="1" t="str">
        <f>HYPERLINK("https://lynxcrm-apac--c.eu19.visual.force.com/0011i000001xnOUAAY","Digestive Health Associate")</f>
        <v>Digestive Health Associate</v>
      </c>
      <c r="B1259" t="s">
        <v>2750</v>
      </c>
      <c r="C1259" t="s">
        <v>10</v>
      </c>
      <c r="D1259" t="s">
        <v>8</v>
      </c>
      <c r="E1259" t="s">
        <v>8</v>
      </c>
      <c r="F1259" t="s">
        <v>2751</v>
      </c>
      <c r="G1259" t="s">
        <v>198</v>
      </c>
      <c r="H1259" t="s">
        <v>198</v>
      </c>
      <c r="I1259" t="s">
        <v>200</v>
      </c>
    </row>
    <row r="1260" spans="1:9" x14ac:dyDescent="0.25">
      <c r="A1260" s="1" t="str">
        <f>HYPERLINK("https://lynxcrm-apac--c.eu19.visual.force.com/0011i000001xoccAAA","Ding, Teck Yong Gabriel")</f>
        <v>Ding, Teck Yong Gabriel</v>
      </c>
      <c r="B1260" t="s">
        <v>2752</v>
      </c>
      <c r="C1260" t="s">
        <v>28</v>
      </c>
      <c r="D1260" t="s">
        <v>58</v>
      </c>
      <c r="E1260" t="s">
        <v>8</v>
      </c>
      <c r="F1260" t="s">
        <v>57</v>
      </c>
      <c r="G1260" t="s">
        <v>57</v>
      </c>
      <c r="H1260" t="s">
        <v>8</v>
      </c>
      <c r="I1260" t="s">
        <v>59</v>
      </c>
    </row>
    <row r="1261" spans="1:9" x14ac:dyDescent="0.25">
      <c r="A1261" s="1" t="str">
        <f>HYPERLINK("https://lynxcrm-apac--c.eu19.visual.force.com/0011i000001xo1EAAQ","Ding, Zee Pin")</f>
        <v>Ding, Zee Pin</v>
      </c>
      <c r="B1261" t="s">
        <v>2753</v>
      </c>
      <c r="C1261" t="s">
        <v>28</v>
      </c>
      <c r="D1261" t="s">
        <v>449</v>
      </c>
      <c r="E1261" t="s">
        <v>8</v>
      </c>
      <c r="F1261" t="s">
        <v>450</v>
      </c>
      <c r="G1261" t="s">
        <v>449</v>
      </c>
      <c r="H1261" t="s">
        <v>449</v>
      </c>
      <c r="I1261" t="s">
        <v>451</v>
      </c>
    </row>
    <row r="1262" spans="1:9" x14ac:dyDescent="0.25">
      <c r="A1262" s="1" t="str">
        <f>HYPERLINK("https://lynxcrm-apac--c.eu19.visual.force.com/0011i000001xo1EAAQ","Ding, Zee Pin")</f>
        <v>Ding, Zee Pin</v>
      </c>
      <c r="B1262" t="s">
        <v>2753</v>
      </c>
      <c r="C1262" t="s">
        <v>28</v>
      </c>
      <c r="D1262" t="s">
        <v>449</v>
      </c>
      <c r="E1262" t="s">
        <v>8</v>
      </c>
      <c r="F1262" t="s">
        <v>234</v>
      </c>
      <c r="G1262" t="s">
        <v>452</v>
      </c>
      <c r="H1262" t="s">
        <v>453</v>
      </c>
      <c r="I1262" t="s">
        <v>454</v>
      </c>
    </row>
    <row r="1263" spans="1:9" x14ac:dyDescent="0.25">
      <c r="A1263" s="1" t="str">
        <f>HYPERLINK("https://lynxcrm-apac--c.eu19.visual.force.com/0011i000001xnCAAAY","Doctor Jay Medical Centre")</f>
        <v>Doctor Jay Medical Centre</v>
      </c>
      <c r="B1263" t="s">
        <v>2754</v>
      </c>
      <c r="C1263" t="s">
        <v>10</v>
      </c>
      <c r="D1263" t="s">
        <v>8</v>
      </c>
      <c r="E1263" t="s">
        <v>8</v>
      </c>
      <c r="F1263" t="s">
        <v>2755</v>
      </c>
      <c r="G1263" t="s">
        <v>2755</v>
      </c>
      <c r="H1263" t="s">
        <v>8</v>
      </c>
      <c r="I1263" t="s">
        <v>2756</v>
      </c>
    </row>
    <row r="1264" spans="1:9" x14ac:dyDescent="0.25">
      <c r="A1264" s="1" t="str">
        <f>HYPERLINK("https://lynxcrm-apac--c.eu19.visual.force.com/0011i000001xmh4AAA","Doctors INC Medical Group")</f>
        <v>Doctors INC Medical Group</v>
      </c>
      <c r="B1264" t="s">
        <v>2757</v>
      </c>
      <c r="C1264" t="s">
        <v>10</v>
      </c>
      <c r="D1264" t="s">
        <v>8</v>
      </c>
      <c r="E1264" t="s">
        <v>8</v>
      </c>
      <c r="F1264" t="s">
        <v>2758</v>
      </c>
      <c r="G1264" t="s">
        <v>2759</v>
      </c>
      <c r="H1264" t="s">
        <v>2760</v>
      </c>
      <c r="I1264" t="s">
        <v>2761</v>
      </c>
    </row>
    <row r="1265" spans="1:9" x14ac:dyDescent="0.25">
      <c r="A1265" s="1" t="str">
        <f>HYPERLINK("https://lynxcrm-apac--c.eu19.visual.force.com/0011i000001xmkTAAQ","Doctors INC Medical Group")</f>
        <v>Doctors INC Medical Group</v>
      </c>
      <c r="B1265" t="s">
        <v>2762</v>
      </c>
      <c r="C1265" t="s">
        <v>10</v>
      </c>
      <c r="D1265" t="s">
        <v>8</v>
      </c>
      <c r="E1265" t="s">
        <v>8</v>
      </c>
      <c r="F1265" t="s">
        <v>2758</v>
      </c>
      <c r="G1265" t="s">
        <v>2759</v>
      </c>
      <c r="H1265" t="s">
        <v>2760</v>
      </c>
      <c r="I1265" t="s">
        <v>2761</v>
      </c>
    </row>
    <row r="1266" spans="1:9" x14ac:dyDescent="0.25">
      <c r="A1266" s="1" t="str">
        <f>HYPERLINK("https://lynxcrm-apac--c.eu19.visual.force.com/0011i000001xnc6AAA","Doctror W K Koo &amp; Associates")</f>
        <v>Doctror W K Koo &amp; Associates</v>
      </c>
      <c r="B1266" t="s">
        <v>2763</v>
      </c>
      <c r="C1266" t="s">
        <v>10</v>
      </c>
      <c r="D1266" t="s">
        <v>8</v>
      </c>
      <c r="E1266" t="s">
        <v>8</v>
      </c>
      <c r="F1266" t="s">
        <v>2764</v>
      </c>
      <c r="G1266" t="s">
        <v>2765</v>
      </c>
      <c r="H1266" t="s">
        <v>2765</v>
      </c>
      <c r="I1266" t="s">
        <v>2766</v>
      </c>
    </row>
    <row r="1267" spans="1:9" x14ac:dyDescent="0.25">
      <c r="A1267" s="1" t="str">
        <f>HYPERLINK("https://lynxcrm-apac--c.eu19.visual.force.com/0011i000001xoj1AAA","Don, Robert Gerard")</f>
        <v>Don, Robert Gerard</v>
      </c>
      <c r="B1267" t="s">
        <v>2767</v>
      </c>
      <c r="C1267" t="s">
        <v>28</v>
      </c>
      <c r="D1267" t="s">
        <v>2768</v>
      </c>
      <c r="E1267" t="s">
        <v>8</v>
      </c>
      <c r="F1267" t="s">
        <v>377</v>
      </c>
      <c r="G1267" t="s">
        <v>2769</v>
      </c>
      <c r="H1267" t="s">
        <v>2769</v>
      </c>
      <c r="I1267" t="s">
        <v>123</v>
      </c>
    </row>
    <row r="1268" spans="1:9" x14ac:dyDescent="0.25">
      <c r="A1268" s="1" t="str">
        <f>HYPERLINK("https://lynxcrm-apac--c.eu19.visual.force.com/0011i000001xoAdAAI","Doraisamy, Gowri")</f>
        <v>Doraisamy, Gowri</v>
      </c>
      <c r="B1268" t="s">
        <v>2770</v>
      </c>
      <c r="C1268" t="s">
        <v>28</v>
      </c>
      <c r="D1268" t="s">
        <v>21</v>
      </c>
      <c r="E1268" t="s">
        <v>8</v>
      </c>
      <c r="F1268" t="s">
        <v>699</v>
      </c>
      <c r="G1268" t="s">
        <v>699</v>
      </c>
      <c r="H1268" t="s">
        <v>8</v>
      </c>
      <c r="I1268" t="s">
        <v>22</v>
      </c>
    </row>
    <row r="1269" spans="1:9" x14ac:dyDescent="0.25">
      <c r="A1269" s="1" t="str">
        <f>HYPERLINK("https://lynxcrm-apac--c.eu19.visual.force.com/0011i000001xoAdAAI","Doraisamy, Gowri")</f>
        <v>Doraisamy, Gowri</v>
      </c>
      <c r="B1269" t="s">
        <v>2770</v>
      </c>
      <c r="C1269" t="s">
        <v>28</v>
      </c>
      <c r="D1269" t="s">
        <v>20</v>
      </c>
      <c r="E1269" t="s">
        <v>8</v>
      </c>
      <c r="F1269" t="s">
        <v>20</v>
      </c>
      <c r="G1269" t="s">
        <v>21</v>
      </c>
      <c r="H1269" t="s">
        <v>21</v>
      </c>
      <c r="I1269" t="s">
        <v>22</v>
      </c>
    </row>
    <row r="1270" spans="1:9" x14ac:dyDescent="0.25">
      <c r="A1270" s="1" t="str">
        <f>HYPERLINK("https://lynxcrm-apac--c.eu19.visual.force.com/0011i000001xoKDAAY","Doshi, Mukund")</f>
        <v>Doshi, Mukund</v>
      </c>
      <c r="B1270" t="s">
        <v>2771</v>
      </c>
      <c r="C1270" t="s">
        <v>28</v>
      </c>
      <c r="D1270" t="s">
        <v>2772</v>
      </c>
      <c r="E1270" t="s">
        <v>8</v>
      </c>
      <c r="F1270" t="s">
        <v>781</v>
      </c>
      <c r="G1270" t="s">
        <v>2773</v>
      </c>
      <c r="H1270" t="s">
        <v>2774</v>
      </c>
      <c r="I1270" t="s">
        <v>784</v>
      </c>
    </row>
    <row r="1271" spans="1:9" x14ac:dyDescent="0.25">
      <c r="A1271" s="1" t="str">
        <f>HYPERLINK("https://lynxcrm-apac--c.eu19.visual.force.com/0011i000001xnCSAAY","Dover Clinic &amp; Surgery")</f>
        <v>Dover Clinic &amp; Surgery</v>
      </c>
      <c r="B1271" t="s">
        <v>2775</v>
      </c>
      <c r="C1271" t="s">
        <v>10</v>
      </c>
      <c r="D1271" t="s">
        <v>8</v>
      </c>
      <c r="E1271" t="s">
        <v>8</v>
      </c>
      <c r="F1271" t="s">
        <v>1245</v>
      </c>
      <c r="G1271" t="s">
        <v>2776</v>
      </c>
      <c r="H1271" t="s">
        <v>2777</v>
      </c>
      <c r="I1271" t="s">
        <v>1247</v>
      </c>
    </row>
    <row r="1272" spans="1:9" x14ac:dyDescent="0.25">
      <c r="A1272" s="1" t="str">
        <f>HYPERLINK("https://lynxcrm-apac--c.eu19.visual.force.com/0011i000001xnTcAAI","Dover Clinic &amp; Surgery")</f>
        <v>Dover Clinic &amp; Surgery</v>
      </c>
      <c r="B1272" t="s">
        <v>2778</v>
      </c>
      <c r="C1272" t="s">
        <v>10</v>
      </c>
      <c r="D1272" t="s">
        <v>8</v>
      </c>
      <c r="E1272" t="s">
        <v>8</v>
      </c>
      <c r="F1272" t="s">
        <v>1245</v>
      </c>
      <c r="G1272" t="s">
        <v>1246</v>
      </c>
      <c r="H1272" t="s">
        <v>1246</v>
      </c>
      <c r="I1272" t="s">
        <v>1247</v>
      </c>
    </row>
    <row r="1273" spans="1:9" x14ac:dyDescent="0.25">
      <c r="A1273" s="1" t="str">
        <f>HYPERLINK("https://lynxcrm-apac--c.eu19.visual.force.com/0011i00000Xf147AAB","Dr. D.Y.H. &amp; Associates Medical Oncology Clinic Pte Ltd")</f>
        <v>Dr. D.Y.H. &amp; Associates Medical Oncology Clinic Pte Ltd</v>
      </c>
      <c r="B1273" t="s">
        <v>2779</v>
      </c>
      <c r="C1273" t="s">
        <v>10</v>
      </c>
      <c r="D1273" t="s">
        <v>8</v>
      </c>
      <c r="E1273" t="s">
        <v>8</v>
      </c>
      <c r="F1273" t="s">
        <v>2780</v>
      </c>
      <c r="G1273" t="s">
        <v>569</v>
      </c>
      <c r="H1273" t="s">
        <v>8</v>
      </c>
      <c r="I1273" t="s">
        <v>1803</v>
      </c>
    </row>
    <row r="1274" spans="1:9" x14ac:dyDescent="0.25">
      <c r="A1274" s="1" t="str">
        <f>HYPERLINK("https://lynxcrm-apac--c.eu19.visual.force.com/0011i000001xn0wAAA","Dr Adrian Wang Psychiatric")</f>
        <v>Dr Adrian Wang Psychiatric</v>
      </c>
      <c r="B1274" t="s">
        <v>2781</v>
      </c>
      <c r="C1274" t="s">
        <v>10</v>
      </c>
      <c r="D1274" t="s">
        <v>8</v>
      </c>
      <c r="E1274" t="s">
        <v>8</v>
      </c>
      <c r="F1274" t="s">
        <v>2782</v>
      </c>
      <c r="G1274" t="s">
        <v>65</v>
      </c>
      <c r="H1274" t="s">
        <v>65</v>
      </c>
      <c r="I1274" t="s">
        <v>67</v>
      </c>
    </row>
    <row r="1275" spans="1:9" x14ac:dyDescent="0.25">
      <c r="A1275" s="1" t="str">
        <f>HYPERLINK("https://lynxcrm-apac--c.eu19.visual.force.com/0011i000001xoahAAA","Dramusic, Vesna")</f>
        <v>Dramusic, Vesna</v>
      </c>
      <c r="B1275" t="s">
        <v>2783</v>
      </c>
      <c r="C1275" t="s">
        <v>28</v>
      </c>
      <c r="D1275" t="s">
        <v>429</v>
      </c>
      <c r="E1275" t="s">
        <v>8</v>
      </c>
      <c r="F1275" t="s">
        <v>2244</v>
      </c>
      <c r="G1275" t="s">
        <v>428</v>
      </c>
      <c r="H1275" t="s">
        <v>1320</v>
      </c>
      <c r="I1275" t="s">
        <v>430</v>
      </c>
    </row>
    <row r="1276" spans="1:9" x14ac:dyDescent="0.25">
      <c r="A1276" s="1" t="str">
        <f>HYPERLINK("https://lynxcrm-apac--c.eu19.visual.force.com/0011i000001xn0oAAA","Dr Beatrice Chen's Clinic")</f>
        <v>Dr Beatrice Chen's Clinic</v>
      </c>
      <c r="B1276" t="s">
        <v>2784</v>
      </c>
      <c r="C1276" t="s">
        <v>10</v>
      </c>
      <c r="D1276" t="s">
        <v>8</v>
      </c>
      <c r="E1276" t="s">
        <v>8</v>
      </c>
      <c r="F1276" t="s">
        <v>781</v>
      </c>
      <c r="G1276" t="s">
        <v>1585</v>
      </c>
      <c r="H1276" t="s">
        <v>1586</v>
      </c>
      <c r="I1276" t="s">
        <v>784</v>
      </c>
    </row>
    <row r="1277" spans="1:9" x14ac:dyDescent="0.25">
      <c r="A1277" s="1" t="str">
        <f>HYPERLINK("https://lynxcrm-apac--c.eu19.visual.force.com/0011i000001xnXNAAY","Dr BL Lim Ctr for Psychological Wellness")</f>
        <v>Dr BL Lim Ctr for Psychological Wellness</v>
      </c>
      <c r="B1277" t="s">
        <v>2785</v>
      </c>
      <c r="C1277" t="s">
        <v>10</v>
      </c>
      <c r="D1277" t="s">
        <v>8</v>
      </c>
      <c r="E1277" t="s">
        <v>8</v>
      </c>
      <c r="F1277" t="s">
        <v>2786</v>
      </c>
      <c r="G1277" t="s">
        <v>65</v>
      </c>
      <c r="H1277" t="s">
        <v>65</v>
      </c>
      <c r="I1277" t="s">
        <v>67</v>
      </c>
    </row>
    <row r="1278" spans="1:9" x14ac:dyDescent="0.25">
      <c r="A1278" s="1" t="str">
        <f>HYPERLINK("https://lynxcrm-apac--c.eu19.visual.force.com/0011i000001xnbwAAA","Dr Chan &amp; Tang Family Clinic")</f>
        <v>Dr Chan &amp; Tang Family Clinic</v>
      </c>
      <c r="B1278" t="s">
        <v>2787</v>
      </c>
      <c r="C1278" t="s">
        <v>10</v>
      </c>
      <c r="D1278" t="s">
        <v>8</v>
      </c>
      <c r="E1278" t="s">
        <v>8</v>
      </c>
      <c r="F1278" t="s">
        <v>1232</v>
      </c>
      <c r="G1278" t="s">
        <v>1233</v>
      </c>
      <c r="H1278" t="s">
        <v>1234</v>
      </c>
      <c r="I1278" t="s">
        <v>1235</v>
      </c>
    </row>
    <row r="1279" spans="1:9" x14ac:dyDescent="0.25">
      <c r="A1279" s="1" t="str">
        <f>HYPERLINK("https://lynxcrm-apac--c.eu19.visual.force.com/0011i000001xn9fAAA","Dr Chan Peng Mun Clinic &amp; Surgery")</f>
        <v>Dr Chan Peng Mun Clinic &amp; Surgery</v>
      </c>
      <c r="B1279" t="s">
        <v>2788</v>
      </c>
      <c r="C1279" t="s">
        <v>10</v>
      </c>
      <c r="D1279" t="s">
        <v>8</v>
      </c>
      <c r="E1279" t="s">
        <v>8</v>
      </c>
      <c r="F1279" t="s">
        <v>1257</v>
      </c>
      <c r="G1279" t="s">
        <v>1258</v>
      </c>
      <c r="H1279" t="s">
        <v>1259</v>
      </c>
      <c r="I1279" t="s">
        <v>1260</v>
      </c>
    </row>
    <row r="1280" spans="1:9" x14ac:dyDescent="0.25">
      <c r="A1280" s="1" t="str">
        <f>HYPERLINK("https://lynxcrm-apac--c.eu19.visual.force.com/0011i000001xnQgAAI","Dr Chia Boon Hock")</f>
        <v>Dr Chia Boon Hock</v>
      </c>
      <c r="B1280" t="s">
        <v>2789</v>
      </c>
      <c r="C1280" t="s">
        <v>10</v>
      </c>
      <c r="D1280" t="s">
        <v>8</v>
      </c>
      <c r="E1280" t="s">
        <v>8</v>
      </c>
      <c r="F1280" t="s">
        <v>1768</v>
      </c>
      <c r="G1280" t="s">
        <v>1769</v>
      </c>
      <c r="H1280" t="s">
        <v>1770</v>
      </c>
      <c r="I1280" t="s">
        <v>47</v>
      </c>
    </row>
    <row r="1281" spans="1:9" x14ac:dyDescent="0.25">
      <c r="A1281" s="1" t="str">
        <f>HYPERLINK("https://lynxcrm-apac--c.eu19.visual.force.com/0011i000001xnP4AAI","Dr Foo Endocrine Pte Ltd")</f>
        <v>Dr Foo Endocrine Pte Ltd</v>
      </c>
      <c r="B1281" t="s">
        <v>2790</v>
      </c>
      <c r="C1281" t="s">
        <v>10</v>
      </c>
      <c r="D1281" t="s">
        <v>8</v>
      </c>
      <c r="E1281" t="s">
        <v>8</v>
      </c>
      <c r="F1281" t="s">
        <v>2791</v>
      </c>
      <c r="G1281" t="s">
        <v>2792</v>
      </c>
      <c r="H1281" t="s">
        <v>2792</v>
      </c>
      <c r="I1281" t="s">
        <v>51</v>
      </c>
    </row>
    <row r="1282" spans="1:9" x14ac:dyDescent="0.25">
      <c r="A1282" s="1" t="str">
        <f>HYPERLINK("https://lynxcrm-apac--c.eu19.visual.force.com/0011i000001xn95AAA","Dr G.K. Ng Clinic for Women")</f>
        <v>Dr G.K. Ng Clinic for Women</v>
      </c>
      <c r="B1282" t="s">
        <v>2793</v>
      </c>
      <c r="C1282" t="s">
        <v>10</v>
      </c>
      <c r="D1282" t="s">
        <v>8</v>
      </c>
      <c r="E1282" t="s">
        <v>8</v>
      </c>
      <c r="F1282" t="s">
        <v>377</v>
      </c>
      <c r="G1282" t="s">
        <v>2794</v>
      </c>
      <c r="H1282" t="s">
        <v>2795</v>
      </c>
      <c r="I1282" t="s">
        <v>123</v>
      </c>
    </row>
    <row r="1283" spans="1:9" x14ac:dyDescent="0.25">
      <c r="A1283" s="1" t="str">
        <f>HYPERLINK("https://lynxcrm-apac--c.eu19.visual.force.com/0011i000001xnIuAAI","Dr Jeremy CHan Medical Clinic")</f>
        <v>Dr Jeremy CHan Medical Clinic</v>
      </c>
      <c r="B1283" t="s">
        <v>2796</v>
      </c>
      <c r="C1283" t="s">
        <v>10</v>
      </c>
      <c r="D1283" t="s">
        <v>8</v>
      </c>
      <c r="E1283" t="s">
        <v>8</v>
      </c>
      <c r="F1283" t="s">
        <v>1340</v>
      </c>
      <c r="G1283" t="s">
        <v>1341</v>
      </c>
      <c r="H1283" t="s">
        <v>1341</v>
      </c>
      <c r="I1283" t="s">
        <v>441</v>
      </c>
    </row>
    <row r="1284" spans="1:9" x14ac:dyDescent="0.25">
      <c r="A1284" s="1" t="str">
        <f>HYPERLINK("https://lynxcrm-apac--c.eu19.visual.force.com/0011i000001xmaiAAA","Dr Jiten &amp; Caroline Med Ctr")</f>
        <v>Dr Jiten &amp; Caroline Med Ctr</v>
      </c>
      <c r="B1284" t="s">
        <v>2797</v>
      </c>
      <c r="C1284" t="s">
        <v>10</v>
      </c>
      <c r="D1284" t="s">
        <v>8</v>
      </c>
      <c r="E1284" t="s">
        <v>8</v>
      </c>
      <c r="F1284" t="s">
        <v>2798</v>
      </c>
      <c r="G1284" t="s">
        <v>2799</v>
      </c>
      <c r="H1284" t="s">
        <v>2799</v>
      </c>
      <c r="I1284" t="s">
        <v>2800</v>
      </c>
    </row>
    <row r="1285" spans="1:9" x14ac:dyDescent="0.25">
      <c r="A1285" s="1" t="str">
        <f>HYPERLINK("https://lynxcrm-apac--c.eu19.visual.force.com/0011i000001xnLzAAI","Dr Kenneth Loo Family Clinic")</f>
        <v>Dr Kenneth Loo Family Clinic</v>
      </c>
      <c r="B1285" t="s">
        <v>2801</v>
      </c>
      <c r="C1285" t="s">
        <v>10</v>
      </c>
      <c r="D1285" t="s">
        <v>8</v>
      </c>
      <c r="E1285" t="s">
        <v>8</v>
      </c>
      <c r="F1285" t="s">
        <v>2802</v>
      </c>
      <c r="G1285" t="s">
        <v>2803</v>
      </c>
      <c r="H1285" t="s">
        <v>2804</v>
      </c>
      <c r="I1285" t="s">
        <v>2805</v>
      </c>
    </row>
    <row r="1286" spans="1:9" x14ac:dyDescent="0.25">
      <c r="A1286" s="1" t="str">
        <f>HYPERLINK("https://lynxcrm-apac--c.eu19.visual.force.com/0011i000001xnZrAAI","Dr L.Y. Lai &amp; Neo Clinic")</f>
        <v>Dr L.Y. Lai &amp; Neo Clinic</v>
      </c>
      <c r="B1286" t="s">
        <v>2806</v>
      </c>
      <c r="C1286" t="s">
        <v>10</v>
      </c>
      <c r="D1286" t="s">
        <v>8</v>
      </c>
      <c r="E1286" t="s">
        <v>8</v>
      </c>
      <c r="F1286" t="s">
        <v>2807</v>
      </c>
      <c r="G1286" t="s">
        <v>2808</v>
      </c>
      <c r="H1286" t="s">
        <v>2809</v>
      </c>
      <c r="I1286" t="s">
        <v>2810</v>
      </c>
    </row>
    <row r="1287" spans="1:9" x14ac:dyDescent="0.25">
      <c r="A1287" s="1" t="str">
        <f>HYPERLINK("https://lynxcrm-apac--c.eu19.visual.force.com/0011i000001xnINAAY","Dr Lee Keen Whye")</f>
        <v>Dr Lee Keen Whye</v>
      </c>
      <c r="B1287" t="s">
        <v>2811</v>
      </c>
      <c r="C1287" t="s">
        <v>10</v>
      </c>
      <c r="D1287" t="s">
        <v>8</v>
      </c>
      <c r="E1287" t="s">
        <v>8</v>
      </c>
      <c r="F1287" t="s">
        <v>69</v>
      </c>
      <c r="G1287" t="s">
        <v>2812</v>
      </c>
      <c r="H1287" t="s">
        <v>2813</v>
      </c>
      <c r="I1287" t="s">
        <v>67</v>
      </c>
    </row>
    <row r="1288" spans="1:9" x14ac:dyDescent="0.25">
      <c r="A1288" s="1" t="str">
        <f>HYPERLINK("https://lynxcrm-apac--c.eu19.visual.force.com/0011i000001xnIPAAY","Dr Lee Keen Whye")</f>
        <v>Dr Lee Keen Whye</v>
      </c>
      <c r="B1288" t="s">
        <v>2814</v>
      </c>
      <c r="C1288" t="s">
        <v>10</v>
      </c>
      <c r="D1288" t="s">
        <v>8</v>
      </c>
      <c r="E1288" t="s">
        <v>8</v>
      </c>
      <c r="F1288" t="s">
        <v>69</v>
      </c>
      <c r="G1288" t="s">
        <v>2812</v>
      </c>
      <c r="H1288" t="s">
        <v>2813</v>
      </c>
      <c r="I1288" t="s">
        <v>67</v>
      </c>
    </row>
    <row r="1289" spans="1:9" x14ac:dyDescent="0.25">
      <c r="A1289" s="1" t="str">
        <f>HYPERLINK("https://lynxcrm-apac--c.eu19.visual.force.com/0011i000001xnCCAAY","Dr Lim Lean Huat &amp; Associates Pte Ltd")</f>
        <v>Dr Lim Lean Huat &amp; Associates Pte Ltd</v>
      </c>
      <c r="B1289" t="s">
        <v>2815</v>
      </c>
      <c r="C1289" t="s">
        <v>10</v>
      </c>
      <c r="D1289" t="s">
        <v>8</v>
      </c>
      <c r="E1289" t="s">
        <v>8</v>
      </c>
      <c r="F1289" t="s">
        <v>2816</v>
      </c>
      <c r="G1289" t="s">
        <v>2817</v>
      </c>
      <c r="H1289" t="s">
        <v>2817</v>
      </c>
      <c r="I1289" t="s">
        <v>1173</v>
      </c>
    </row>
    <row r="1290" spans="1:9" x14ac:dyDescent="0.25">
      <c r="A1290" s="1" t="str">
        <f>HYPERLINK("https://lynxcrm-apac--c.eu19.visual.force.com/0011i000001xnCCAAY","Dr Lim Lean Huat &amp; Associates Pte Ltd")</f>
        <v>Dr Lim Lean Huat &amp; Associates Pte Ltd</v>
      </c>
      <c r="B1290" t="s">
        <v>2815</v>
      </c>
      <c r="C1290" t="s">
        <v>10</v>
      </c>
      <c r="D1290" t="s">
        <v>8</v>
      </c>
      <c r="E1290" t="s">
        <v>8</v>
      </c>
      <c r="F1290" t="s">
        <v>2818</v>
      </c>
      <c r="G1290" t="s">
        <v>2819</v>
      </c>
      <c r="H1290" t="s">
        <v>2820</v>
      </c>
      <c r="I1290" t="s">
        <v>310</v>
      </c>
    </row>
    <row r="1291" spans="1:9" x14ac:dyDescent="0.25">
      <c r="A1291" s="1" t="str">
        <f>HYPERLINK("https://lynxcrm-apac--c.eu19.visual.force.com/0011i000001xn2sAAA","Dr L K Yap Surgery &amp; Clinic For Women")</f>
        <v>Dr L K Yap Surgery &amp; Clinic For Women</v>
      </c>
      <c r="B1291" t="s">
        <v>2821</v>
      </c>
      <c r="C1291" t="s">
        <v>10</v>
      </c>
      <c r="D1291" t="s">
        <v>8</v>
      </c>
      <c r="E1291" t="s">
        <v>8</v>
      </c>
      <c r="F1291" t="s">
        <v>377</v>
      </c>
      <c r="G1291" t="s">
        <v>2822</v>
      </c>
      <c r="H1291" t="s">
        <v>2823</v>
      </c>
      <c r="I1291" t="s">
        <v>123</v>
      </c>
    </row>
    <row r="1292" spans="1:9" x14ac:dyDescent="0.25">
      <c r="A1292" s="1" t="str">
        <f>HYPERLINK("https://lynxcrm-apac--c.eu19.visual.force.com/0011i000001xnLVAAY","Dr Matthew Tan Diabetes and Endocrine Care")</f>
        <v>Dr Matthew Tan Diabetes and Endocrine Care</v>
      </c>
      <c r="B1292" t="s">
        <v>2824</v>
      </c>
      <c r="C1292" t="s">
        <v>10</v>
      </c>
      <c r="D1292" t="s">
        <v>8</v>
      </c>
      <c r="E1292" t="s">
        <v>8</v>
      </c>
      <c r="F1292" t="s">
        <v>1801</v>
      </c>
      <c r="G1292" t="s">
        <v>2825</v>
      </c>
      <c r="H1292" t="s">
        <v>2825</v>
      </c>
      <c r="I1292" t="s">
        <v>2826</v>
      </c>
    </row>
    <row r="1293" spans="1:9" x14ac:dyDescent="0.25">
      <c r="A1293" s="1" t="str">
        <f>HYPERLINK("https://lynxcrm-apac--c.eu19.visual.force.com/0011i000001xnCOAAY","Dr Peter Looi")</f>
        <v>Dr Peter Looi</v>
      </c>
      <c r="B1293" t="s">
        <v>2827</v>
      </c>
      <c r="C1293" t="s">
        <v>10</v>
      </c>
      <c r="D1293" t="s">
        <v>8</v>
      </c>
      <c r="E1293" t="s">
        <v>8</v>
      </c>
      <c r="F1293" t="s">
        <v>2828</v>
      </c>
      <c r="G1293" t="s">
        <v>2829</v>
      </c>
      <c r="H1293" t="s">
        <v>2829</v>
      </c>
      <c r="I1293" t="s">
        <v>2830</v>
      </c>
    </row>
    <row r="1294" spans="1:9" x14ac:dyDescent="0.25">
      <c r="A1294" s="1" t="str">
        <f>HYPERLINK("https://lynxcrm-apac--c.eu19.visual.force.com/0011i000001xmpYAAQ","Drs Bain &amp; Partners")</f>
        <v>Drs Bain &amp; Partners</v>
      </c>
      <c r="B1294" t="s">
        <v>2831</v>
      </c>
      <c r="C1294" t="s">
        <v>10</v>
      </c>
      <c r="D1294" t="s">
        <v>8</v>
      </c>
      <c r="E1294" t="s">
        <v>8</v>
      </c>
      <c r="F1294" t="s">
        <v>2832</v>
      </c>
      <c r="G1294" t="s">
        <v>2833</v>
      </c>
      <c r="H1294" t="s">
        <v>2834</v>
      </c>
      <c r="I1294" t="s">
        <v>2835</v>
      </c>
    </row>
    <row r="1295" spans="1:9" x14ac:dyDescent="0.25">
      <c r="A1295" s="1" t="str">
        <f>HYPERLINK("https://lynxcrm-apac--c.eu19.visual.force.com/0011i000001xnbOAAQ","Drs Bain &amp; Partners")</f>
        <v>Drs Bain &amp; Partners</v>
      </c>
      <c r="B1295" t="s">
        <v>2836</v>
      </c>
      <c r="C1295" t="s">
        <v>10</v>
      </c>
      <c r="D1295" t="s">
        <v>8</v>
      </c>
      <c r="E1295" t="s">
        <v>8</v>
      </c>
      <c r="F1295" t="s">
        <v>2837</v>
      </c>
      <c r="G1295" t="s">
        <v>2838</v>
      </c>
      <c r="H1295" t="s">
        <v>2839</v>
      </c>
      <c r="I1295" t="s">
        <v>2840</v>
      </c>
    </row>
    <row r="1296" spans="1:9" x14ac:dyDescent="0.25">
      <c r="A1296" s="1" t="str">
        <f>HYPERLINK("https://lynxcrm-apac--c.eu19.visual.force.com/0011i000001xn5mAAA","Drs Bain &amp; Partners")</f>
        <v>Drs Bain &amp; Partners</v>
      </c>
      <c r="B1296" t="s">
        <v>2841</v>
      </c>
      <c r="C1296" t="s">
        <v>10</v>
      </c>
      <c r="D1296" t="s">
        <v>8</v>
      </c>
      <c r="E1296" t="s">
        <v>8</v>
      </c>
      <c r="F1296" t="s">
        <v>2837</v>
      </c>
      <c r="G1296" t="s">
        <v>2842</v>
      </c>
      <c r="H1296" t="s">
        <v>2843</v>
      </c>
      <c r="I1296" t="s">
        <v>2840</v>
      </c>
    </row>
    <row r="1297" spans="1:9" x14ac:dyDescent="0.25">
      <c r="A1297" s="1" t="str">
        <f>HYPERLINK("https://lynxcrm-apac--c.eu19.visual.force.com/0011i000001xn5mAAA","Drs Bain &amp; Partners")</f>
        <v>Drs Bain &amp; Partners</v>
      </c>
      <c r="B1297" t="s">
        <v>2841</v>
      </c>
      <c r="C1297" t="s">
        <v>10</v>
      </c>
      <c r="D1297" t="s">
        <v>8</v>
      </c>
      <c r="E1297" t="s">
        <v>8</v>
      </c>
      <c r="F1297" t="s">
        <v>2844</v>
      </c>
      <c r="G1297" t="s">
        <v>2845</v>
      </c>
      <c r="H1297" t="s">
        <v>2845</v>
      </c>
      <c r="I1297" t="s">
        <v>2840</v>
      </c>
    </row>
    <row r="1298" spans="1:9" x14ac:dyDescent="0.25">
      <c r="A1298" s="1" t="str">
        <f>HYPERLINK("https://lynxcrm-apac--c.eu19.visual.force.com/0011i000001xn5mAAA","Drs Bain &amp; Partners")</f>
        <v>Drs Bain &amp; Partners</v>
      </c>
      <c r="B1298" t="s">
        <v>2841</v>
      </c>
      <c r="C1298" t="s">
        <v>10</v>
      </c>
      <c r="D1298" t="s">
        <v>8</v>
      </c>
      <c r="E1298" t="s">
        <v>8</v>
      </c>
      <c r="F1298" t="s">
        <v>2837</v>
      </c>
      <c r="G1298" t="s">
        <v>2846</v>
      </c>
      <c r="H1298" t="s">
        <v>2846</v>
      </c>
      <c r="I1298" t="s">
        <v>2840</v>
      </c>
    </row>
    <row r="1299" spans="1:9" x14ac:dyDescent="0.25">
      <c r="A1299" s="1" t="str">
        <f>HYPERLINK("https://lynxcrm-apac--c.eu19.visual.force.com/0011i000001xn5mAAA","Drs Bain &amp; Partners")</f>
        <v>Drs Bain &amp; Partners</v>
      </c>
      <c r="B1299" t="s">
        <v>2841</v>
      </c>
      <c r="C1299" t="s">
        <v>10</v>
      </c>
      <c r="D1299" t="s">
        <v>8</v>
      </c>
      <c r="E1299" t="s">
        <v>8</v>
      </c>
      <c r="F1299" t="s">
        <v>2847</v>
      </c>
      <c r="G1299" t="s">
        <v>2848</v>
      </c>
      <c r="H1299" t="s">
        <v>2843</v>
      </c>
      <c r="I1299" t="s">
        <v>2840</v>
      </c>
    </row>
    <row r="1300" spans="1:9" x14ac:dyDescent="0.25">
      <c r="A1300" s="1" t="str">
        <f>HYPERLINK("https://lynxcrm-apac--c.eu19.visual.force.com/0011i000001xn5oAAA","Drs Bain &amp; Partners")</f>
        <v>Drs Bain &amp; Partners</v>
      </c>
      <c r="B1300" t="s">
        <v>2849</v>
      </c>
      <c r="C1300" t="s">
        <v>10</v>
      </c>
      <c r="D1300" t="s">
        <v>8</v>
      </c>
      <c r="E1300" t="s">
        <v>8</v>
      </c>
      <c r="F1300" t="s">
        <v>2832</v>
      </c>
      <c r="G1300" t="s">
        <v>2833</v>
      </c>
      <c r="H1300" t="s">
        <v>2834</v>
      </c>
      <c r="I1300" t="s">
        <v>2835</v>
      </c>
    </row>
    <row r="1301" spans="1:9" x14ac:dyDescent="0.25">
      <c r="A1301" s="1" t="str">
        <f>HYPERLINK("https://lynxcrm-apac--c.eu19.visual.force.com/0011i000001xnX4AAI","Drs Bain &amp; Partners")</f>
        <v>Drs Bain &amp; Partners</v>
      </c>
      <c r="B1301" t="s">
        <v>2850</v>
      </c>
      <c r="C1301" t="s">
        <v>10</v>
      </c>
      <c r="D1301" t="s">
        <v>8</v>
      </c>
      <c r="E1301" t="s">
        <v>8</v>
      </c>
      <c r="F1301" t="s">
        <v>679</v>
      </c>
      <c r="G1301" t="s">
        <v>2851</v>
      </c>
      <c r="H1301" t="s">
        <v>2843</v>
      </c>
      <c r="I1301" t="s">
        <v>115</v>
      </c>
    </row>
    <row r="1302" spans="1:9" x14ac:dyDescent="0.25">
      <c r="A1302" s="1" t="str">
        <f>HYPERLINK("https://lynxcrm-apac--c.eu19.visual.force.com/0011i000001xnRFAAY","Drs Bain &amp; Partners")</f>
        <v>Drs Bain &amp; Partners</v>
      </c>
      <c r="B1302" t="s">
        <v>2852</v>
      </c>
      <c r="C1302" t="s">
        <v>10</v>
      </c>
      <c r="D1302" t="s">
        <v>8</v>
      </c>
      <c r="E1302" t="s">
        <v>8</v>
      </c>
      <c r="F1302" t="s">
        <v>2837</v>
      </c>
      <c r="G1302" t="s">
        <v>2838</v>
      </c>
      <c r="H1302" t="s">
        <v>2838</v>
      </c>
      <c r="I1302" t="s">
        <v>2840</v>
      </c>
    </row>
    <row r="1303" spans="1:9" x14ac:dyDescent="0.25">
      <c r="A1303" s="1" t="str">
        <f>HYPERLINK("https://lynxcrm-apac--c.eu19.visual.force.com/0011i000001xnHCAAY","Drs Bain &amp; Partners")</f>
        <v>Drs Bain &amp; Partners</v>
      </c>
      <c r="B1303" t="s">
        <v>2853</v>
      </c>
      <c r="C1303" t="s">
        <v>10</v>
      </c>
      <c r="D1303" t="s">
        <v>8</v>
      </c>
      <c r="E1303" t="s">
        <v>8</v>
      </c>
      <c r="F1303" t="s">
        <v>2854</v>
      </c>
      <c r="G1303" t="s">
        <v>2855</v>
      </c>
      <c r="H1303" t="s">
        <v>2855</v>
      </c>
      <c r="I1303" t="s">
        <v>2835</v>
      </c>
    </row>
    <row r="1304" spans="1:9" x14ac:dyDescent="0.25">
      <c r="A1304" s="1" t="str">
        <f>HYPERLINK("https://lynxcrm-apac--c.eu19.visual.force.com/0011i000001xnCbAAI","Drs Bains &amp; Partners")</f>
        <v>Drs Bains &amp; Partners</v>
      </c>
      <c r="B1304" t="s">
        <v>2856</v>
      </c>
      <c r="C1304" t="s">
        <v>10</v>
      </c>
      <c r="D1304" t="s">
        <v>8</v>
      </c>
      <c r="E1304" t="s">
        <v>8</v>
      </c>
      <c r="F1304" t="s">
        <v>2857</v>
      </c>
      <c r="G1304" t="s">
        <v>2855</v>
      </c>
      <c r="H1304" t="s">
        <v>2855</v>
      </c>
      <c r="I1304" t="s">
        <v>2835</v>
      </c>
    </row>
    <row r="1305" spans="1:9" x14ac:dyDescent="0.25">
      <c r="A1305" s="1" t="str">
        <f>HYPERLINK("https://lynxcrm-apac--c.eu19.visual.force.com/0011i000001xmwfAAA","Drs Chua &amp; Partners")</f>
        <v>Drs Chua &amp; Partners</v>
      </c>
      <c r="B1305" t="s">
        <v>2858</v>
      </c>
      <c r="C1305" t="s">
        <v>10</v>
      </c>
      <c r="D1305" t="s">
        <v>8</v>
      </c>
      <c r="E1305" t="s">
        <v>8</v>
      </c>
      <c r="F1305" t="s">
        <v>2859</v>
      </c>
      <c r="G1305" t="s">
        <v>2860</v>
      </c>
      <c r="H1305" t="s">
        <v>2860</v>
      </c>
      <c r="I1305" t="s">
        <v>2861</v>
      </c>
    </row>
    <row r="1306" spans="1:9" x14ac:dyDescent="0.25">
      <c r="A1306" s="1" t="str">
        <f>HYPERLINK("https://lynxcrm-apac--c.eu19.visual.force.com/0011i000001xmmnAAA","Drs Fernandez &amp; Partners")</f>
        <v>Drs Fernandez &amp; Partners</v>
      </c>
      <c r="B1306" t="s">
        <v>2862</v>
      </c>
      <c r="C1306" t="s">
        <v>10</v>
      </c>
      <c r="D1306" t="s">
        <v>8</v>
      </c>
      <c r="E1306" t="s">
        <v>8</v>
      </c>
      <c r="F1306" t="s">
        <v>2863</v>
      </c>
      <c r="G1306" t="s">
        <v>2864</v>
      </c>
      <c r="H1306" t="s">
        <v>2864</v>
      </c>
      <c r="I1306" t="s">
        <v>1691</v>
      </c>
    </row>
    <row r="1307" spans="1:9" x14ac:dyDescent="0.25">
      <c r="A1307" s="1" t="str">
        <f>HYPERLINK("https://lynxcrm-apac--c.eu19.visual.force.com/0011i000001xmiGAAQ","Drs Goh &amp; Tan Family Clinic &amp; Surgery")</f>
        <v>Drs Goh &amp; Tan Family Clinic &amp; Surgery</v>
      </c>
      <c r="B1307" t="s">
        <v>2865</v>
      </c>
      <c r="C1307" t="s">
        <v>10</v>
      </c>
      <c r="D1307" t="s">
        <v>8</v>
      </c>
      <c r="E1307" t="s">
        <v>8</v>
      </c>
      <c r="F1307" t="s">
        <v>456</v>
      </c>
      <c r="G1307" t="s">
        <v>2866</v>
      </c>
      <c r="H1307" t="s">
        <v>2867</v>
      </c>
      <c r="I1307" t="s">
        <v>458</v>
      </c>
    </row>
    <row r="1308" spans="1:9" x14ac:dyDescent="0.25">
      <c r="A1308" s="1" t="str">
        <f>HYPERLINK("https://lynxcrm-apac--c.eu19.visual.force.com/0011i000001xnC6AAI","Drs Koo, Loh &amp; Associates Pte Ltd")</f>
        <v>Drs Koo, Loh &amp; Associates Pte Ltd</v>
      </c>
      <c r="B1308" t="s">
        <v>2868</v>
      </c>
      <c r="C1308" t="s">
        <v>10</v>
      </c>
      <c r="D1308" t="s">
        <v>8</v>
      </c>
      <c r="E1308" t="s">
        <v>8</v>
      </c>
      <c r="F1308" t="s">
        <v>2869</v>
      </c>
      <c r="G1308" t="s">
        <v>2870</v>
      </c>
      <c r="H1308" t="s">
        <v>2871</v>
      </c>
      <c r="I1308" t="s">
        <v>2872</v>
      </c>
    </row>
    <row r="1309" spans="1:9" x14ac:dyDescent="0.25">
      <c r="A1309" s="1" t="str">
        <f>HYPERLINK("https://lynxcrm-apac--c.eu19.visual.force.com/0011i000001xmxDAAQ","Drs Koo, Loh &amp; Associates Pte Ltd")</f>
        <v>Drs Koo, Loh &amp; Associates Pte Ltd</v>
      </c>
      <c r="B1309" t="s">
        <v>2873</v>
      </c>
      <c r="C1309" t="s">
        <v>10</v>
      </c>
      <c r="D1309" t="s">
        <v>8</v>
      </c>
      <c r="E1309" t="s">
        <v>8</v>
      </c>
      <c r="F1309" t="s">
        <v>2869</v>
      </c>
      <c r="G1309" t="s">
        <v>2870</v>
      </c>
      <c r="H1309" t="s">
        <v>2871</v>
      </c>
      <c r="I1309" t="s">
        <v>2874</v>
      </c>
    </row>
    <row r="1310" spans="1:9" x14ac:dyDescent="0.25">
      <c r="A1310" s="1" t="str">
        <f>HYPERLINK("https://lynxcrm-apac--c.eu19.visual.force.com/0011i000001xnNvAAI","Drs Koo &amp; Associates")</f>
        <v>Drs Koo &amp; Associates</v>
      </c>
      <c r="B1310" t="s">
        <v>2875</v>
      </c>
      <c r="C1310" t="s">
        <v>10</v>
      </c>
      <c r="D1310" t="s">
        <v>8</v>
      </c>
      <c r="E1310" t="s">
        <v>8</v>
      </c>
      <c r="F1310" t="s">
        <v>2876</v>
      </c>
      <c r="G1310" t="s">
        <v>2392</v>
      </c>
      <c r="H1310" t="s">
        <v>2392</v>
      </c>
      <c r="I1310" t="s">
        <v>2877</v>
      </c>
    </row>
    <row r="1311" spans="1:9" x14ac:dyDescent="0.25">
      <c r="A1311" s="1" t="str">
        <f>HYPERLINK("https://lynxcrm-apac--c.eu19.visual.force.com/0011i000001xn4uAAA","Drs Koo &amp; Neoh Medical Grp")</f>
        <v>Drs Koo &amp; Neoh Medical Grp</v>
      </c>
      <c r="B1311" t="s">
        <v>2878</v>
      </c>
      <c r="C1311" t="s">
        <v>10</v>
      </c>
      <c r="D1311" t="s">
        <v>8</v>
      </c>
      <c r="E1311" t="s">
        <v>8</v>
      </c>
      <c r="F1311" t="s">
        <v>2879</v>
      </c>
      <c r="G1311" t="s">
        <v>2880</v>
      </c>
      <c r="H1311" t="s">
        <v>2880</v>
      </c>
      <c r="I1311" t="s">
        <v>2881</v>
      </c>
    </row>
    <row r="1312" spans="1:9" x14ac:dyDescent="0.25">
      <c r="A1312" s="1" t="str">
        <f>HYPERLINK("https://lynxcrm-apac--c.eu19.visual.force.com/0011i000001xncVAAQ","Drs Lim &amp; Chan Clinic")</f>
        <v>Drs Lim &amp; Chan Clinic</v>
      </c>
      <c r="B1312" t="s">
        <v>2882</v>
      </c>
      <c r="C1312" t="s">
        <v>10</v>
      </c>
      <c r="D1312" t="s">
        <v>8</v>
      </c>
      <c r="E1312" t="s">
        <v>8</v>
      </c>
      <c r="F1312" t="s">
        <v>2883</v>
      </c>
      <c r="G1312" t="s">
        <v>402</v>
      </c>
      <c r="H1312" t="s">
        <v>2884</v>
      </c>
      <c r="I1312" t="s">
        <v>2885</v>
      </c>
    </row>
    <row r="1313" spans="1:9" x14ac:dyDescent="0.25">
      <c r="A1313" s="1" t="str">
        <f>HYPERLINK("https://lynxcrm-apac--c.eu19.visual.force.com/0011i000001xnC8AAI","Drs Lim &amp; Chan Clinic")</f>
        <v>Drs Lim &amp; Chan Clinic</v>
      </c>
      <c r="B1313" t="s">
        <v>2886</v>
      </c>
      <c r="C1313" t="s">
        <v>10</v>
      </c>
      <c r="D1313" t="s">
        <v>8</v>
      </c>
      <c r="E1313" t="s">
        <v>8</v>
      </c>
      <c r="F1313" t="s">
        <v>2887</v>
      </c>
      <c r="G1313" t="s">
        <v>2888</v>
      </c>
      <c r="H1313" t="s">
        <v>2888</v>
      </c>
      <c r="I1313" t="s">
        <v>2889</v>
      </c>
    </row>
    <row r="1314" spans="1:9" x14ac:dyDescent="0.25">
      <c r="A1314" s="1" t="str">
        <f>HYPERLINK("https://lynxcrm-apac--c.eu19.visual.force.com/0011i000001xnRwAAI","Dr Soh Family Clinic")</f>
        <v>Dr Soh Family Clinic</v>
      </c>
      <c r="B1314" t="s">
        <v>2890</v>
      </c>
      <c r="C1314" t="s">
        <v>10</v>
      </c>
      <c r="D1314" t="s">
        <v>8</v>
      </c>
      <c r="E1314" t="s">
        <v>8</v>
      </c>
      <c r="F1314" t="s">
        <v>2891</v>
      </c>
      <c r="G1314" t="s">
        <v>2892</v>
      </c>
      <c r="H1314" t="s">
        <v>2893</v>
      </c>
      <c r="I1314" t="s">
        <v>2894</v>
      </c>
    </row>
    <row r="1315" spans="1:9" x14ac:dyDescent="0.25">
      <c r="A1315" s="1" t="str">
        <f>HYPERLINK("https://lynxcrm-apac--c.eu19.visual.force.com/0011i000001xmhgAAA","Drs Richard Choo &amp; Partners Pte Ltd")</f>
        <v>Drs Richard Choo &amp; Partners Pte Ltd</v>
      </c>
      <c r="B1315" t="s">
        <v>2895</v>
      </c>
      <c r="C1315" t="s">
        <v>10</v>
      </c>
      <c r="D1315" t="s">
        <v>8</v>
      </c>
      <c r="E1315" t="s">
        <v>8</v>
      </c>
      <c r="F1315" t="s">
        <v>2896</v>
      </c>
      <c r="G1315" t="s">
        <v>2897</v>
      </c>
      <c r="H1315" t="s">
        <v>2898</v>
      </c>
      <c r="I1315" t="s">
        <v>2899</v>
      </c>
    </row>
    <row r="1316" spans="1:9" x14ac:dyDescent="0.25">
      <c r="A1316" s="1" t="str">
        <f>HYPERLINK("https://lynxcrm-apac--c.eu19.visual.force.com/0011i000001xmbsAAA","Drs Singh &amp; Partners")</f>
        <v>Drs Singh &amp; Partners</v>
      </c>
      <c r="B1316" t="s">
        <v>2900</v>
      </c>
      <c r="C1316" t="s">
        <v>10</v>
      </c>
      <c r="D1316" t="s">
        <v>8</v>
      </c>
      <c r="E1316" t="s">
        <v>8</v>
      </c>
      <c r="F1316" t="s">
        <v>2901</v>
      </c>
      <c r="G1316" t="s">
        <v>2902</v>
      </c>
      <c r="H1316" t="s">
        <v>2903</v>
      </c>
      <c r="I1316" t="s">
        <v>2904</v>
      </c>
    </row>
    <row r="1317" spans="1:9" x14ac:dyDescent="0.25">
      <c r="A1317" s="1" t="str">
        <f>HYPERLINK("https://lynxcrm-apac--c.eu19.visual.force.com/0011i000001xmh9AAA","Drs Tang &amp; Partners")</f>
        <v>Drs Tang &amp; Partners</v>
      </c>
      <c r="B1317" t="s">
        <v>2905</v>
      </c>
      <c r="C1317" t="s">
        <v>10</v>
      </c>
      <c r="D1317" t="s">
        <v>8</v>
      </c>
      <c r="E1317" t="s">
        <v>8</v>
      </c>
      <c r="F1317" t="s">
        <v>272</v>
      </c>
      <c r="G1317" t="s">
        <v>2906</v>
      </c>
      <c r="H1317" t="s">
        <v>2907</v>
      </c>
      <c r="I1317" t="s">
        <v>275</v>
      </c>
    </row>
    <row r="1318" spans="1:9" x14ac:dyDescent="0.25">
      <c r="A1318" s="1" t="str">
        <f>HYPERLINK("https://lynxcrm-apac--c.eu19.visual.force.com/0011i000001xn1FAAQ","Drs Thompson &amp; Thomson (Radlink Medicare)")</f>
        <v>Drs Thompson &amp; Thomson (Radlink Medicare)</v>
      </c>
      <c r="B1318" t="s">
        <v>2908</v>
      </c>
      <c r="C1318" t="s">
        <v>10</v>
      </c>
      <c r="D1318" t="s">
        <v>8</v>
      </c>
      <c r="E1318" t="s">
        <v>8</v>
      </c>
      <c r="F1318" t="s">
        <v>2338</v>
      </c>
      <c r="G1318" t="s">
        <v>2339</v>
      </c>
      <c r="H1318" t="s">
        <v>2339</v>
      </c>
      <c r="I1318" t="s">
        <v>2340</v>
      </c>
    </row>
    <row r="1319" spans="1:9" x14ac:dyDescent="0.25">
      <c r="A1319" s="1" t="str">
        <f>HYPERLINK("https://lynxcrm-apac--c.eu19.visual.force.com/0011i000001xmkVAAQ","Drs Thompson &amp; Thomson Pte Ltd")</f>
        <v>Drs Thompson &amp; Thomson Pte Ltd</v>
      </c>
      <c r="B1319" t="s">
        <v>2909</v>
      </c>
      <c r="C1319" t="s">
        <v>10</v>
      </c>
      <c r="D1319" t="s">
        <v>8</v>
      </c>
      <c r="E1319" t="s">
        <v>8</v>
      </c>
      <c r="F1319" t="s">
        <v>2910</v>
      </c>
      <c r="G1319" t="s">
        <v>2911</v>
      </c>
      <c r="H1319" t="s">
        <v>2912</v>
      </c>
      <c r="I1319" t="s">
        <v>2340</v>
      </c>
    </row>
    <row r="1320" spans="1:9" x14ac:dyDescent="0.25">
      <c r="A1320" s="1" t="str">
        <f>HYPERLINK("https://lynxcrm-apac--c.eu19.visual.force.com/0011i000001xndEAAQ","Drs Wee &amp; Oh")</f>
        <v>Drs Wee &amp; Oh</v>
      </c>
      <c r="B1320" t="s">
        <v>2913</v>
      </c>
      <c r="C1320" t="s">
        <v>10</v>
      </c>
      <c r="D1320" t="s">
        <v>8</v>
      </c>
      <c r="E1320" t="s">
        <v>8</v>
      </c>
      <c r="F1320" t="s">
        <v>377</v>
      </c>
      <c r="G1320" t="s">
        <v>2914</v>
      </c>
      <c r="H1320" t="s">
        <v>2915</v>
      </c>
      <c r="I1320" t="s">
        <v>123</v>
      </c>
    </row>
    <row r="1321" spans="1:9" x14ac:dyDescent="0.25">
      <c r="A1321" s="1" t="str">
        <f>HYPERLINK("https://lynxcrm-apac--c.eu19.visual.force.com/0011i000001xmdKAAQ","Drs Wee &amp; Oh")</f>
        <v>Drs Wee &amp; Oh</v>
      </c>
      <c r="B1321" t="s">
        <v>2916</v>
      </c>
      <c r="C1321" t="s">
        <v>10</v>
      </c>
      <c r="D1321" t="s">
        <v>8</v>
      </c>
      <c r="E1321" t="s">
        <v>8</v>
      </c>
      <c r="F1321" t="s">
        <v>373</v>
      </c>
      <c r="G1321" t="s">
        <v>2914</v>
      </c>
      <c r="H1321" t="s">
        <v>2915</v>
      </c>
      <c r="I1321" t="s">
        <v>123</v>
      </c>
    </row>
    <row r="1322" spans="1:9" x14ac:dyDescent="0.25">
      <c r="A1322" s="1" t="str">
        <f>HYPERLINK("https://lynxcrm-apac--c.eu19.visual.force.com/0011i000001xnF7AAI","Dr Tan Chee Eng &amp; Company")</f>
        <v>Dr Tan Chee Eng &amp; Company</v>
      </c>
      <c r="B1322" t="s">
        <v>2917</v>
      </c>
      <c r="C1322" t="s">
        <v>10</v>
      </c>
      <c r="D1322" t="s">
        <v>8</v>
      </c>
      <c r="E1322" t="s">
        <v>8</v>
      </c>
      <c r="F1322" t="s">
        <v>69</v>
      </c>
      <c r="G1322" t="s">
        <v>2918</v>
      </c>
      <c r="H1322" t="s">
        <v>2919</v>
      </c>
      <c r="I1322" t="s">
        <v>67</v>
      </c>
    </row>
    <row r="1323" spans="1:9" x14ac:dyDescent="0.25">
      <c r="A1323" s="1" t="str">
        <f>HYPERLINK("https://lynxcrm-apac--c.eu19.visual.force.com/0011i000001xnITAAY","Dr Tan Kok Kong's Clinic for Women")</f>
        <v>Dr Tan Kok Kong's Clinic for Women</v>
      </c>
      <c r="B1323" t="s">
        <v>2920</v>
      </c>
      <c r="C1323" t="s">
        <v>10</v>
      </c>
      <c r="D1323" t="s">
        <v>8</v>
      </c>
      <c r="E1323" t="s">
        <v>8</v>
      </c>
      <c r="F1323" t="s">
        <v>69</v>
      </c>
      <c r="G1323" t="s">
        <v>2921</v>
      </c>
      <c r="H1323" t="s">
        <v>2922</v>
      </c>
      <c r="I1323" t="s">
        <v>67</v>
      </c>
    </row>
    <row r="1324" spans="1:9" x14ac:dyDescent="0.25">
      <c r="A1324" s="1" t="str">
        <f>HYPERLINK("https://lynxcrm-apac--c.eu19.visual.force.com/0011i00000vJl2mAAC","Dr Tan Medical Center")</f>
        <v>Dr Tan Medical Center</v>
      </c>
      <c r="B1324" t="s">
        <v>2923</v>
      </c>
      <c r="C1324" t="s">
        <v>10</v>
      </c>
      <c r="D1324" t="s">
        <v>8</v>
      </c>
      <c r="E1324" t="s">
        <v>8</v>
      </c>
      <c r="F1324" t="s">
        <v>417</v>
      </c>
      <c r="G1324" t="s">
        <v>2924</v>
      </c>
      <c r="H1324" t="s">
        <v>8</v>
      </c>
      <c r="I1324" t="s">
        <v>887</v>
      </c>
    </row>
    <row r="1325" spans="1:9" x14ac:dyDescent="0.25">
      <c r="A1325" s="1" t="str">
        <f>HYPERLINK("https://lynxcrm-apac--c.eu19.visual.force.com/0011i000001xnDrAAI","Dr Venga Clinic for Women")</f>
        <v>Dr Venga Clinic for Women</v>
      </c>
      <c r="B1325" t="s">
        <v>2925</v>
      </c>
      <c r="C1325" t="s">
        <v>10</v>
      </c>
      <c r="D1325" t="s">
        <v>8</v>
      </c>
      <c r="E1325" t="s">
        <v>8</v>
      </c>
      <c r="F1325" t="s">
        <v>2926</v>
      </c>
      <c r="G1325" t="s">
        <v>2927</v>
      </c>
      <c r="H1325" t="s">
        <v>2927</v>
      </c>
      <c r="I1325" t="s">
        <v>2928</v>
      </c>
    </row>
    <row r="1326" spans="1:9" x14ac:dyDescent="0.25">
      <c r="A1326" s="1" t="str">
        <f>HYPERLINK("https://lynxcrm-apac--c.eu19.visual.force.com/0011i000001xmm0AAA","Dr W Medical Clinic")</f>
        <v>Dr W Medical Clinic</v>
      </c>
      <c r="B1326" t="s">
        <v>2929</v>
      </c>
      <c r="C1326" t="s">
        <v>10</v>
      </c>
      <c r="D1326" t="s">
        <v>8</v>
      </c>
      <c r="E1326" t="s">
        <v>8</v>
      </c>
      <c r="F1326" t="s">
        <v>2930</v>
      </c>
      <c r="G1326" t="s">
        <v>2930</v>
      </c>
      <c r="H1326" t="s">
        <v>8</v>
      </c>
      <c r="I1326" t="s">
        <v>2931</v>
      </c>
    </row>
    <row r="1327" spans="1:9" x14ac:dyDescent="0.25">
      <c r="A1327" s="1" t="str">
        <f>HYPERLINK("https://lynxcrm-apac--c.eu19.visual.force.com/0011i000001xmoxAAA","Dr Yvonne Chan Clinic For Women")</f>
        <v>Dr Yvonne Chan Clinic For Women</v>
      </c>
      <c r="B1327" t="s">
        <v>2932</v>
      </c>
      <c r="C1327" t="s">
        <v>10</v>
      </c>
      <c r="D1327" t="s">
        <v>8</v>
      </c>
      <c r="E1327" t="s">
        <v>8</v>
      </c>
      <c r="F1327" t="s">
        <v>263</v>
      </c>
      <c r="G1327" t="s">
        <v>1176</v>
      </c>
      <c r="H1327" t="s">
        <v>1177</v>
      </c>
      <c r="I1327" t="s">
        <v>266</v>
      </c>
    </row>
    <row r="1328" spans="1:9" x14ac:dyDescent="0.25">
      <c r="A1328" s="1" t="str">
        <f>HYPERLINK("https://lynxcrm-apac--c.eu19.visual.force.com/0011i000001xmvsAAA","Duxton Medical Clinic")</f>
        <v>Duxton Medical Clinic</v>
      </c>
      <c r="B1328" t="s">
        <v>2933</v>
      </c>
      <c r="C1328" t="s">
        <v>10</v>
      </c>
      <c r="D1328" t="s">
        <v>8</v>
      </c>
      <c r="E1328" t="s">
        <v>8</v>
      </c>
      <c r="F1328" t="s">
        <v>2934</v>
      </c>
      <c r="G1328" t="s">
        <v>2935</v>
      </c>
      <c r="H1328" t="s">
        <v>2935</v>
      </c>
      <c r="I1328" t="s">
        <v>2936</v>
      </c>
    </row>
    <row r="1329" spans="1:9" x14ac:dyDescent="0.25">
      <c r="A1329" s="1" t="str">
        <f>HYPERLINK("https://lynxcrm-apac--c.eu19.visual.force.com/0011i000001xmvsAAA","Duxton Medical Clinic")</f>
        <v>Duxton Medical Clinic</v>
      </c>
      <c r="B1329" t="s">
        <v>2933</v>
      </c>
      <c r="C1329" t="s">
        <v>10</v>
      </c>
      <c r="D1329" t="s">
        <v>8</v>
      </c>
      <c r="E1329" t="s">
        <v>8</v>
      </c>
      <c r="F1329" t="s">
        <v>2937</v>
      </c>
      <c r="G1329" t="s">
        <v>1442</v>
      </c>
      <c r="H1329" t="s">
        <v>1442</v>
      </c>
      <c r="I1329" t="s">
        <v>2936</v>
      </c>
    </row>
    <row r="1330" spans="1:9" x14ac:dyDescent="0.25">
      <c r="A1330" s="1" t="str">
        <f>HYPERLINK("https://lynxcrm-apac--c.eu19.visual.force.com/0011i000001xn7RAAQ","E.J.Tan Clinic &amp; Surgery")</f>
        <v>E.J.Tan Clinic &amp; Surgery</v>
      </c>
      <c r="B1330" t="s">
        <v>2938</v>
      </c>
      <c r="C1330" t="s">
        <v>10</v>
      </c>
      <c r="D1330" t="s">
        <v>8</v>
      </c>
      <c r="E1330" t="s">
        <v>8</v>
      </c>
      <c r="F1330" t="s">
        <v>2939</v>
      </c>
      <c r="G1330" t="s">
        <v>2940</v>
      </c>
      <c r="H1330" t="s">
        <v>2940</v>
      </c>
      <c r="I1330" t="s">
        <v>2941</v>
      </c>
    </row>
    <row r="1331" spans="1:9" x14ac:dyDescent="0.25">
      <c r="A1331" s="1" t="str">
        <f>HYPERLINK("https://lynxcrm-apac--c.eu19.visual.force.com/0011i000001xmxmAAA","Ear Nose &amp; Throat Partners Pte Ltd")</f>
        <v>Ear Nose &amp; Throat Partners Pte Ltd</v>
      </c>
      <c r="B1331" t="s">
        <v>2942</v>
      </c>
      <c r="C1331" t="s">
        <v>10</v>
      </c>
      <c r="D1331" t="s">
        <v>8</v>
      </c>
      <c r="E1331" t="s">
        <v>8</v>
      </c>
      <c r="F1331" t="s">
        <v>377</v>
      </c>
      <c r="G1331" t="s">
        <v>2794</v>
      </c>
      <c r="H1331" t="s">
        <v>2943</v>
      </c>
      <c r="I1331" t="s">
        <v>123</v>
      </c>
    </row>
    <row r="1332" spans="1:9" x14ac:dyDescent="0.25">
      <c r="A1332" s="1" t="str">
        <f>HYPERLINK("https://lynxcrm-apac--c.eu19.visual.force.com/0011i000001xnAAAAY","East Coast Family Clinic")</f>
        <v>East Coast Family Clinic</v>
      </c>
      <c r="B1332" t="s">
        <v>2944</v>
      </c>
      <c r="C1332" t="s">
        <v>10</v>
      </c>
      <c r="D1332" t="s">
        <v>8</v>
      </c>
      <c r="E1332" t="s">
        <v>8</v>
      </c>
      <c r="F1332" t="s">
        <v>2945</v>
      </c>
      <c r="G1332" t="s">
        <v>2946</v>
      </c>
      <c r="H1332" t="s">
        <v>2947</v>
      </c>
      <c r="I1332" t="s">
        <v>2948</v>
      </c>
    </row>
    <row r="1333" spans="1:9" x14ac:dyDescent="0.25">
      <c r="A1333" s="1" t="str">
        <f>HYPERLINK("https://lynxcrm-apac--c.eu19.visual.force.com/0011i000001xmdNAAQ","East Coast Medical Centre")</f>
        <v>East Coast Medical Centre</v>
      </c>
      <c r="B1333" t="s">
        <v>2949</v>
      </c>
      <c r="C1333" t="s">
        <v>10</v>
      </c>
      <c r="D1333" t="s">
        <v>8</v>
      </c>
      <c r="E1333" t="s">
        <v>8</v>
      </c>
      <c r="F1333" t="s">
        <v>2950</v>
      </c>
      <c r="G1333" t="s">
        <v>2951</v>
      </c>
      <c r="H1333" t="s">
        <v>2951</v>
      </c>
      <c r="I1333" t="s">
        <v>2952</v>
      </c>
    </row>
    <row r="1334" spans="1:9" x14ac:dyDescent="0.25">
      <c r="A1334" s="1" t="str">
        <f>HYPERLINK("https://lynxcrm-apac--c.eu19.visual.force.com/0011i000001xnDFAAY","Eastern Clinic &amp; Surgery")</f>
        <v>Eastern Clinic &amp; Surgery</v>
      </c>
      <c r="B1334" t="s">
        <v>2953</v>
      </c>
      <c r="C1334" t="s">
        <v>10</v>
      </c>
      <c r="D1334" t="s">
        <v>8</v>
      </c>
      <c r="E1334" t="s">
        <v>8</v>
      </c>
      <c r="F1334" t="s">
        <v>2954</v>
      </c>
      <c r="G1334" t="s">
        <v>2955</v>
      </c>
      <c r="H1334" t="s">
        <v>2956</v>
      </c>
      <c r="I1334" t="s">
        <v>2957</v>
      </c>
    </row>
    <row r="1335" spans="1:9" x14ac:dyDescent="0.25">
      <c r="A1335" s="1" t="str">
        <f>HYPERLINK("https://lynxcrm-apac--c.eu19.visual.force.com/0011i000001xnDfAAI","Eastern Clinic &amp; Surgery Pte Ltd")</f>
        <v>Eastern Clinic &amp; Surgery Pte Ltd</v>
      </c>
      <c r="B1335" t="s">
        <v>2958</v>
      </c>
      <c r="C1335" t="s">
        <v>10</v>
      </c>
      <c r="D1335" t="s">
        <v>8</v>
      </c>
      <c r="E1335" t="s">
        <v>8</v>
      </c>
      <c r="F1335" t="s">
        <v>2959</v>
      </c>
      <c r="G1335" t="s">
        <v>2960</v>
      </c>
      <c r="H1335" t="s">
        <v>2961</v>
      </c>
      <c r="I1335" t="s">
        <v>2962</v>
      </c>
    </row>
    <row r="1336" spans="1:9" x14ac:dyDescent="0.25">
      <c r="A1336" s="1" t="str">
        <f>HYPERLINK("https://lynxcrm-apac--c.eu19.visual.force.com/0011i000001xnWmAAI","Eastshore Hospital")</f>
        <v>Eastshore Hospital</v>
      </c>
      <c r="B1336" t="s">
        <v>2963</v>
      </c>
      <c r="C1336" t="s">
        <v>10</v>
      </c>
      <c r="D1336" t="s">
        <v>8</v>
      </c>
      <c r="E1336" t="s">
        <v>8</v>
      </c>
      <c r="F1336" t="s">
        <v>103</v>
      </c>
      <c r="G1336" t="s">
        <v>2964</v>
      </c>
      <c r="H1336" t="s">
        <v>2964</v>
      </c>
      <c r="I1336" t="s">
        <v>105</v>
      </c>
    </row>
    <row r="1337" spans="1:9" x14ac:dyDescent="0.25">
      <c r="A1337" s="1" t="str">
        <f>HYPERLINK("https://lynxcrm-apac--c.eu19.visual.force.com/0011i000001xmhbAAA","EC Family Clinic Pte Ltd")</f>
        <v>EC Family Clinic Pte Ltd</v>
      </c>
      <c r="B1337" t="s">
        <v>2965</v>
      </c>
      <c r="C1337" t="s">
        <v>10</v>
      </c>
      <c r="D1337" t="s">
        <v>8</v>
      </c>
      <c r="E1337" t="s">
        <v>8</v>
      </c>
      <c r="F1337" t="s">
        <v>2966</v>
      </c>
      <c r="G1337" t="s">
        <v>2967</v>
      </c>
      <c r="H1337" t="s">
        <v>2967</v>
      </c>
      <c r="I1337" t="s">
        <v>2968</v>
      </c>
    </row>
    <row r="1338" spans="1:9" x14ac:dyDescent="0.25">
      <c r="A1338" s="1" t="str">
        <f>HYPERLINK("https://lynxcrm-apac--c.eu19.visual.force.com/0011i000001xn2KAAQ","E C Tan Urology")</f>
        <v>E C Tan Urology</v>
      </c>
      <c r="B1338" t="s">
        <v>2969</v>
      </c>
      <c r="C1338" t="s">
        <v>10</v>
      </c>
      <c r="D1338" t="s">
        <v>8</v>
      </c>
      <c r="E1338" t="s">
        <v>8</v>
      </c>
      <c r="F1338" t="s">
        <v>377</v>
      </c>
      <c r="G1338" t="s">
        <v>2970</v>
      </c>
      <c r="H1338" t="s">
        <v>2970</v>
      </c>
      <c r="I1338" t="s">
        <v>123</v>
      </c>
    </row>
    <row r="1339" spans="1:9" x14ac:dyDescent="0.25">
      <c r="A1339" s="1" t="str">
        <f>HYPERLINK("https://lynxcrm-apac--c.eu19.visual.force.com/0011i000001xmx1AAA","Eden Family Clinic")</f>
        <v>Eden Family Clinic</v>
      </c>
      <c r="B1339" t="s">
        <v>2971</v>
      </c>
      <c r="C1339" t="s">
        <v>10</v>
      </c>
      <c r="D1339" t="s">
        <v>8</v>
      </c>
      <c r="E1339" t="s">
        <v>8</v>
      </c>
      <c r="F1339" t="s">
        <v>2972</v>
      </c>
      <c r="G1339" t="s">
        <v>2973</v>
      </c>
      <c r="H1339" t="s">
        <v>2973</v>
      </c>
      <c r="I1339" t="s">
        <v>2974</v>
      </c>
    </row>
    <row r="1340" spans="1:9" x14ac:dyDescent="0.25">
      <c r="A1340" s="1" t="str">
        <f>HYPERLINK("https://lynxcrm-apac--c.eu19.visual.force.com/0011i000001xoAsAAI","Ee, Kuang Hock Bernard")</f>
        <v>Ee, Kuang Hock Bernard</v>
      </c>
      <c r="B1340" t="s">
        <v>2975</v>
      </c>
      <c r="C1340" t="s">
        <v>28</v>
      </c>
      <c r="D1340" t="s">
        <v>2976</v>
      </c>
      <c r="E1340" t="s">
        <v>8</v>
      </c>
      <c r="F1340" t="s">
        <v>872</v>
      </c>
      <c r="G1340" t="s">
        <v>873</v>
      </c>
      <c r="H1340" t="s">
        <v>874</v>
      </c>
      <c r="I1340" t="s">
        <v>67</v>
      </c>
    </row>
    <row r="1341" spans="1:9" x14ac:dyDescent="0.25">
      <c r="A1341" s="1" t="str">
        <f>HYPERLINK("https://lynxcrm-apac--c.eu19.visual.force.com/0011i000001xoqCAAQ","Ee, Yang Zhi")</f>
        <v>Ee, Yang Zhi</v>
      </c>
      <c r="B1341" t="s">
        <v>2977</v>
      </c>
      <c r="C1341" t="s">
        <v>28</v>
      </c>
      <c r="D1341" t="s">
        <v>1333</v>
      </c>
      <c r="E1341" t="s">
        <v>8</v>
      </c>
      <c r="F1341" t="s">
        <v>2978</v>
      </c>
      <c r="G1341" t="s">
        <v>2979</v>
      </c>
      <c r="H1341" t="s">
        <v>2979</v>
      </c>
      <c r="I1341" t="s">
        <v>2980</v>
      </c>
    </row>
    <row r="1342" spans="1:9" x14ac:dyDescent="0.25">
      <c r="A1342" s="1" t="str">
        <f>HYPERLINK("https://lynxcrm-apac--c.eu19.visual.force.com/0011i000001xmfpAAA","Ee Clinic")</f>
        <v>Ee Clinic</v>
      </c>
      <c r="B1342" t="s">
        <v>2981</v>
      </c>
      <c r="C1342" t="s">
        <v>10</v>
      </c>
      <c r="D1342" t="s">
        <v>8</v>
      </c>
      <c r="E1342" t="s">
        <v>8</v>
      </c>
      <c r="F1342" t="s">
        <v>2982</v>
      </c>
      <c r="G1342" t="s">
        <v>2983</v>
      </c>
      <c r="H1342" t="s">
        <v>2983</v>
      </c>
      <c r="I1342" t="s">
        <v>2984</v>
      </c>
    </row>
    <row r="1343" spans="1:9" x14ac:dyDescent="0.25">
      <c r="A1343" s="1" t="str">
        <f>HYPERLINK("https://lynxcrm-apac--c.eu19.visual.force.com/0011i000001xn0WAAQ","EH Heart Specialists Pte Ltd")</f>
        <v>EH Heart Specialists Pte Ltd</v>
      </c>
      <c r="B1343" t="s">
        <v>2985</v>
      </c>
      <c r="C1343" t="s">
        <v>10</v>
      </c>
      <c r="D1343" t="s">
        <v>8</v>
      </c>
      <c r="E1343" t="s">
        <v>8</v>
      </c>
      <c r="F1343" t="s">
        <v>373</v>
      </c>
      <c r="G1343" t="s">
        <v>2986</v>
      </c>
      <c r="H1343" t="s">
        <v>2986</v>
      </c>
      <c r="I1343" t="s">
        <v>123</v>
      </c>
    </row>
    <row r="1344" spans="1:9" x14ac:dyDescent="0.25">
      <c r="A1344" s="1" t="str">
        <f>HYPERLINK("https://lynxcrm-apac--c.eu19.visual.force.com/0011i000007FAjYAAW","EH Medical Bukit Batok")</f>
        <v>EH Medical Bukit Batok</v>
      </c>
      <c r="B1344" t="s">
        <v>2987</v>
      </c>
      <c r="C1344" t="s">
        <v>10</v>
      </c>
      <c r="D1344" t="s">
        <v>8</v>
      </c>
      <c r="E1344" t="s">
        <v>8</v>
      </c>
      <c r="F1344" t="s">
        <v>2988</v>
      </c>
      <c r="G1344" t="s">
        <v>2989</v>
      </c>
      <c r="H1344" t="s">
        <v>8</v>
      </c>
      <c r="I1344" t="s">
        <v>2990</v>
      </c>
    </row>
    <row r="1345" spans="1:9" x14ac:dyDescent="0.25">
      <c r="A1345" s="1" t="str">
        <f>HYPERLINK("https://lynxcrm-apac--c.eu19.visual.force.com/0011i000001xnhtAAA","Eileen, Ramos")</f>
        <v>Eileen, Ramos</v>
      </c>
      <c r="B1345" t="s">
        <v>2991</v>
      </c>
      <c r="C1345" t="s">
        <v>28</v>
      </c>
      <c r="D1345" t="s">
        <v>520</v>
      </c>
      <c r="E1345" t="s">
        <v>8</v>
      </c>
      <c r="F1345" t="s">
        <v>90</v>
      </c>
      <c r="G1345" t="s">
        <v>521</v>
      </c>
      <c r="H1345" t="s">
        <v>521</v>
      </c>
      <c r="I1345" t="s">
        <v>92</v>
      </c>
    </row>
    <row r="1346" spans="1:9" x14ac:dyDescent="0.25">
      <c r="A1346" s="1" t="str">
        <f>HYPERLINK("https://lynxcrm-apac--c.eu19.visual.force.com/0011i000001xnWBAAY","EJ Family Clinic")</f>
        <v>EJ Family Clinic</v>
      </c>
      <c r="B1346" t="s">
        <v>2992</v>
      </c>
      <c r="C1346" t="s">
        <v>10</v>
      </c>
      <c r="D1346" t="s">
        <v>8</v>
      </c>
      <c r="E1346" t="s">
        <v>8</v>
      </c>
      <c r="F1346" t="s">
        <v>2993</v>
      </c>
      <c r="G1346" t="s">
        <v>2994</v>
      </c>
      <c r="H1346" t="s">
        <v>2995</v>
      </c>
      <c r="I1346" t="s">
        <v>2996</v>
      </c>
    </row>
    <row r="1347" spans="1:9" x14ac:dyDescent="0.25">
      <c r="A1347" s="1" t="str">
        <f>HYPERLINK("https://lynxcrm-apac--c.eu19.visual.force.com/0011i000001xndLAAQ","E J Family Clinic")</f>
        <v>E J Family Clinic</v>
      </c>
      <c r="B1347" t="s">
        <v>2997</v>
      </c>
      <c r="C1347" t="s">
        <v>10</v>
      </c>
      <c r="D1347" t="s">
        <v>8</v>
      </c>
      <c r="E1347" t="s">
        <v>8</v>
      </c>
      <c r="F1347" t="s">
        <v>2993</v>
      </c>
      <c r="G1347" t="s">
        <v>2994</v>
      </c>
      <c r="H1347" t="s">
        <v>2994</v>
      </c>
      <c r="I1347" t="s">
        <v>2996</v>
      </c>
    </row>
    <row r="1348" spans="1:9" x14ac:dyDescent="0.25">
      <c r="A1348" s="1" t="str">
        <f>HYPERLINK("https://lynxcrm-apac--c.eu19.visual.force.com/0011i000001xmz9AAA","E J Tan &amp; Surgery Clinic")</f>
        <v>E J Tan &amp; Surgery Clinic</v>
      </c>
      <c r="B1348" t="s">
        <v>2998</v>
      </c>
      <c r="C1348" t="s">
        <v>10</v>
      </c>
      <c r="D1348" t="s">
        <v>8</v>
      </c>
      <c r="E1348" t="s">
        <v>8</v>
      </c>
      <c r="F1348" t="s">
        <v>2999</v>
      </c>
      <c r="G1348" t="s">
        <v>2940</v>
      </c>
      <c r="H1348" t="s">
        <v>2940</v>
      </c>
      <c r="I1348" t="s">
        <v>2941</v>
      </c>
    </row>
    <row r="1349" spans="1:9" x14ac:dyDescent="0.25">
      <c r="A1349" s="1" t="str">
        <f t="shared" ref="A1349:A1361" si="9">HYPERLINK("https://lynxcrm-apac--c.eu19.visual.force.com/0011i000001xobYAAQ","Ekachai, Danpanich")</f>
        <v>Ekachai, Danpanich</v>
      </c>
      <c r="B1349" t="s">
        <v>3000</v>
      </c>
      <c r="C1349" t="s">
        <v>28</v>
      </c>
      <c r="D1349" t="s">
        <v>164</v>
      </c>
      <c r="E1349" t="s">
        <v>8</v>
      </c>
      <c r="F1349" t="s">
        <v>241</v>
      </c>
      <c r="G1349" t="s">
        <v>163</v>
      </c>
      <c r="H1349" t="s">
        <v>242</v>
      </c>
      <c r="I1349" t="s">
        <v>165</v>
      </c>
    </row>
    <row r="1350" spans="1:9" x14ac:dyDescent="0.25">
      <c r="A1350" s="1" t="str">
        <f t="shared" si="9"/>
        <v>Ekachai, Danpanich</v>
      </c>
      <c r="B1350" t="s">
        <v>3000</v>
      </c>
      <c r="C1350" t="s">
        <v>28</v>
      </c>
      <c r="D1350" t="s">
        <v>164</v>
      </c>
      <c r="E1350" t="s">
        <v>8</v>
      </c>
      <c r="F1350" t="s">
        <v>236</v>
      </c>
      <c r="G1350" t="s">
        <v>237</v>
      </c>
      <c r="H1350" t="s">
        <v>237</v>
      </c>
      <c r="I1350" t="s">
        <v>165</v>
      </c>
    </row>
    <row r="1351" spans="1:9" x14ac:dyDescent="0.25">
      <c r="A1351" s="1" t="str">
        <f t="shared" si="9"/>
        <v>Ekachai, Danpanich</v>
      </c>
      <c r="B1351" t="s">
        <v>3000</v>
      </c>
      <c r="C1351" t="s">
        <v>28</v>
      </c>
      <c r="D1351" t="s">
        <v>164</v>
      </c>
      <c r="E1351" t="s">
        <v>8</v>
      </c>
      <c r="F1351" t="s">
        <v>238</v>
      </c>
      <c r="G1351" t="s">
        <v>163</v>
      </c>
      <c r="H1351" t="s">
        <v>163</v>
      </c>
      <c r="I1351" t="s">
        <v>165</v>
      </c>
    </row>
    <row r="1352" spans="1:9" x14ac:dyDescent="0.25">
      <c r="A1352" s="1" t="str">
        <f t="shared" si="9"/>
        <v>Ekachai, Danpanich</v>
      </c>
      <c r="B1352" t="s">
        <v>3000</v>
      </c>
      <c r="C1352" t="s">
        <v>28</v>
      </c>
      <c r="D1352" t="s">
        <v>164</v>
      </c>
      <c r="E1352" t="s">
        <v>8</v>
      </c>
      <c r="F1352" t="s">
        <v>239</v>
      </c>
      <c r="G1352" t="s">
        <v>163</v>
      </c>
      <c r="H1352" t="s">
        <v>163</v>
      </c>
      <c r="I1352" t="s">
        <v>165</v>
      </c>
    </row>
    <row r="1353" spans="1:9" x14ac:dyDescent="0.25">
      <c r="A1353" s="1" t="str">
        <f t="shared" si="9"/>
        <v>Ekachai, Danpanich</v>
      </c>
      <c r="B1353" t="s">
        <v>3000</v>
      </c>
      <c r="C1353" t="s">
        <v>28</v>
      </c>
      <c r="D1353" t="s">
        <v>164</v>
      </c>
      <c r="E1353" t="s">
        <v>8</v>
      </c>
      <c r="F1353" t="s">
        <v>240</v>
      </c>
      <c r="G1353" t="s">
        <v>163</v>
      </c>
      <c r="H1353" t="s">
        <v>163</v>
      </c>
      <c r="I1353" t="s">
        <v>165</v>
      </c>
    </row>
    <row r="1354" spans="1:9" x14ac:dyDescent="0.25">
      <c r="A1354" s="1" t="str">
        <f t="shared" si="9"/>
        <v>Ekachai, Danpanich</v>
      </c>
      <c r="B1354" t="s">
        <v>3000</v>
      </c>
      <c r="C1354" t="s">
        <v>28</v>
      </c>
      <c r="D1354" t="s">
        <v>164</v>
      </c>
      <c r="E1354" t="s">
        <v>8</v>
      </c>
      <c r="F1354" t="s">
        <v>234</v>
      </c>
      <c r="G1354" t="s">
        <v>163</v>
      </c>
      <c r="H1354" t="s">
        <v>163</v>
      </c>
      <c r="I1354" t="s">
        <v>235</v>
      </c>
    </row>
    <row r="1355" spans="1:9" x14ac:dyDescent="0.25">
      <c r="A1355" s="1" t="str">
        <f t="shared" si="9"/>
        <v>Ekachai, Danpanich</v>
      </c>
      <c r="B1355" t="s">
        <v>3000</v>
      </c>
      <c r="C1355" t="s">
        <v>28</v>
      </c>
      <c r="D1355" t="s">
        <v>164</v>
      </c>
      <c r="E1355" t="s">
        <v>8</v>
      </c>
      <c r="F1355" t="s">
        <v>243</v>
      </c>
      <c r="G1355" t="s">
        <v>163</v>
      </c>
      <c r="H1355" t="s">
        <v>163</v>
      </c>
      <c r="I1355" t="s">
        <v>244</v>
      </c>
    </row>
    <row r="1356" spans="1:9" x14ac:dyDescent="0.25">
      <c r="A1356" s="1" t="str">
        <f t="shared" si="9"/>
        <v>Ekachai, Danpanich</v>
      </c>
      <c r="B1356" t="s">
        <v>3000</v>
      </c>
      <c r="C1356" t="s">
        <v>28</v>
      </c>
      <c r="D1356" t="s">
        <v>164</v>
      </c>
      <c r="E1356" t="s">
        <v>8</v>
      </c>
      <c r="F1356" t="s">
        <v>245</v>
      </c>
      <c r="G1356" t="s">
        <v>163</v>
      </c>
      <c r="H1356" t="s">
        <v>163</v>
      </c>
      <c r="I1356" t="s">
        <v>165</v>
      </c>
    </row>
    <row r="1357" spans="1:9" x14ac:dyDescent="0.25">
      <c r="A1357" s="1" t="str">
        <f t="shared" si="9"/>
        <v>Ekachai, Danpanich</v>
      </c>
      <c r="B1357" t="s">
        <v>3000</v>
      </c>
      <c r="C1357" t="s">
        <v>28</v>
      </c>
      <c r="D1357" t="s">
        <v>164</v>
      </c>
      <c r="E1357" t="s">
        <v>8</v>
      </c>
      <c r="F1357" t="s">
        <v>246</v>
      </c>
      <c r="G1357" t="s">
        <v>163</v>
      </c>
      <c r="H1357" t="s">
        <v>163</v>
      </c>
      <c r="I1357" t="s">
        <v>244</v>
      </c>
    </row>
    <row r="1358" spans="1:9" x14ac:dyDescent="0.25">
      <c r="A1358" s="1" t="str">
        <f t="shared" si="9"/>
        <v>Ekachai, Danpanich</v>
      </c>
      <c r="B1358" t="s">
        <v>3000</v>
      </c>
      <c r="C1358" t="s">
        <v>28</v>
      </c>
      <c r="D1358" t="s">
        <v>164</v>
      </c>
      <c r="E1358" t="s">
        <v>8</v>
      </c>
      <c r="F1358" t="s">
        <v>247</v>
      </c>
      <c r="G1358" t="s">
        <v>163</v>
      </c>
      <c r="H1358" t="s">
        <v>242</v>
      </c>
      <c r="I1358" t="s">
        <v>165</v>
      </c>
    </row>
    <row r="1359" spans="1:9" x14ac:dyDescent="0.25">
      <c r="A1359" s="1" t="str">
        <f t="shared" si="9"/>
        <v>Ekachai, Danpanich</v>
      </c>
      <c r="B1359" t="s">
        <v>3000</v>
      </c>
      <c r="C1359" t="s">
        <v>28</v>
      </c>
      <c r="D1359" t="s">
        <v>164</v>
      </c>
      <c r="E1359" t="s">
        <v>8</v>
      </c>
      <c r="F1359" t="s">
        <v>248</v>
      </c>
      <c r="G1359" t="s">
        <v>163</v>
      </c>
      <c r="H1359" t="s">
        <v>242</v>
      </c>
      <c r="I1359" t="s">
        <v>165</v>
      </c>
    </row>
    <row r="1360" spans="1:9" x14ac:dyDescent="0.25">
      <c r="A1360" s="1" t="str">
        <f t="shared" si="9"/>
        <v>Ekachai, Danpanich</v>
      </c>
      <c r="B1360" t="s">
        <v>3000</v>
      </c>
      <c r="C1360" t="s">
        <v>28</v>
      </c>
      <c r="D1360" t="s">
        <v>164</v>
      </c>
      <c r="E1360" t="s">
        <v>8</v>
      </c>
      <c r="F1360" t="s">
        <v>249</v>
      </c>
      <c r="G1360" t="s">
        <v>163</v>
      </c>
      <c r="H1360" t="s">
        <v>163</v>
      </c>
      <c r="I1360" t="s">
        <v>165</v>
      </c>
    </row>
    <row r="1361" spans="1:9" x14ac:dyDescent="0.25">
      <c r="A1361" s="1" t="str">
        <f t="shared" si="9"/>
        <v>Ekachai, Danpanich</v>
      </c>
      <c r="B1361" t="s">
        <v>3000</v>
      </c>
      <c r="C1361" t="s">
        <v>28</v>
      </c>
      <c r="D1361" t="s">
        <v>164</v>
      </c>
      <c r="E1361" t="s">
        <v>8</v>
      </c>
      <c r="F1361" t="s">
        <v>234</v>
      </c>
      <c r="G1361" t="s">
        <v>163</v>
      </c>
      <c r="H1361" t="s">
        <v>163</v>
      </c>
      <c r="I1361" t="s">
        <v>244</v>
      </c>
    </row>
    <row r="1362" spans="1:9" x14ac:dyDescent="0.25">
      <c r="A1362" s="1" t="str">
        <f>HYPERLINK("https://lynxcrm-apac--c.eu19.visual.force.com/0011i000001xnLMAAY","Elias Family Clinic &amp; Surgery")</f>
        <v>Elias Family Clinic &amp; Surgery</v>
      </c>
      <c r="B1362" t="s">
        <v>3001</v>
      </c>
      <c r="C1362" t="s">
        <v>10</v>
      </c>
      <c r="D1362" t="s">
        <v>8</v>
      </c>
      <c r="E1362" t="s">
        <v>8</v>
      </c>
      <c r="F1362" t="s">
        <v>579</v>
      </c>
      <c r="G1362" t="s">
        <v>2360</v>
      </c>
      <c r="H1362" t="s">
        <v>2360</v>
      </c>
      <c r="I1362" t="s">
        <v>581</v>
      </c>
    </row>
    <row r="1363" spans="1:9" x14ac:dyDescent="0.25">
      <c r="A1363" s="1" t="str">
        <f>HYPERLINK("https://lynxcrm-apac--c.eu19.visual.force.com/0011i000001xn7iAAA","Elias Family Clinic &amp; Surgery")</f>
        <v>Elias Family Clinic &amp; Surgery</v>
      </c>
      <c r="B1363" t="s">
        <v>3002</v>
      </c>
      <c r="C1363" t="s">
        <v>10</v>
      </c>
      <c r="D1363" t="s">
        <v>8</v>
      </c>
      <c r="E1363" t="s">
        <v>8</v>
      </c>
      <c r="F1363" t="s">
        <v>2359</v>
      </c>
      <c r="G1363" t="s">
        <v>2360</v>
      </c>
      <c r="H1363" t="s">
        <v>2360</v>
      </c>
      <c r="I1363" t="s">
        <v>581</v>
      </c>
    </row>
    <row r="1364" spans="1:9" x14ac:dyDescent="0.25">
      <c r="A1364" s="1" t="str">
        <f>HYPERLINK("https://lynxcrm-apac--c.eu19.visual.force.com/0011i000001xn0GAAQ","Elisa Koh Clinic &amp; Surgery for Women")</f>
        <v>Elisa Koh Clinic &amp; Surgery for Women</v>
      </c>
      <c r="B1364" t="s">
        <v>3003</v>
      </c>
      <c r="C1364" t="s">
        <v>10</v>
      </c>
      <c r="D1364" t="s">
        <v>8</v>
      </c>
      <c r="E1364" t="s">
        <v>8</v>
      </c>
      <c r="F1364" t="s">
        <v>3004</v>
      </c>
      <c r="G1364" t="s">
        <v>2490</v>
      </c>
      <c r="H1364" t="s">
        <v>2490</v>
      </c>
      <c r="I1364" t="s">
        <v>344</v>
      </c>
    </row>
    <row r="1365" spans="1:9" x14ac:dyDescent="0.25">
      <c r="A1365" s="1" t="str">
        <f>HYPERLINK("https://lynxcrm-apac--c.eu19.visual.force.com/0011i000001xoTGAAY","Elite Healthcare")</f>
        <v>Elite Healthcare</v>
      </c>
      <c r="B1365" t="s">
        <v>3005</v>
      </c>
      <c r="C1365" t="s">
        <v>28</v>
      </c>
      <c r="D1365" t="s">
        <v>3006</v>
      </c>
      <c r="E1365" t="s">
        <v>8</v>
      </c>
      <c r="F1365" t="s">
        <v>3006</v>
      </c>
      <c r="G1365" t="s">
        <v>3007</v>
      </c>
      <c r="H1365" t="s">
        <v>3007</v>
      </c>
      <c r="I1365" t="s">
        <v>18</v>
      </c>
    </row>
    <row r="1366" spans="1:9" x14ac:dyDescent="0.25">
      <c r="A1366" s="1" t="str">
        <f>HYPERLINK("https://lynxcrm-apac--c.eu19.visual.force.com/0011i00000tXJ9sAAG","Elizabeth Au Oncology")</f>
        <v>Elizabeth Au Oncology</v>
      </c>
      <c r="B1366" t="s">
        <v>3008</v>
      </c>
      <c r="C1366" t="s">
        <v>10</v>
      </c>
      <c r="D1366" t="s">
        <v>8</v>
      </c>
      <c r="E1366" t="s">
        <v>8</v>
      </c>
      <c r="F1366" t="s">
        <v>377</v>
      </c>
      <c r="G1366" t="s">
        <v>3009</v>
      </c>
      <c r="H1366" t="s">
        <v>8</v>
      </c>
      <c r="I1366" t="s">
        <v>123</v>
      </c>
    </row>
    <row r="1367" spans="1:9" x14ac:dyDescent="0.25">
      <c r="A1367" s="1" t="str">
        <f>HYPERLINK("https://lynxcrm-apac--c.eu19.visual.force.com/0011i000001xos3AAA","Elsie")</f>
        <v>Elsie</v>
      </c>
      <c r="B1367" t="s">
        <v>3010</v>
      </c>
      <c r="C1367" t="s">
        <v>28</v>
      </c>
      <c r="D1367" t="s">
        <v>3011</v>
      </c>
      <c r="E1367" t="s">
        <v>8</v>
      </c>
      <c r="F1367" t="s">
        <v>3012</v>
      </c>
      <c r="G1367" t="s">
        <v>3013</v>
      </c>
      <c r="H1367" t="s">
        <v>3013</v>
      </c>
      <c r="I1367" t="s">
        <v>3014</v>
      </c>
    </row>
    <row r="1368" spans="1:9" x14ac:dyDescent="0.25">
      <c r="A1368" s="1" t="str">
        <f>HYPERLINK("https://lynxcrm-apac--c.eu19.visual.force.com/0011i000001xmhUAAQ","E Medical Clinic &amp; Surgery")</f>
        <v>E Medical Clinic &amp; Surgery</v>
      </c>
      <c r="B1368" t="s">
        <v>3015</v>
      </c>
      <c r="C1368" t="s">
        <v>10</v>
      </c>
      <c r="D1368" t="s">
        <v>8</v>
      </c>
      <c r="E1368" t="s">
        <v>8</v>
      </c>
      <c r="F1368" t="s">
        <v>1899</v>
      </c>
      <c r="G1368" t="s">
        <v>1900</v>
      </c>
      <c r="H1368" t="s">
        <v>1901</v>
      </c>
      <c r="I1368" t="s">
        <v>1902</v>
      </c>
    </row>
    <row r="1369" spans="1:9" x14ac:dyDescent="0.25">
      <c r="A1369" s="1" t="str">
        <f>HYPERLINK("https://lynxcrm-apac--c.eu19.visual.force.com/0011i000001xmhXAAQ","E Medical Clinic &amp; Surgery")</f>
        <v>E Medical Clinic &amp; Surgery</v>
      </c>
      <c r="B1369" t="s">
        <v>3016</v>
      </c>
      <c r="C1369" t="s">
        <v>10</v>
      </c>
      <c r="D1369" t="s">
        <v>8</v>
      </c>
      <c r="E1369" t="s">
        <v>8</v>
      </c>
      <c r="F1369" t="s">
        <v>1899</v>
      </c>
      <c r="G1369" t="s">
        <v>1900</v>
      </c>
      <c r="H1369" t="s">
        <v>3017</v>
      </c>
      <c r="I1369" t="s">
        <v>1902</v>
      </c>
    </row>
    <row r="1370" spans="1:9" x14ac:dyDescent="0.25">
      <c r="A1370" s="1" t="str">
        <f>HYPERLINK("https://lynxcrm-apac--c.eu19.visual.force.com/0011i000001xn9SAAQ","E Medical Clinic &amp; Surgery")</f>
        <v>E Medical Clinic &amp; Surgery</v>
      </c>
      <c r="B1370" t="s">
        <v>3018</v>
      </c>
      <c r="C1370" t="s">
        <v>10</v>
      </c>
      <c r="D1370" t="s">
        <v>8</v>
      </c>
      <c r="E1370" t="s">
        <v>8</v>
      </c>
      <c r="F1370" t="s">
        <v>3019</v>
      </c>
      <c r="G1370" t="s">
        <v>3020</v>
      </c>
      <c r="H1370" t="s">
        <v>3020</v>
      </c>
      <c r="I1370" t="s">
        <v>3021</v>
      </c>
    </row>
    <row r="1371" spans="1:9" x14ac:dyDescent="0.25">
      <c r="A1371" s="1" t="str">
        <f>HYPERLINK("https://lynxcrm-apac--c.eu19.visual.force.com/0011i000001xmdlAAA","Emmanuel Medical Clinic")</f>
        <v>Emmanuel Medical Clinic</v>
      </c>
      <c r="B1371" t="s">
        <v>3022</v>
      </c>
      <c r="C1371" t="s">
        <v>10</v>
      </c>
      <c r="D1371" t="s">
        <v>8</v>
      </c>
      <c r="E1371" t="s">
        <v>8</v>
      </c>
      <c r="F1371" t="s">
        <v>3023</v>
      </c>
      <c r="G1371" t="s">
        <v>3024</v>
      </c>
      <c r="H1371" t="s">
        <v>3025</v>
      </c>
      <c r="I1371" t="s">
        <v>3026</v>
      </c>
    </row>
    <row r="1372" spans="1:9" x14ac:dyDescent="0.25">
      <c r="A1372" s="1" t="str">
        <f>HYPERLINK("https://lynxcrm-apac--c.eu19.visual.force.com/0011i000001xo1JAAQ","Eng, Cher Tiew Phillip")</f>
        <v>Eng, Cher Tiew Phillip</v>
      </c>
      <c r="B1372" t="s">
        <v>3027</v>
      </c>
      <c r="C1372" t="s">
        <v>28</v>
      </c>
      <c r="D1372" t="s">
        <v>3028</v>
      </c>
      <c r="E1372" t="s">
        <v>8</v>
      </c>
      <c r="F1372" t="s">
        <v>377</v>
      </c>
      <c r="G1372" t="s">
        <v>3029</v>
      </c>
      <c r="H1372" t="s">
        <v>3030</v>
      </c>
      <c r="I1372" t="s">
        <v>123</v>
      </c>
    </row>
    <row r="1373" spans="1:9" x14ac:dyDescent="0.25">
      <c r="A1373" s="1" t="str">
        <f>HYPERLINK("https://lynxcrm-apac--c.eu19.visual.force.com/0011i000001xo1KAAQ","Eng, Hsi Ko Peter")</f>
        <v>Eng, Hsi Ko Peter</v>
      </c>
      <c r="B1373" t="s">
        <v>3031</v>
      </c>
      <c r="C1373" t="s">
        <v>28</v>
      </c>
      <c r="D1373" t="s">
        <v>3032</v>
      </c>
      <c r="E1373" t="s">
        <v>8</v>
      </c>
      <c r="F1373" t="s">
        <v>387</v>
      </c>
      <c r="G1373" t="s">
        <v>388</v>
      </c>
      <c r="H1373" t="s">
        <v>388</v>
      </c>
      <c r="I1373" t="s">
        <v>123</v>
      </c>
    </row>
    <row r="1374" spans="1:9" x14ac:dyDescent="0.25">
      <c r="A1374" s="1" t="str">
        <f>HYPERLINK("https://lynxcrm-apac--c.eu19.visual.force.com/0011i000001xoNVAAY","Eng, Soo Kiang")</f>
        <v>Eng, Soo Kiang</v>
      </c>
      <c r="B1374" t="s">
        <v>3033</v>
      </c>
      <c r="C1374" t="s">
        <v>28</v>
      </c>
      <c r="D1374" t="s">
        <v>3034</v>
      </c>
      <c r="E1374" t="s">
        <v>8</v>
      </c>
      <c r="F1374" t="s">
        <v>1077</v>
      </c>
      <c r="G1374" t="s">
        <v>1078</v>
      </c>
      <c r="H1374" t="s">
        <v>1079</v>
      </c>
      <c r="I1374" t="s">
        <v>1080</v>
      </c>
    </row>
    <row r="1375" spans="1:9" x14ac:dyDescent="0.25">
      <c r="A1375" s="1" t="str">
        <f>HYPERLINK("https://lynxcrm-apac--c.eu19.visual.force.com/0011i000001xnheAAA","Eow, Liu Yin")</f>
        <v>Eow, Liu Yin</v>
      </c>
      <c r="B1375" t="s">
        <v>3035</v>
      </c>
      <c r="C1375" t="s">
        <v>28</v>
      </c>
      <c r="D1375" t="s">
        <v>261</v>
      </c>
      <c r="E1375" t="s">
        <v>8</v>
      </c>
      <c r="F1375" t="s">
        <v>261</v>
      </c>
      <c r="G1375" t="s">
        <v>347</v>
      </c>
      <c r="H1375" t="s">
        <v>347</v>
      </c>
      <c r="I1375" t="s">
        <v>260</v>
      </c>
    </row>
    <row r="1376" spans="1:9" x14ac:dyDescent="0.25">
      <c r="A1376" s="1" t="str">
        <f>HYPERLINK("https://lynxcrm-apac--c.eu19.visual.force.com/0011i000001xojAAAQ","Er, K K Dominic")</f>
        <v>Er, K K Dominic</v>
      </c>
      <c r="B1376" t="s">
        <v>3036</v>
      </c>
      <c r="C1376" t="s">
        <v>28</v>
      </c>
      <c r="D1376" t="s">
        <v>3037</v>
      </c>
      <c r="E1376" t="s">
        <v>8</v>
      </c>
      <c r="F1376" t="s">
        <v>469</v>
      </c>
      <c r="G1376" t="s">
        <v>3038</v>
      </c>
      <c r="H1376" t="s">
        <v>3039</v>
      </c>
      <c r="I1376" t="s">
        <v>67</v>
      </c>
    </row>
    <row r="1377" spans="1:9" x14ac:dyDescent="0.25">
      <c r="A1377" s="1" t="str">
        <f>HYPERLINK("https://lynxcrm-apac--c.eu19.visual.force.com/0011i000001xmqUAAQ","Eric Gan Surgery")</f>
        <v>Eric Gan Surgery</v>
      </c>
      <c r="B1377" t="s">
        <v>3040</v>
      </c>
      <c r="C1377" t="s">
        <v>10</v>
      </c>
      <c r="D1377" t="s">
        <v>8</v>
      </c>
      <c r="E1377" t="s">
        <v>8</v>
      </c>
      <c r="F1377" t="s">
        <v>3041</v>
      </c>
      <c r="G1377" t="s">
        <v>3042</v>
      </c>
      <c r="H1377" t="s">
        <v>3042</v>
      </c>
      <c r="I1377" t="s">
        <v>344</v>
      </c>
    </row>
    <row r="1378" spans="1:9" x14ac:dyDescent="0.25">
      <c r="A1378" s="1" t="str">
        <f>HYPERLINK("https://lynxcrm-apac--c.eu19.visual.force.com/0011i000002Id74AAC","Eric Khoo Diabetes and Endocrine Clinic")</f>
        <v>Eric Khoo Diabetes and Endocrine Clinic</v>
      </c>
      <c r="B1378" t="s">
        <v>3043</v>
      </c>
      <c r="C1378" t="s">
        <v>10</v>
      </c>
      <c r="D1378" t="s">
        <v>8</v>
      </c>
      <c r="E1378" t="s">
        <v>8</v>
      </c>
      <c r="F1378" t="s">
        <v>3044</v>
      </c>
      <c r="G1378" t="s">
        <v>65</v>
      </c>
      <c r="H1378" t="s">
        <v>65</v>
      </c>
      <c r="I1378" t="s">
        <v>67</v>
      </c>
    </row>
    <row r="1379" spans="1:9" x14ac:dyDescent="0.25">
      <c r="A1379" s="1" t="str">
        <f>HYPERLINK("https://lynxcrm-apac--c.eu19.visual.force.com/0011i000001xoQjAAI","Espeno, Richard")</f>
        <v>Espeno, Richard</v>
      </c>
      <c r="B1379" t="s">
        <v>3045</v>
      </c>
      <c r="C1379" t="s">
        <v>28</v>
      </c>
      <c r="D1379" t="s">
        <v>516</v>
      </c>
      <c r="E1379" t="s">
        <v>8</v>
      </c>
      <c r="F1379" t="s">
        <v>3046</v>
      </c>
      <c r="G1379" t="s">
        <v>3046</v>
      </c>
      <c r="H1379" t="s">
        <v>3047</v>
      </c>
      <c r="I1379" t="s">
        <v>518</v>
      </c>
    </row>
    <row r="1380" spans="1:9" x14ac:dyDescent="0.25">
      <c r="A1380" s="1" t="str">
        <f>HYPERLINK("https://lynxcrm-apac--c.eu19.visual.force.com/0011i000001xmgOAAQ","Essential's Pharmacy")</f>
        <v>Essential's Pharmacy</v>
      </c>
      <c r="B1380" t="s">
        <v>3048</v>
      </c>
      <c r="C1380" t="s">
        <v>28</v>
      </c>
      <c r="D1380" t="s">
        <v>8</v>
      </c>
      <c r="E1380" t="s">
        <v>8</v>
      </c>
      <c r="F1380" t="s">
        <v>3049</v>
      </c>
      <c r="G1380" t="s">
        <v>3050</v>
      </c>
      <c r="H1380" t="s">
        <v>3050</v>
      </c>
      <c r="I1380" t="s">
        <v>3051</v>
      </c>
    </row>
    <row r="1381" spans="1:9" x14ac:dyDescent="0.25">
      <c r="A1381" s="1" t="str">
        <f>HYPERLINK("https://lynxcrm-apac--c.eu19.visual.force.com/0011i000001xmjYAAQ","Essential Family Clinic &amp; Surgery")</f>
        <v>Essential Family Clinic &amp; Surgery</v>
      </c>
      <c r="B1381" t="s">
        <v>3052</v>
      </c>
      <c r="C1381" t="s">
        <v>10</v>
      </c>
      <c r="D1381" t="s">
        <v>8</v>
      </c>
      <c r="E1381" t="s">
        <v>8</v>
      </c>
      <c r="F1381" t="s">
        <v>3053</v>
      </c>
      <c r="G1381" t="s">
        <v>1454</v>
      </c>
      <c r="H1381" t="s">
        <v>3054</v>
      </c>
      <c r="I1381" t="s">
        <v>3055</v>
      </c>
    </row>
    <row r="1382" spans="1:9" x14ac:dyDescent="0.25">
      <c r="A1382" s="1" t="str">
        <f>HYPERLINK("https://lynxcrm-apac--c.eu19.visual.force.com/0011i000001xnX0AAI","Esther Yeo Clinic")</f>
        <v>Esther Yeo Clinic</v>
      </c>
      <c r="B1382" t="s">
        <v>3056</v>
      </c>
      <c r="C1382" t="s">
        <v>10</v>
      </c>
      <c r="D1382" t="s">
        <v>8</v>
      </c>
      <c r="E1382" t="s">
        <v>8</v>
      </c>
      <c r="F1382" t="s">
        <v>3057</v>
      </c>
      <c r="G1382" t="s">
        <v>3058</v>
      </c>
      <c r="H1382" t="s">
        <v>3059</v>
      </c>
      <c r="I1382" t="s">
        <v>3060</v>
      </c>
    </row>
    <row r="1383" spans="1:9" x14ac:dyDescent="0.25">
      <c r="A1383" s="1" t="str">
        <f>HYPERLINK("https://lynxcrm-apac--c.eu19.visual.force.com/0011i000001xn86AAA","Esther Yeo Clinic")</f>
        <v>Esther Yeo Clinic</v>
      </c>
      <c r="B1383" t="s">
        <v>3061</v>
      </c>
      <c r="C1383" t="s">
        <v>10</v>
      </c>
      <c r="D1383" t="s">
        <v>8</v>
      </c>
      <c r="E1383" t="s">
        <v>8</v>
      </c>
      <c r="F1383" t="s">
        <v>3062</v>
      </c>
      <c r="G1383" t="s">
        <v>3058</v>
      </c>
      <c r="H1383" t="s">
        <v>3058</v>
      </c>
      <c r="I1383" t="s">
        <v>3060</v>
      </c>
    </row>
    <row r="1384" spans="1:9" x14ac:dyDescent="0.25">
      <c r="A1384" s="1" t="str">
        <f>HYPERLINK("https://lynxcrm-apac--c.eu19.visual.force.com/0011i000001xmyLAAQ","Eterna Medical Clinic")</f>
        <v>Eterna Medical Clinic</v>
      </c>
      <c r="B1384" t="s">
        <v>3063</v>
      </c>
      <c r="C1384" t="s">
        <v>10</v>
      </c>
      <c r="D1384" t="s">
        <v>8</v>
      </c>
      <c r="E1384" t="s">
        <v>8</v>
      </c>
      <c r="F1384" t="s">
        <v>3064</v>
      </c>
      <c r="G1384" t="s">
        <v>3065</v>
      </c>
      <c r="H1384" t="s">
        <v>3065</v>
      </c>
      <c r="I1384" t="s">
        <v>3066</v>
      </c>
    </row>
    <row r="1385" spans="1:9" x14ac:dyDescent="0.25">
      <c r="A1385" s="1" t="str">
        <f>HYPERLINK("https://lynxcrm-apac--c.eu19.visual.force.com/0011i000001xmiTAAQ","Etern Medical Clinic (Fernvale Palm)")</f>
        <v>Etern Medical Clinic (Fernvale Palm)</v>
      </c>
      <c r="B1385" t="s">
        <v>3067</v>
      </c>
      <c r="C1385" t="s">
        <v>10</v>
      </c>
      <c r="D1385" t="s">
        <v>8</v>
      </c>
      <c r="E1385" t="s">
        <v>8</v>
      </c>
      <c r="F1385" t="s">
        <v>3068</v>
      </c>
      <c r="G1385" t="s">
        <v>2979</v>
      </c>
      <c r="H1385" t="s">
        <v>2979</v>
      </c>
      <c r="I1385" t="s">
        <v>3069</v>
      </c>
    </row>
    <row r="1386" spans="1:9" x14ac:dyDescent="0.25">
      <c r="A1386" s="1" t="str">
        <f>HYPERLINK("https://lynxcrm-apac--c.eu19.visual.force.com/0011i000001xoNDAAY","Eu, Chin Yuan David")</f>
        <v>Eu, Chin Yuan David</v>
      </c>
      <c r="B1386" t="s">
        <v>3070</v>
      </c>
      <c r="C1386" t="s">
        <v>28</v>
      </c>
      <c r="D1386" t="s">
        <v>3071</v>
      </c>
      <c r="E1386" t="s">
        <v>8</v>
      </c>
      <c r="F1386" t="s">
        <v>3072</v>
      </c>
      <c r="G1386" t="s">
        <v>3073</v>
      </c>
      <c r="H1386" t="s">
        <v>3073</v>
      </c>
      <c r="I1386" t="s">
        <v>3074</v>
      </c>
    </row>
    <row r="1387" spans="1:9" x14ac:dyDescent="0.25">
      <c r="A1387" s="1" t="str">
        <f>HYPERLINK("https://lynxcrm-apac--c.eu19.visual.force.com/0011i000001xooIAAQ","Eu, Kong")</f>
        <v>Eu, Kong</v>
      </c>
      <c r="B1387" t="s">
        <v>3075</v>
      </c>
      <c r="C1387" t="s">
        <v>28</v>
      </c>
      <c r="D1387" t="s">
        <v>3076</v>
      </c>
      <c r="E1387" t="s">
        <v>8</v>
      </c>
      <c r="F1387" t="s">
        <v>231</v>
      </c>
      <c r="G1387" t="s">
        <v>232</v>
      </c>
      <c r="H1387" t="s">
        <v>232</v>
      </c>
      <c r="I1387" t="s">
        <v>85</v>
      </c>
    </row>
    <row r="1388" spans="1:9" x14ac:dyDescent="0.25">
      <c r="A1388" s="1" t="str">
        <f>HYPERLINK("https://lynxcrm-apac--c.eu19.visual.force.com/0011i000001xo1LAAQ","Eu, Kong Weng")</f>
        <v>Eu, Kong Weng</v>
      </c>
      <c r="B1388" t="s">
        <v>3077</v>
      </c>
      <c r="C1388" t="s">
        <v>28</v>
      </c>
      <c r="D1388" t="s">
        <v>3078</v>
      </c>
      <c r="E1388" t="s">
        <v>8</v>
      </c>
      <c r="F1388" t="s">
        <v>2490</v>
      </c>
      <c r="G1388" t="s">
        <v>2491</v>
      </c>
      <c r="H1388" t="s">
        <v>2491</v>
      </c>
      <c r="I1388" t="s">
        <v>344</v>
      </c>
    </row>
    <row r="1389" spans="1:9" x14ac:dyDescent="0.25">
      <c r="A1389" s="1" t="str">
        <f>HYPERLINK("https://lynxcrm-apac--c.eu19.visual.force.com/0011i000001xo1MAAQ","Eu, Pui Wai")</f>
        <v>Eu, Pui Wai</v>
      </c>
      <c r="B1389" t="s">
        <v>3079</v>
      </c>
      <c r="C1389" t="s">
        <v>28</v>
      </c>
      <c r="D1389" t="s">
        <v>815</v>
      </c>
      <c r="E1389" t="s">
        <v>8</v>
      </c>
      <c r="F1389" t="s">
        <v>816</v>
      </c>
      <c r="G1389" t="s">
        <v>815</v>
      </c>
      <c r="H1389" t="s">
        <v>815</v>
      </c>
      <c r="I1389" t="s">
        <v>817</v>
      </c>
    </row>
    <row r="1390" spans="1:9" x14ac:dyDescent="0.25">
      <c r="A1390" s="1" t="str">
        <f>HYPERLINK("https://lynxcrm-apac--c.eu19.visual.force.com/0011i000001xo1MAAQ","Eu, Pui Wai")</f>
        <v>Eu, Pui Wai</v>
      </c>
      <c r="B1390" t="s">
        <v>3079</v>
      </c>
      <c r="C1390" t="s">
        <v>28</v>
      </c>
      <c r="D1390" t="s">
        <v>815</v>
      </c>
      <c r="E1390" t="s">
        <v>8</v>
      </c>
      <c r="F1390" t="s">
        <v>816</v>
      </c>
      <c r="G1390" t="s">
        <v>816</v>
      </c>
      <c r="H1390" t="s">
        <v>8</v>
      </c>
      <c r="I1390" t="s">
        <v>817</v>
      </c>
    </row>
    <row r="1391" spans="1:9" x14ac:dyDescent="0.25">
      <c r="A1391" s="1" t="str">
        <f>HYPERLINK("https://lynxcrm-apac--c.eu19.visual.force.com/0011i000001xojDAAQ","Eu, Tieng Juoh Wilson")</f>
        <v>Eu, Tieng Juoh Wilson</v>
      </c>
      <c r="B1391" t="s">
        <v>3080</v>
      </c>
      <c r="C1391" t="s">
        <v>28</v>
      </c>
      <c r="D1391" t="s">
        <v>3081</v>
      </c>
      <c r="E1391" t="s">
        <v>8</v>
      </c>
      <c r="F1391" t="s">
        <v>3082</v>
      </c>
      <c r="G1391" t="s">
        <v>3083</v>
      </c>
      <c r="H1391" t="s">
        <v>3083</v>
      </c>
      <c r="I1391" t="s">
        <v>3084</v>
      </c>
    </row>
    <row r="1392" spans="1:9" x14ac:dyDescent="0.25">
      <c r="A1392" s="1" t="str">
        <f>HYPERLINK("https://lynxcrm-apac--c.eu19.visual.force.com/0011i000001xojEAAQ","Eu, Yee Tat David")</f>
        <v>Eu, Yee Tat David</v>
      </c>
      <c r="B1392" t="s">
        <v>3085</v>
      </c>
      <c r="C1392" t="s">
        <v>28</v>
      </c>
      <c r="D1392" t="s">
        <v>3086</v>
      </c>
      <c r="E1392" t="s">
        <v>8</v>
      </c>
      <c r="F1392" t="s">
        <v>3087</v>
      </c>
      <c r="G1392" t="s">
        <v>3088</v>
      </c>
      <c r="H1392" t="s">
        <v>3088</v>
      </c>
      <c r="I1392" t="s">
        <v>3089</v>
      </c>
    </row>
    <row r="1393" spans="1:9" x14ac:dyDescent="0.25">
      <c r="A1393" s="1" t="str">
        <f>HYPERLINK("https://lynxcrm-apac--c.eu19.visual.force.com/0011i000001xnBxAAI","Eunos Clinic")</f>
        <v>Eunos Clinic</v>
      </c>
      <c r="B1393" t="s">
        <v>3090</v>
      </c>
      <c r="C1393" t="s">
        <v>10</v>
      </c>
      <c r="D1393" t="s">
        <v>8</v>
      </c>
      <c r="E1393" t="s">
        <v>8</v>
      </c>
      <c r="F1393" t="s">
        <v>3091</v>
      </c>
      <c r="G1393" t="s">
        <v>3092</v>
      </c>
      <c r="H1393" t="s">
        <v>3092</v>
      </c>
      <c r="I1393" t="s">
        <v>3093</v>
      </c>
    </row>
    <row r="1394" spans="1:9" x14ac:dyDescent="0.25">
      <c r="A1394" s="1" t="str">
        <f>HYPERLINK("https://lynxcrm-apac--c.eu19.visual.force.com/0011i000001xndOAAQ","Evangel Medical Clinic")</f>
        <v>Evangel Medical Clinic</v>
      </c>
      <c r="B1394" t="s">
        <v>3094</v>
      </c>
      <c r="C1394" t="s">
        <v>10</v>
      </c>
      <c r="D1394" t="s">
        <v>8</v>
      </c>
      <c r="E1394" t="s">
        <v>8</v>
      </c>
      <c r="F1394" t="s">
        <v>3095</v>
      </c>
      <c r="G1394" t="s">
        <v>1454</v>
      </c>
      <c r="H1394" t="s">
        <v>1454</v>
      </c>
      <c r="I1394" t="s">
        <v>3096</v>
      </c>
    </row>
    <row r="1395" spans="1:9" x14ac:dyDescent="0.25">
      <c r="A1395" s="1" t="str">
        <f>HYPERLINK("https://lynxcrm-apac--c.eu19.visual.force.com/0011i000001xnL0AAI","Evercare Medical Clinic")</f>
        <v>Evercare Medical Clinic</v>
      </c>
      <c r="B1395" t="s">
        <v>3097</v>
      </c>
      <c r="C1395" t="s">
        <v>10</v>
      </c>
      <c r="D1395" t="s">
        <v>8</v>
      </c>
      <c r="E1395" t="s">
        <v>8</v>
      </c>
      <c r="F1395" t="s">
        <v>2380</v>
      </c>
      <c r="G1395" t="s">
        <v>2381</v>
      </c>
      <c r="H1395" t="s">
        <v>2382</v>
      </c>
      <c r="I1395" t="s">
        <v>1517</v>
      </c>
    </row>
    <row r="1396" spans="1:9" x14ac:dyDescent="0.25">
      <c r="A1396" s="1" t="str">
        <f>HYPERLINK("https://lynxcrm-apac--c.eu19.visual.force.com/0011i000001xnL0AAI","Evercare Medical Clinic")</f>
        <v>Evercare Medical Clinic</v>
      </c>
      <c r="B1396" t="s">
        <v>3097</v>
      </c>
      <c r="C1396" t="s">
        <v>10</v>
      </c>
      <c r="D1396" t="s">
        <v>8</v>
      </c>
      <c r="E1396" t="s">
        <v>8</v>
      </c>
      <c r="F1396" t="s">
        <v>2384</v>
      </c>
      <c r="G1396" t="s">
        <v>2385</v>
      </c>
      <c r="H1396" t="s">
        <v>2386</v>
      </c>
      <c r="I1396" t="s">
        <v>2387</v>
      </c>
    </row>
    <row r="1397" spans="1:9" x14ac:dyDescent="0.25">
      <c r="A1397" s="1" t="str">
        <f>HYPERLINK("https://lynxcrm-apac--c.eu19.visual.force.com/0011i000001xmcZAAQ","Everhealth Family Clinic &amp; Surgery")</f>
        <v>Everhealth Family Clinic &amp; Surgery</v>
      </c>
      <c r="B1397" t="s">
        <v>3098</v>
      </c>
      <c r="C1397" t="s">
        <v>10</v>
      </c>
      <c r="D1397" t="s">
        <v>8</v>
      </c>
      <c r="E1397" t="s">
        <v>8</v>
      </c>
      <c r="F1397" t="s">
        <v>3099</v>
      </c>
      <c r="G1397" t="s">
        <v>3100</v>
      </c>
      <c r="H1397" t="s">
        <v>3101</v>
      </c>
      <c r="I1397" t="s">
        <v>3102</v>
      </c>
    </row>
    <row r="1398" spans="1:9" x14ac:dyDescent="0.25">
      <c r="A1398" s="1" t="str">
        <f>HYPERLINK("https://lynxcrm-apac--c.eu19.visual.force.com/0011i000001xnVaAAI","Everhealth Family Clinic &amp; Surgery")</f>
        <v>Everhealth Family Clinic &amp; Surgery</v>
      </c>
      <c r="B1398" t="s">
        <v>3103</v>
      </c>
      <c r="C1398" t="s">
        <v>10</v>
      </c>
      <c r="D1398" t="s">
        <v>8</v>
      </c>
      <c r="E1398" t="s">
        <v>8</v>
      </c>
      <c r="F1398" t="s">
        <v>3099</v>
      </c>
      <c r="G1398" t="s">
        <v>3100</v>
      </c>
      <c r="H1398" t="s">
        <v>3101</v>
      </c>
      <c r="I1398" t="s">
        <v>3102</v>
      </c>
    </row>
    <row r="1399" spans="1:9" x14ac:dyDescent="0.25">
      <c r="A1399" s="1" t="str">
        <f>HYPERLINK("https://lynxcrm-apac--c.eu19.visual.force.com/0011i000001xmjdAAA","Everton Clinic")</f>
        <v>Everton Clinic</v>
      </c>
      <c r="B1399" t="s">
        <v>3104</v>
      </c>
      <c r="C1399" t="s">
        <v>10</v>
      </c>
      <c r="D1399" t="s">
        <v>8</v>
      </c>
      <c r="E1399" t="s">
        <v>8</v>
      </c>
      <c r="F1399" t="s">
        <v>3105</v>
      </c>
      <c r="G1399" t="s">
        <v>833</v>
      </c>
      <c r="H1399" t="s">
        <v>3106</v>
      </c>
      <c r="I1399" t="s">
        <v>1350</v>
      </c>
    </row>
    <row r="1400" spans="1:9" x14ac:dyDescent="0.25">
      <c r="A1400" s="1" t="str">
        <f>HYPERLINK("https://lynxcrm-apac--c.eu19.visual.force.com/0011i000001xmd5AAA","Everwell Clinic &amp; Surgery")</f>
        <v>Everwell Clinic &amp; Surgery</v>
      </c>
      <c r="B1400" t="s">
        <v>3107</v>
      </c>
      <c r="C1400" t="s">
        <v>10</v>
      </c>
      <c r="D1400" t="s">
        <v>8</v>
      </c>
      <c r="E1400" t="s">
        <v>8</v>
      </c>
      <c r="F1400" t="s">
        <v>3108</v>
      </c>
      <c r="G1400" t="s">
        <v>3109</v>
      </c>
      <c r="H1400" t="s">
        <v>3109</v>
      </c>
      <c r="I1400" t="s">
        <v>1675</v>
      </c>
    </row>
    <row r="1401" spans="1:9" x14ac:dyDescent="0.25">
      <c r="A1401" s="1" t="str">
        <f>HYPERLINK("https://lynxcrm-apac--c.eu19.visual.force.com/0011i000001xogqAAA","Ewe, See Hooi")</f>
        <v>Ewe, See Hooi</v>
      </c>
      <c r="B1401" t="s">
        <v>3110</v>
      </c>
      <c r="C1401" t="s">
        <v>28</v>
      </c>
      <c r="D1401" t="s">
        <v>449</v>
      </c>
      <c r="E1401" t="s">
        <v>8</v>
      </c>
      <c r="F1401" t="s">
        <v>450</v>
      </c>
      <c r="G1401" t="s">
        <v>449</v>
      </c>
      <c r="H1401" t="s">
        <v>449</v>
      </c>
      <c r="I1401" t="s">
        <v>451</v>
      </c>
    </row>
    <row r="1402" spans="1:9" x14ac:dyDescent="0.25">
      <c r="A1402" s="1" t="str">
        <f>HYPERLINK("https://lynxcrm-apac--c.eu19.visual.force.com/0011i000001xogqAAA","Ewe, See Hooi")</f>
        <v>Ewe, See Hooi</v>
      </c>
      <c r="B1402" t="s">
        <v>3110</v>
      </c>
      <c r="C1402" t="s">
        <v>28</v>
      </c>
      <c r="D1402" t="s">
        <v>449</v>
      </c>
      <c r="E1402" t="s">
        <v>8</v>
      </c>
      <c r="F1402" t="s">
        <v>234</v>
      </c>
      <c r="G1402" t="s">
        <v>452</v>
      </c>
      <c r="H1402" t="s">
        <v>453</v>
      </c>
      <c r="I1402" t="s">
        <v>454</v>
      </c>
    </row>
    <row r="1403" spans="1:9" x14ac:dyDescent="0.25">
      <c r="A1403" s="1" t="str">
        <f>HYPERLINK("https://lynxcrm-apac--c.eu19.visual.force.com/0011i000001xnbJAAQ","Executive Health Screeners")</f>
        <v>Executive Health Screeners</v>
      </c>
      <c r="B1403" t="s">
        <v>3111</v>
      </c>
      <c r="C1403" t="s">
        <v>10</v>
      </c>
      <c r="D1403" t="s">
        <v>8</v>
      </c>
      <c r="E1403" t="s">
        <v>8</v>
      </c>
      <c r="F1403" t="s">
        <v>3112</v>
      </c>
      <c r="G1403" t="s">
        <v>65</v>
      </c>
      <c r="H1403" t="s">
        <v>65</v>
      </c>
      <c r="I1403" t="s">
        <v>466</v>
      </c>
    </row>
    <row r="1404" spans="1:9" x14ac:dyDescent="0.25">
      <c r="A1404" s="1" t="str">
        <f>HYPERLINK("https://lynxcrm-apac--c.eu19.visual.force.com/0011i000001xnEmAAI","Executive Health Screeners")</f>
        <v>Executive Health Screeners</v>
      </c>
      <c r="B1404" t="s">
        <v>3113</v>
      </c>
      <c r="C1404" t="s">
        <v>10</v>
      </c>
      <c r="D1404" t="s">
        <v>8</v>
      </c>
      <c r="E1404" t="s">
        <v>8</v>
      </c>
      <c r="F1404" t="s">
        <v>3112</v>
      </c>
      <c r="G1404" t="s">
        <v>65</v>
      </c>
      <c r="H1404" t="s">
        <v>65</v>
      </c>
      <c r="I1404" t="s">
        <v>466</v>
      </c>
    </row>
    <row r="1405" spans="1:9" x14ac:dyDescent="0.25">
      <c r="A1405" s="1" t="str">
        <f>HYPERLINK("https://lynxcrm-apac--c.eu19.visual.force.com/0011i000001xnErAAI","Executive Heath Screeners")</f>
        <v>Executive Heath Screeners</v>
      </c>
      <c r="B1405" t="s">
        <v>3114</v>
      </c>
      <c r="C1405" t="s">
        <v>10</v>
      </c>
      <c r="D1405" t="s">
        <v>8</v>
      </c>
      <c r="E1405" t="s">
        <v>8</v>
      </c>
      <c r="F1405" t="s">
        <v>469</v>
      </c>
      <c r="G1405" t="s">
        <v>1679</v>
      </c>
      <c r="H1405" t="s">
        <v>1679</v>
      </c>
      <c r="I1405" t="s">
        <v>67</v>
      </c>
    </row>
    <row r="1406" spans="1:9" x14ac:dyDescent="0.25">
      <c r="A1406" s="1" t="str">
        <f>HYPERLINK("https://lynxcrm-apac--c.eu19.visual.force.com/0011i000001xnF6AAI","Eye Clinic Singapura")</f>
        <v>Eye Clinic Singapura</v>
      </c>
      <c r="B1406" t="s">
        <v>3115</v>
      </c>
      <c r="C1406" t="s">
        <v>10</v>
      </c>
      <c r="D1406" t="s">
        <v>8</v>
      </c>
      <c r="E1406" t="s">
        <v>8</v>
      </c>
      <c r="F1406" t="s">
        <v>469</v>
      </c>
      <c r="G1406" t="s">
        <v>470</v>
      </c>
      <c r="H1406" t="s">
        <v>471</v>
      </c>
      <c r="I1406" t="s">
        <v>67</v>
      </c>
    </row>
    <row r="1407" spans="1:9" x14ac:dyDescent="0.25">
      <c r="A1407" s="1" t="str">
        <f>HYPERLINK("https://lynxcrm-apac--c.eu19.visual.force.com/0011i000001xmy5AAA","Eye Clinic Singapura")</f>
        <v>Eye Clinic Singapura</v>
      </c>
      <c r="B1407" t="s">
        <v>3116</v>
      </c>
      <c r="C1407" t="s">
        <v>10</v>
      </c>
      <c r="D1407" t="s">
        <v>8</v>
      </c>
      <c r="E1407" t="s">
        <v>8</v>
      </c>
      <c r="F1407" t="s">
        <v>469</v>
      </c>
      <c r="G1407" t="s">
        <v>470</v>
      </c>
      <c r="H1407" t="s">
        <v>471</v>
      </c>
      <c r="I1407" t="s">
        <v>67</v>
      </c>
    </row>
    <row r="1408" spans="1:9" x14ac:dyDescent="0.25">
      <c r="A1408" s="1" t="str">
        <f>HYPERLINK("https://lynxcrm-apac--c.eu19.visual.force.com/0011i000001xms3AAA","Eye Clinic Singapura")</f>
        <v>Eye Clinic Singapura</v>
      </c>
      <c r="B1408" t="s">
        <v>3117</v>
      </c>
      <c r="C1408" t="s">
        <v>10</v>
      </c>
      <c r="D1408" t="s">
        <v>8</v>
      </c>
      <c r="E1408" t="s">
        <v>8</v>
      </c>
      <c r="F1408" t="s">
        <v>469</v>
      </c>
      <c r="G1408" t="s">
        <v>470</v>
      </c>
      <c r="H1408" t="s">
        <v>471</v>
      </c>
      <c r="I1408" t="s">
        <v>67</v>
      </c>
    </row>
    <row r="1409" spans="1:9" x14ac:dyDescent="0.25">
      <c r="A1409" s="1" t="str">
        <f>HYPERLINK("https://lynxcrm-apac--c.eu19.visual.force.com/0011i000001xn93AAA","Faber Clinic &amp; Surgery")</f>
        <v>Faber Clinic &amp; Surgery</v>
      </c>
      <c r="B1409" t="s">
        <v>3118</v>
      </c>
      <c r="C1409" t="s">
        <v>10</v>
      </c>
      <c r="D1409" t="s">
        <v>8</v>
      </c>
      <c r="E1409" t="s">
        <v>8</v>
      </c>
      <c r="F1409" t="s">
        <v>1718</v>
      </c>
      <c r="G1409" t="s">
        <v>3119</v>
      </c>
      <c r="H1409" t="s">
        <v>3119</v>
      </c>
      <c r="I1409" t="s">
        <v>1721</v>
      </c>
    </row>
    <row r="1410" spans="1:9" x14ac:dyDescent="0.25">
      <c r="A1410" s="1" t="str">
        <f>HYPERLINK("https://lynxcrm-apac--c.eu19.visual.force.com/0011i000001xoHQAAY","Fadzil, Jaafar")</f>
        <v>Fadzil, Jaafar</v>
      </c>
      <c r="B1410" t="s">
        <v>3120</v>
      </c>
      <c r="C1410" t="s">
        <v>28</v>
      </c>
      <c r="D1410" t="s">
        <v>3121</v>
      </c>
      <c r="E1410" t="s">
        <v>8</v>
      </c>
      <c r="F1410" t="s">
        <v>3122</v>
      </c>
      <c r="G1410" t="s">
        <v>3123</v>
      </c>
      <c r="H1410" t="s">
        <v>3123</v>
      </c>
      <c r="I1410" t="s">
        <v>3124</v>
      </c>
    </row>
    <row r="1411" spans="1:9" x14ac:dyDescent="0.25">
      <c r="A1411" s="1" t="str">
        <f>HYPERLINK("https://lynxcrm-apac--c.eu19.visual.force.com/0011i000001xoj6AAA","Fairuz, Bin Ahmad")</f>
        <v>Fairuz, Bin Ahmad</v>
      </c>
      <c r="B1411" t="s">
        <v>3125</v>
      </c>
      <c r="C1411" t="s">
        <v>28</v>
      </c>
      <c r="D1411" t="s">
        <v>392</v>
      </c>
      <c r="E1411" t="s">
        <v>8</v>
      </c>
      <c r="F1411" t="s">
        <v>393</v>
      </c>
      <c r="G1411" t="s">
        <v>394</v>
      </c>
      <c r="H1411" t="s">
        <v>395</v>
      </c>
      <c r="I1411" t="s">
        <v>396</v>
      </c>
    </row>
    <row r="1412" spans="1:9" x14ac:dyDescent="0.25">
      <c r="A1412" s="1" t="str">
        <f>HYPERLINK("https://lynxcrm-apac--c.eu19.visual.force.com/0011i00000ugBDzAAM","Fairuz, Siti")</f>
        <v>Fairuz, Siti</v>
      </c>
      <c r="B1412" t="s">
        <v>3126</v>
      </c>
      <c r="C1412" t="s">
        <v>28</v>
      </c>
      <c r="D1412" t="s">
        <v>8</v>
      </c>
      <c r="E1412" t="s">
        <v>8</v>
      </c>
      <c r="F1412" t="s">
        <v>1123</v>
      </c>
      <c r="G1412" t="s">
        <v>1123</v>
      </c>
      <c r="H1412" t="s">
        <v>1124</v>
      </c>
      <c r="I1412" t="s">
        <v>703</v>
      </c>
    </row>
    <row r="1413" spans="1:9" x14ac:dyDescent="0.25">
      <c r="A1413" s="1" t="str">
        <f>HYPERLINK("https://lynxcrm-apac--c.eu19.visual.force.com/0011i00000ugBDzAAM","Fairuz, Siti")</f>
        <v>Fairuz, Siti</v>
      </c>
      <c r="B1413" t="s">
        <v>3126</v>
      </c>
      <c r="C1413" t="s">
        <v>28</v>
      </c>
      <c r="D1413" t="s">
        <v>701</v>
      </c>
      <c r="E1413" t="s">
        <v>8</v>
      </c>
      <c r="F1413" t="s">
        <v>1123</v>
      </c>
      <c r="G1413" t="s">
        <v>1123</v>
      </c>
      <c r="H1413" t="s">
        <v>1124</v>
      </c>
      <c r="I1413" t="s">
        <v>703</v>
      </c>
    </row>
    <row r="1414" spans="1:9" x14ac:dyDescent="0.25">
      <c r="A1414" s="1" t="str">
        <f>HYPERLINK("https://lynxcrm-apac--c.eu19.visual.force.com/0011i000001xmilAAA","Faith Clinic (Simei)")</f>
        <v>Faith Clinic (Simei)</v>
      </c>
      <c r="B1414" t="s">
        <v>3127</v>
      </c>
      <c r="C1414" t="s">
        <v>10</v>
      </c>
      <c r="D1414" t="s">
        <v>8</v>
      </c>
      <c r="E1414" t="s">
        <v>8</v>
      </c>
      <c r="F1414" t="s">
        <v>3128</v>
      </c>
      <c r="G1414" t="s">
        <v>1642</v>
      </c>
      <c r="H1414" t="s">
        <v>1642</v>
      </c>
      <c r="I1414" t="s">
        <v>3129</v>
      </c>
    </row>
    <row r="1415" spans="1:9" x14ac:dyDescent="0.25">
      <c r="A1415" s="1" t="str">
        <f>HYPERLINK("https://lynxcrm-apac--c.eu19.visual.force.com/0011i000001xmlsAAA","Faith Clinic (Toa Payoh)")</f>
        <v>Faith Clinic (Toa Payoh)</v>
      </c>
      <c r="B1415" t="s">
        <v>3130</v>
      </c>
      <c r="C1415" t="s">
        <v>10</v>
      </c>
      <c r="D1415" t="s">
        <v>8</v>
      </c>
      <c r="E1415" t="s">
        <v>8</v>
      </c>
      <c r="F1415" t="s">
        <v>3131</v>
      </c>
      <c r="G1415" t="s">
        <v>2350</v>
      </c>
      <c r="H1415" t="s">
        <v>3132</v>
      </c>
      <c r="I1415" t="s">
        <v>3133</v>
      </c>
    </row>
    <row r="1416" spans="1:9" x14ac:dyDescent="0.25">
      <c r="A1416" s="1" t="str">
        <f>HYPERLINK("https://lynxcrm-apac--c.eu19.visual.force.com/0011i000001xmkAAAQ","Faith Family Clinic")</f>
        <v>Faith Family Clinic</v>
      </c>
      <c r="B1416" t="s">
        <v>3134</v>
      </c>
      <c r="C1416" t="s">
        <v>10</v>
      </c>
      <c r="D1416" t="s">
        <v>8</v>
      </c>
      <c r="E1416" t="s">
        <v>8</v>
      </c>
      <c r="F1416" t="s">
        <v>3135</v>
      </c>
      <c r="G1416" t="s">
        <v>2960</v>
      </c>
      <c r="H1416" t="s">
        <v>2960</v>
      </c>
      <c r="I1416" t="s">
        <v>3102</v>
      </c>
    </row>
    <row r="1417" spans="1:9" x14ac:dyDescent="0.25">
      <c r="A1417" s="1" t="str">
        <f>HYPERLINK("https://lynxcrm-apac--c.eu19.visual.force.com/0011i000001xn2kAAA","Faith Medical Clinic &amp; Surgery")</f>
        <v>Faith Medical Clinic &amp; Surgery</v>
      </c>
      <c r="B1417" t="s">
        <v>3136</v>
      </c>
      <c r="C1417" t="s">
        <v>10</v>
      </c>
      <c r="D1417" t="s">
        <v>8</v>
      </c>
      <c r="E1417" t="s">
        <v>8</v>
      </c>
      <c r="F1417" t="s">
        <v>3137</v>
      </c>
      <c r="G1417" t="s">
        <v>3138</v>
      </c>
      <c r="H1417" t="s">
        <v>3139</v>
      </c>
      <c r="I1417" t="s">
        <v>3140</v>
      </c>
    </row>
    <row r="1418" spans="1:9" x14ac:dyDescent="0.25">
      <c r="A1418" s="1" t="str">
        <f>HYPERLINK("https://lynxcrm-apac--c.eu19.visual.force.com/0011i000001xotSAAQ","Faizal, Kassim")</f>
        <v>Faizal, Kassim</v>
      </c>
      <c r="B1418" t="s">
        <v>3141</v>
      </c>
      <c r="C1418" t="s">
        <v>28</v>
      </c>
      <c r="D1418" t="s">
        <v>3142</v>
      </c>
      <c r="E1418" t="s">
        <v>8</v>
      </c>
      <c r="F1418" t="s">
        <v>1548</v>
      </c>
      <c r="G1418" t="s">
        <v>1548</v>
      </c>
      <c r="H1418" t="s">
        <v>8</v>
      </c>
      <c r="I1418" t="s">
        <v>1550</v>
      </c>
    </row>
    <row r="1419" spans="1:9" x14ac:dyDescent="0.25">
      <c r="A1419" s="1" t="str">
        <f>HYPERLINK("https://lynxcrm-apac--c.eu19.visual.force.com/0011i000001xnvvAAA","Fam, Johnson")</f>
        <v>Fam, Johnson</v>
      </c>
      <c r="B1419" t="s">
        <v>3143</v>
      </c>
      <c r="C1419" t="s">
        <v>28</v>
      </c>
      <c r="D1419" t="s">
        <v>429</v>
      </c>
      <c r="E1419" t="s">
        <v>8</v>
      </c>
      <c r="F1419" t="s">
        <v>429</v>
      </c>
      <c r="G1419" t="s">
        <v>428</v>
      </c>
      <c r="H1419" t="s">
        <v>428</v>
      </c>
      <c r="I1419" t="s">
        <v>430</v>
      </c>
    </row>
    <row r="1420" spans="1:9" x14ac:dyDescent="0.25">
      <c r="A1420" s="1" t="str">
        <f>HYPERLINK("https://lynxcrm-apac--c.eu19.visual.force.com/0011i000001xnvvAAA","Fam, Johnson")</f>
        <v>Fam, Johnson</v>
      </c>
      <c r="B1420" t="s">
        <v>3143</v>
      </c>
      <c r="C1420" t="s">
        <v>28</v>
      </c>
      <c r="D1420" t="s">
        <v>429</v>
      </c>
      <c r="E1420" t="s">
        <v>8</v>
      </c>
      <c r="F1420" t="s">
        <v>444</v>
      </c>
      <c r="G1420" t="s">
        <v>444</v>
      </c>
      <c r="H1420" t="s">
        <v>8</v>
      </c>
      <c r="I1420" t="s">
        <v>430</v>
      </c>
    </row>
    <row r="1421" spans="1:9" x14ac:dyDescent="0.25">
      <c r="A1421" s="1" t="str">
        <f>HYPERLINK("https://lynxcrm-apac--c.eu19.visual.force.com/0011i000001xnvvAAA","Fam, Johnson")</f>
        <v>Fam, Johnson</v>
      </c>
      <c r="B1421" t="s">
        <v>3143</v>
      </c>
      <c r="C1421" t="s">
        <v>28</v>
      </c>
      <c r="D1421" t="s">
        <v>429</v>
      </c>
      <c r="E1421" t="s">
        <v>8</v>
      </c>
      <c r="F1421" t="s">
        <v>445</v>
      </c>
      <c r="G1421" t="s">
        <v>428</v>
      </c>
      <c r="H1421" t="s">
        <v>428</v>
      </c>
      <c r="I1421" t="s">
        <v>430</v>
      </c>
    </row>
    <row r="1422" spans="1:9" x14ac:dyDescent="0.25">
      <c r="A1422" s="1" t="str">
        <f>HYPERLINK("https://lynxcrm-apac--c.eu19.visual.force.com/0011i000001xnvvAAA","Fam, Johnson")</f>
        <v>Fam, Johnson</v>
      </c>
      <c r="B1422" t="s">
        <v>3143</v>
      </c>
      <c r="C1422" t="s">
        <v>28</v>
      </c>
      <c r="D1422" t="s">
        <v>429</v>
      </c>
      <c r="E1422" t="s">
        <v>8</v>
      </c>
      <c r="F1422" t="s">
        <v>444</v>
      </c>
      <c r="G1422" t="s">
        <v>444</v>
      </c>
      <c r="H1422" t="s">
        <v>8</v>
      </c>
      <c r="I1422" t="s">
        <v>8</v>
      </c>
    </row>
    <row r="1423" spans="1:9" x14ac:dyDescent="0.25">
      <c r="A1423" s="1" t="str">
        <f>HYPERLINK("https://lynxcrm-apac--c.eu19.visual.force.com/0011i000001xmswAAA","Familycare Clinic &amp; Surgery")</f>
        <v>Familycare Clinic &amp; Surgery</v>
      </c>
      <c r="B1423" t="s">
        <v>3144</v>
      </c>
      <c r="C1423" t="s">
        <v>10</v>
      </c>
      <c r="D1423" t="s">
        <v>8</v>
      </c>
      <c r="E1423" t="s">
        <v>8</v>
      </c>
      <c r="F1423" t="s">
        <v>3145</v>
      </c>
      <c r="G1423" t="s">
        <v>3146</v>
      </c>
      <c r="H1423" t="s">
        <v>3147</v>
      </c>
      <c r="I1423" t="s">
        <v>3148</v>
      </c>
    </row>
    <row r="1424" spans="1:9" x14ac:dyDescent="0.25">
      <c r="A1424" s="1" t="str">
        <f>HYPERLINK("https://lynxcrm-apac--c.eu19.visual.force.com/0011i000001xnDhAAI","Family Care Clinic &amp; Surgery")</f>
        <v>Family Care Clinic &amp; Surgery</v>
      </c>
      <c r="B1424" t="s">
        <v>3149</v>
      </c>
      <c r="C1424" t="s">
        <v>10</v>
      </c>
      <c r="D1424" t="s">
        <v>8</v>
      </c>
      <c r="E1424" t="s">
        <v>8</v>
      </c>
      <c r="F1424" t="s">
        <v>1477</v>
      </c>
      <c r="G1424" t="s">
        <v>1478</v>
      </c>
      <c r="H1424" t="s">
        <v>1479</v>
      </c>
      <c r="I1424" t="s">
        <v>1480</v>
      </c>
    </row>
    <row r="1425" spans="1:9" x14ac:dyDescent="0.25">
      <c r="A1425" s="1" t="str">
        <f>HYPERLINK("https://lynxcrm-apac--c.eu19.visual.force.com/0011i000001xmfIAAQ","Familycare Clinic And Surgery")</f>
        <v>Familycare Clinic And Surgery</v>
      </c>
      <c r="B1425" t="s">
        <v>3150</v>
      </c>
      <c r="C1425" t="s">
        <v>10</v>
      </c>
      <c r="D1425" t="s">
        <v>8</v>
      </c>
      <c r="E1425" t="s">
        <v>8</v>
      </c>
      <c r="F1425" t="s">
        <v>3151</v>
      </c>
      <c r="G1425" t="s">
        <v>3152</v>
      </c>
      <c r="H1425" t="s">
        <v>3153</v>
      </c>
      <c r="I1425" t="s">
        <v>3154</v>
      </c>
    </row>
    <row r="1426" spans="1:9" x14ac:dyDescent="0.25">
      <c r="A1426" s="1" t="str">
        <f>HYPERLINK("https://lynxcrm-apac--c.eu19.visual.force.com/0011i000002Id6yAAC","Family Doctors @ 365")</f>
        <v>Family Doctors @ 365</v>
      </c>
      <c r="B1426" t="s">
        <v>3155</v>
      </c>
      <c r="C1426" t="s">
        <v>10</v>
      </c>
      <c r="D1426" t="s">
        <v>8</v>
      </c>
      <c r="E1426" t="s">
        <v>8</v>
      </c>
      <c r="F1426" t="s">
        <v>3156</v>
      </c>
      <c r="G1426" t="s">
        <v>3156</v>
      </c>
      <c r="H1426" t="s">
        <v>8</v>
      </c>
      <c r="I1426" t="s">
        <v>3157</v>
      </c>
    </row>
    <row r="1427" spans="1:9" x14ac:dyDescent="0.25">
      <c r="A1427" s="1" t="str">
        <f>HYPERLINK("https://lynxcrm-apac--c.eu19.visual.force.com/0011i000001xmsKAAQ","Family Doctors at 365")</f>
        <v>Family Doctors at 365</v>
      </c>
      <c r="B1427" t="s">
        <v>3158</v>
      </c>
      <c r="C1427" t="s">
        <v>10</v>
      </c>
      <c r="D1427" t="s">
        <v>8</v>
      </c>
      <c r="E1427" t="s">
        <v>8</v>
      </c>
      <c r="F1427" t="s">
        <v>3159</v>
      </c>
      <c r="G1427" t="s">
        <v>3160</v>
      </c>
      <c r="H1427" t="s">
        <v>3160</v>
      </c>
      <c r="I1427" t="s">
        <v>3161</v>
      </c>
    </row>
    <row r="1428" spans="1:9" x14ac:dyDescent="0.25">
      <c r="A1428" s="1" t="str">
        <f>HYPERLINK("https://lynxcrm-apac--c.eu19.visual.force.com/0011i000001xmugAAA","Family Healthcare Clinic &amp; Surgery")</f>
        <v>Family Healthcare Clinic &amp; Surgery</v>
      </c>
      <c r="B1428" t="s">
        <v>3162</v>
      </c>
      <c r="C1428" t="s">
        <v>10</v>
      </c>
      <c r="D1428" t="s">
        <v>8</v>
      </c>
      <c r="E1428" t="s">
        <v>8</v>
      </c>
      <c r="F1428" t="s">
        <v>3163</v>
      </c>
      <c r="G1428" t="s">
        <v>1781</v>
      </c>
      <c r="H1428" t="s">
        <v>3164</v>
      </c>
      <c r="I1428" t="s">
        <v>3165</v>
      </c>
    </row>
    <row r="1429" spans="1:9" x14ac:dyDescent="0.25">
      <c r="A1429" s="1" t="str">
        <f>HYPERLINK("https://lynxcrm-apac--c.eu19.visual.force.com/0011i000001xnUOAAY","Family Healthcare Clinic &amp; Surgery")</f>
        <v>Family Healthcare Clinic &amp; Surgery</v>
      </c>
      <c r="B1429" t="s">
        <v>3166</v>
      </c>
      <c r="C1429" t="s">
        <v>10</v>
      </c>
      <c r="D1429" t="s">
        <v>8</v>
      </c>
      <c r="E1429" t="s">
        <v>8</v>
      </c>
      <c r="F1429" t="s">
        <v>3167</v>
      </c>
      <c r="G1429" t="s">
        <v>1781</v>
      </c>
      <c r="H1429" t="s">
        <v>3164</v>
      </c>
      <c r="I1429" t="s">
        <v>3165</v>
      </c>
    </row>
    <row r="1430" spans="1:9" x14ac:dyDescent="0.25">
      <c r="A1430" s="1" t="str">
        <f>HYPERLINK("https://lynxcrm-apac--c.eu19.visual.force.com/0011i000001xnc8AAA","Family Health Clinic")</f>
        <v>Family Health Clinic</v>
      </c>
      <c r="B1430" t="s">
        <v>3168</v>
      </c>
      <c r="C1430" t="s">
        <v>10</v>
      </c>
      <c r="D1430" t="s">
        <v>8</v>
      </c>
      <c r="E1430" t="s">
        <v>8</v>
      </c>
      <c r="F1430" t="s">
        <v>3169</v>
      </c>
      <c r="G1430" t="s">
        <v>3170</v>
      </c>
      <c r="H1430" t="s">
        <v>3170</v>
      </c>
      <c r="I1430" t="s">
        <v>3171</v>
      </c>
    </row>
    <row r="1431" spans="1:9" x14ac:dyDescent="0.25">
      <c r="A1431" s="1" t="str">
        <f>HYPERLINK("https://lynxcrm-apac--c.eu19.visual.force.com/0011i000001xmpjAAA","Family Health Medical Centre")</f>
        <v>Family Health Medical Centre</v>
      </c>
      <c r="B1431" t="s">
        <v>3172</v>
      </c>
      <c r="C1431" t="s">
        <v>10</v>
      </c>
      <c r="D1431" t="s">
        <v>8</v>
      </c>
      <c r="E1431" t="s">
        <v>8</v>
      </c>
      <c r="F1431" t="s">
        <v>2166</v>
      </c>
      <c r="G1431" t="s">
        <v>2167</v>
      </c>
      <c r="H1431" t="s">
        <v>2168</v>
      </c>
      <c r="I1431" t="s">
        <v>2169</v>
      </c>
    </row>
    <row r="1432" spans="1:9" x14ac:dyDescent="0.25">
      <c r="A1432" s="1" t="str">
        <f>HYPERLINK("https://lynxcrm-apac--c.eu19.visual.force.com/0011i000001xnXJAAY","Family Life Clinic")</f>
        <v>Family Life Clinic</v>
      </c>
      <c r="B1432" t="s">
        <v>3173</v>
      </c>
      <c r="C1432" t="s">
        <v>10</v>
      </c>
      <c r="D1432" t="s">
        <v>8</v>
      </c>
      <c r="E1432" t="s">
        <v>8</v>
      </c>
      <c r="F1432" t="s">
        <v>3174</v>
      </c>
      <c r="G1432" t="s">
        <v>3175</v>
      </c>
      <c r="H1432" t="s">
        <v>3176</v>
      </c>
      <c r="I1432" t="s">
        <v>3177</v>
      </c>
    </row>
    <row r="1433" spans="1:9" x14ac:dyDescent="0.25">
      <c r="A1433" s="1" t="str">
        <f>HYPERLINK("https://lynxcrm-apac--c.eu19.visual.force.com/0011i000001xn8QAAQ","Family Medicare Clinic &amp; Surgery")</f>
        <v>Family Medicare Clinic &amp; Surgery</v>
      </c>
      <c r="B1433" t="s">
        <v>3178</v>
      </c>
      <c r="C1433" t="s">
        <v>10</v>
      </c>
      <c r="D1433" t="s">
        <v>8</v>
      </c>
      <c r="E1433" t="s">
        <v>8</v>
      </c>
      <c r="F1433" t="s">
        <v>3179</v>
      </c>
      <c r="G1433" t="s">
        <v>3180</v>
      </c>
      <c r="H1433" t="s">
        <v>3181</v>
      </c>
      <c r="I1433" t="s">
        <v>1824</v>
      </c>
    </row>
    <row r="1434" spans="1:9" x14ac:dyDescent="0.25">
      <c r="A1434" s="1" t="str">
        <f>HYPERLINK("https://lynxcrm-apac--c.eu19.visual.force.com/0011i000001xmwaAAA","Family Medicine Clinic")</f>
        <v>Family Medicine Clinic</v>
      </c>
      <c r="B1434" t="s">
        <v>3182</v>
      </c>
      <c r="C1434" t="s">
        <v>10</v>
      </c>
      <c r="D1434" t="s">
        <v>8</v>
      </c>
      <c r="E1434" t="s">
        <v>8</v>
      </c>
      <c r="F1434" t="s">
        <v>3183</v>
      </c>
      <c r="G1434" t="s">
        <v>3170</v>
      </c>
      <c r="H1434" t="s">
        <v>3170</v>
      </c>
      <c r="I1434" t="s">
        <v>3184</v>
      </c>
    </row>
    <row r="1435" spans="1:9" x14ac:dyDescent="0.25">
      <c r="A1435" s="1" t="str">
        <f>HYPERLINK("https://lynxcrm-apac--c.eu19.visual.force.com/0011i000001xmfhAAA","Family Medicine Clinic @ Chinatown")</f>
        <v>Family Medicine Clinic @ Chinatown</v>
      </c>
      <c r="B1435" t="s">
        <v>3185</v>
      </c>
      <c r="C1435" t="s">
        <v>10</v>
      </c>
      <c r="D1435" t="s">
        <v>8</v>
      </c>
      <c r="E1435" t="s">
        <v>8</v>
      </c>
      <c r="F1435" t="s">
        <v>3186</v>
      </c>
      <c r="G1435" t="s">
        <v>3187</v>
      </c>
      <c r="H1435" t="s">
        <v>3187</v>
      </c>
      <c r="I1435" t="s">
        <v>3188</v>
      </c>
    </row>
    <row r="1436" spans="1:9" x14ac:dyDescent="0.25">
      <c r="A1436" s="1" t="str">
        <f>HYPERLINK("https://lynxcrm-apac--c.eu19.visual.force.com/0011i000001xoT6AAI","Fan, Sharon")</f>
        <v>Fan, Sharon</v>
      </c>
      <c r="B1436" t="s">
        <v>3189</v>
      </c>
      <c r="C1436" t="s">
        <v>28</v>
      </c>
      <c r="D1436" t="s">
        <v>1274</v>
      </c>
      <c r="E1436" t="s">
        <v>8</v>
      </c>
      <c r="F1436" t="s">
        <v>2273</v>
      </c>
      <c r="G1436" t="s">
        <v>1698</v>
      </c>
      <c r="H1436" t="s">
        <v>1698</v>
      </c>
      <c r="I1436" t="s">
        <v>1701</v>
      </c>
    </row>
    <row r="1437" spans="1:9" x14ac:dyDescent="0.25">
      <c r="A1437" s="1" t="str">
        <f>HYPERLINK("https://lynxcrm-apac--c.eu19.visual.force.com/0011i000001xoT6AAI","Fan, Sharon")</f>
        <v>Fan, Sharon</v>
      </c>
      <c r="B1437" t="s">
        <v>3189</v>
      </c>
      <c r="C1437" t="s">
        <v>28</v>
      </c>
      <c r="D1437" t="s">
        <v>701</v>
      </c>
      <c r="E1437" t="s">
        <v>8</v>
      </c>
      <c r="F1437" t="s">
        <v>1123</v>
      </c>
      <c r="G1437" t="s">
        <v>1123</v>
      </c>
      <c r="H1437" t="s">
        <v>8</v>
      </c>
      <c r="I1437" t="s">
        <v>703</v>
      </c>
    </row>
    <row r="1438" spans="1:9" x14ac:dyDescent="0.25">
      <c r="A1438" s="1" t="str">
        <f>HYPERLINK("https://lynxcrm-apac--c.eu19.visual.force.com/0011i000001xokAAAQ","Fan, Siew May Sharon")</f>
        <v>Fan, Siew May Sharon</v>
      </c>
      <c r="B1438" t="s">
        <v>3190</v>
      </c>
      <c r="C1438" t="s">
        <v>28</v>
      </c>
      <c r="D1438" t="s">
        <v>3191</v>
      </c>
      <c r="E1438" t="s">
        <v>8</v>
      </c>
      <c r="F1438" t="s">
        <v>701</v>
      </c>
      <c r="G1438" t="s">
        <v>1123</v>
      </c>
      <c r="H1438" t="s">
        <v>1123</v>
      </c>
      <c r="I1438" t="s">
        <v>703</v>
      </c>
    </row>
    <row r="1439" spans="1:9" x14ac:dyDescent="0.25">
      <c r="A1439" s="1" t="str">
        <f>HYPERLINK("https://lynxcrm-apac--c.eu19.visual.force.com/0011i00000uRlmZAAS","Fang, Amelea")</f>
        <v>Fang, Amelea</v>
      </c>
      <c r="B1439" t="s">
        <v>3192</v>
      </c>
      <c r="C1439" t="s">
        <v>28</v>
      </c>
      <c r="D1439" t="s">
        <v>21</v>
      </c>
      <c r="E1439" t="s">
        <v>8</v>
      </c>
      <c r="F1439" t="s">
        <v>699</v>
      </c>
      <c r="G1439" t="s">
        <v>699</v>
      </c>
      <c r="H1439" t="s">
        <v>8</v>
      </c>
      <c r="I1439" t="s">
        <v>22</v>
      </c>
    </row>
    <row r="1440" spans="1:9" x14ac:dyDescent="0.25">
      <c r="A1440" s="1" t="str">
        <f>HYPERLINK("https://lynxcrm-apac--c.eu19.visual.force.com/0011i000001xojHAAQ","Fang, James")</f>
        <v>Fang, James</v>
      </c>
      <c r="B1440" t="s">
        <v>3193</v>
      </c>
      <c r="C1440" t="s">
        <v>28</v>
      </c>
      <c r="D1440" t="s">
        <v>3194</v>
      </c>
      <c r="E1440" t="s">
        <v>8</v>
      </c>
      <c r="F1440" t="s">
        <v>2837</v>
      </c>
      <c r="G1440" t="s">
        <v>2846</v>
      </c>
      <c r="H1440" t="s">
        <v>2846</v>
      </c>
      <c r="I1440" t="s">
        <v>2840</v>
      </c>
    </row>
    <row r="1441" spans="1:9" x14ac:dyDescent="0.25">
      <c r="A1441" s="1" t="str">
        <f>HYPERLINK("https://lynxcrm-apac--c.eu19.visual.force.com/0011i000001xojHAAQ","Fang, James")</f>
        <v>Fang, James</v>
      </c>
      <c r="B1441" t="s">
        <v>3193</v>
      </c>
      <c r="C1441" t="s">
        <v>28</v>
      </c>
      <c r="D1441" t="s">
        <v>3194</v>
      </c>
      <c r="E1441" t="s">
        <v>8</v>
      </c>
      <c r="F1441" t="s">
        <v>2837</v>
      </c>
      <c r="G1441" t="s">
        <v>2842</v>
      </c>
      <c r="H1441" t="s">
        <v>2843</v>
      </c>
      <c r="I1441" t="s">
        <v>2840</v>
      </c>
    </row>
    <row r="1442" spans="1:9" x14ac:dyDescent="0.25">
      <c r="A1442" s="1" t="str">
        <f>HYPERLINK("https://lynxcrm-apac--c.eu19.visual.force.com/0011i000001xojHAAQ","Fang, James")</f>
        <v>Fang, James</v>
      </c>
      <c r="B1442" t="s">
        <v>3193</v>
      </c>
      <c r="C1442" t="s">
        <v>28</v>
      </c>
      <c r="D1442" t="s">
        <v>3194</v>
      </c>
      <c r="E1442" t="s">
        <v>8</v>
      </c>
      <c r="F1442" t="s">
        <v>2844</v>
      </c>
      <c r="G1442" t="s">
        <v>2845</v>
      </c>
      <c r="H1442" t="s">
        <v>2845</v>
      </c>
      <c r="I1442" t="s">
        <v>2840</v>
      </c>
    </row>
    <row r="1443" spans="1:9" x14ac:dyDescent="0.25">
      <c r="A1443" s="1" t="str">
        <f>HYPERLINK("https://lynxcrm-apac--c.eu19.visual.force.com/0011i000001xojHAAQ","Fang, James")</f>
        <v>Fang, James</v>
      </c>
      <c r="B1443" t="s">
        <v>3193</v>
      </c>
      <c r="C1443" t="s">
        <v>28</v>
      </c>
      <c r="D1443" t="s">
        <v>3194</v>
      </c>
      <c r="E1443" t="s">
        <v>8</v>
      </c>
      <c r="F1443" t="s">
        <v>2847</v>
      </c>
      <c r="G1443" t="s">
        <v>2848</v>
      </c>
      <c r="H1443" t="s">
        <v>2843</v>
      </c>
      <c r="I1443" t="s">
        <v>2840</v>
      </c>
    </row>
    <row r="1444" spans="1:9" x14ac:dyDescent="0.25">
      <c r="A1444" s="1" t="str">
        <f>HYPERLINK("https://lynxcrm-apac--c.eu19.visual.force.com/0011i000001xmbmAAA","Far East Med Practitioner")</f>
        <v>Far East Med Practitioner</v>
      </c>
      <c r="B1444" t="s">
        <v>3195</v>
      </c>
      <c r="C1444" t="s">
        <v>10</v>
      </c>
      <c r="D1444" t="s">
        <v>8</v>
      </c>
      <c r="E1444" t="s">
        <v>8</v>
      </c>
      <c r="F1444" t="s">
        <v>3196</v>
      </c>
      <c r="G1444" t="s">
        <v>3197</v>
      </c>
      <c r="H1444" t="s">
        <v>3198</v>
      </c>
      <c r="I1444" t="s">
        <v>3199</v>
      </c>
    </row>
    <row r="1445" spans="1:9" x14ac:dyDescent="0.25">
      <c r="A1445" s="1" t="str">
        <f>HYPERLINK("https://lynxcrm-apac--c.eu19.visual.force.com/0011i000001xnwtAAA","Fareed, Ejaz Khawaja")</f>
        <v>Fareed, Ejaz Khawaja</v>
      </c>
      <c r="B1445" t="s">
        <v>3200</v>
      </c>
      <c r="C1445" t="s">
        <v>28</v>
      </c>
      <c r="D1445" t="s">
        <v>3201</v>
      </c>
      <c r="E1445" t="s">
        <v>8</v>
      </c>
      <c r="F1445" t="s">
        <v>3202</v>
      </c>
      <c r="G1445" t="s">
        <v>428</v>
      </c>
      <c r="H1445" t="s">
        <v>428</v>
      </c>
      <c r="I1445" t="s">
        <v>430</v>
      </c>
    </row>
    <row r="1446" spans="1:9" x14ac:dyDescent="0.25">
      <c r="A1446" s="1" t="str">
        <f>HYPERLINK("https://lynxcrm-apac--c.eu19.visual.force.com/0011i000001xnoRAAQ","Fernandez, George Joseph")</f>
        <v>Fernandez, George Joseph</v>
      </c>
      <c r="B1446" t="s">
        <v>3203</v>
      </c>
      <c r="C1446" t="s">
        <v>28</v>
      </c>
      <c r="D1446" t="s">
        <v>815</v>
      </c>
      <c r="E1446" t="s">
        <v>8</v>
      </c>
      <c r="F1446" t="s">
        <v>1887</v>
      </c>
      <c r="G1446" t="s">
        <v>816</v>
      </c>
      <c r="H1446" t="s">
        <v>1888</v>
      </c>
      <c r="I1446" t="s">
        <v>817</v>
      </c>
    </row>
    <row r="1447" spans="1:9" x14ac:dyDescent="0.25">
      <c r="A1447" s="1" t="str">
        <f>HYPERLINK("https://lynxcrm-apac--c.eu19.visual.force.com/0011i000001xojKAAQ","Fernandez, Roslin Mary")</f>
        <v>Fernandez, Roslin Mary</v>
      </c>
      <c r="B1447" t="s">
        <v>3204</v>
      </c>
      <c r="C1447" t="s">
        <v>28</v>
      </c>
      <c r="D1447" t="s">
        <v>21</v>
      </c>
      <c r="E1447" t="s">
        <v>8</v>
      </c>
      <c r="F1447" t="s">
        <v>699</v>
      </c>
      <c r="G1447" t="s">
        <v>699</v>
      </c>
      <c r="H1447" t="s">
        <v>8</v>
      </c>
      <c r="I1447" t="s">
        <v>22</v>
      </c>
    </row>
    <row r="1448" spans="1:9" x14ac:dyDescent="0.25">
      <c r="A1448" s="1" t="str">
        <f>HYPERLINK("https://lynxcrm-apac--c.eu19.visual.force.com/0011i000001xmmoAAA","First Light Family Clinic Surgery")</f>
        <v>First Light Family Clinic Surgery</v>
      </c>
      <c r="B1448" t="s">
        <v>3205</v>
      </c>
      <c r="C1448" t="s">
        <v>10</v>
      </c>
      <c r="D1448" t="s">
        <v>8</v>
      </c>
      <c r="E1448" t="s">
        <v>8</v>
      </c>
      <c r="F1448" t="s">
        <v>1112</v>
      </c>
      <c r="G1448" t="s">
        <v>1113</v>
      </c>
      <c r="H1448" t="s">
        <v>1114</v>
      </c>
      <c r="I1448" t="s">
        <v>1115</v>
      </c>
    </row>
    <row r="1449" spans="1:9" x14ac:dyDescent="0.25">
      <c r="A1449" s="1" t="str">
        <f>HYPERLINK("https://lynxcrm-apac--c.eu19.visual.force.com/0011i000001xnNtAAI","First Light Family Clinic Surgery")</f>
        <v>First Light Family Clinic Surgery</v>
      </c>
      <c r="B1449" t="s">
        <v>3206</v>
      </c>
      <c r="C1449" t="s">
        <v>10</v>
      </c>
      <c r="D1449" t="s">
        <v>8</v>
      </c>
      <c r="E1449" t="s">
        <v>8</v>
      </c>
      <c r="F1449" t="s">
        <v>1112</v>
      </c>
      <c r="G1449" t="s">
        <v>1113</v>
      </c>
      <c r="H1449" t="s">
        <v>1114</v>
      </c>
      <c r="I1449" t="s">
        <v>1115</v>
      </c>
    </row>
    <row r="1450" spans="1:9" x14ac:dyDescent="0.25">
      <c r="A1450" s="1" t="str">
        <f>HYPERLINK("https://lynxcrm-apac--c.eu19.visual.force.com/0011i000001xmx0AAA","First Medical Centre")</f>
        <v>First Medical Centre</v>
      </c>
      <c r="B1450" t="s">
        <v>3207</v>
      </c>
      <c r="C1450" t="s">
        <v>10</v>
      </c>
      <c r="D1450" t="s">
        <v>8</v>
      </c>
      <c r="E1450" t="s">
        <v>8</v>
      </c>
      <c r="F1450" t="s">
        <v>3208</v>
      </c>
      <c r="G1450" t="s">
        <v>3209</v>
      </c>
      <c r="H1450" t="s">
        <v>3210</v>
      </c>
      <c r="I1450" t="s">
        <v>3211</v>
      </c>
    </row>
    <row r="1451" spans="1:9" x14ac:dyDescent="0.25">
      <c r="A1451" s="1" t="str">
        <f>HYPERLINK("https://lynxcrm-apac--c.eu19.visual.force.com/0011i000001xmoiAAA","First Medical Centre")</f>
        <v>First Medical Centre</v>
      </c>
      <c r="B1451" t="s">
        <v>3212</v>
      </c>
      <c r="C1451" t="s">
        <v>10</v>
      </c>
      <c r="D1451" t="s">
        <v>8</v>
      </c>
      <c r="E1451" t="s">
        <v>8</v>
      </c>
      <c r="F1451" t="s">
        <v>3213</v>
      </c>
      <c r="G1451" t="s">
        <v>991</v>
      </c>
      <c r="H1451" t="s">
        <v>991</v>
      </c>
      <c r="I1451" t="s">
        <v>3214</v>
      </c>
    </row>
    <row r="1452" spans="1:9" x14ac:dyDescent="0.25">
      <c r="A1452" s="1" t="str">
        <f>HYPERLINK("https://lynxcrm-apac--c.eu19.visual.force.com/0011i000001xmp8AAA","First Medical Centre")</f>
        <v>First Medical Centre</v>
      </c>
      <c r="B1452" t="s">
        <v>3215</v>
      </c>
      <c r="C1452" t="s">
        <v>10</v>
      </c>
      <c r="D1452" t="s">
        <v>8</v>
      </c>
      <c r="E1452" t="s">
        <v>8</v>
      </c>
      <c r="F1452" t="s">
        <v>3208</v>
      </c>
      <c r="G1452" t="s">
        <v>3209</v>
      </c>
      <c r="H1452" t="s">
        <v>3210</v>
      </c>
      <c r="I1452" t="s">
        <v>3211</v>
      </c>
    </row>
    <row r="1453" spans="1:9" x14ac:dyDescent="0.25">
      <c r="A1453" s="1" t="str">
        <f>HYPERLINK("https://lynxcrm-apac--c.eu19.visual.force.com/0011i000001xnSNAAY","First Medical Clinic &amp; Surgery")</f>
        <v>First Medical Clinic &amp; Surgery</v>
      </c>
      <c r="B1453" t="s">
        <v>3216</v>
      </c>
      <c r="C1453" t="s">
        <v>10</v>
      </c>
      <c r="D1453" t="s">
        <v>8</v>
      </c>
      <c r="E1453" t="s">
        <v>8</v>
      </c>
      <c r="F1453" t="s">
        <v>3217</v>
      </c>
      <c r="G1453" t="s">
        <v>1521</v>
      </c>
      <c r="H1453" t="s">
        <v>1521</v>
      </c>
      <c r="I1453" t="s">
        <v>3218</v>
      </c>
    </row>
    <row r="1454" spans="1:9" x14ac:dyDescent="0.25">
      <c r="A1454" s="1" t="str">
        <f>HYPERLINK("https://lynxcrm-apac--c.eu19.visual.force.com/0011i000001xnTAAAY","Fitrah Medicare Centre")</f>
        <v>Fitrah Medicare Centre</v>
      </c>
      <c r="B1454" t="s">
        <v>3219</v>
      </c>
      <c r="C1454" t="s">
        <v>10</v>
      </c>
      <c r="D1454" t="s">
        <v>8</v>
      </c>
      <c r="E1454" t="s">
        <v>8</v>
      </c>
      <c r="F1454" t="s">
        <v>3220</v>
      </c>
      <c r="G1454" t="s">
        <v>3221</v>
      </c>
      <c r="H1454" t="s">
        <v>3222</v>
      </c>
      <c r="I1454" t="s">
        <v>3223</v>
      </c>
    </row>
    <row r="1455" spans="1:9" x14ac:dyDescent="0.25">
      <c r="A1455" s="1" t="str">
        <f>HYPERLINK("https://lynxcrm-apac--c.eu19.visual.force.com/0011i000001xnBXAAY","F K Lim Family Clinic")</f>
        <v>F K Lim Family Clinic</v>
      </c>
      <c r="B1455" t="s">
        <v>3224</v>
      </c>
      <c r="C1455" t="s">
        <v>10</v>
      </c>
      <c r="D1455" t="s">
        <v>8</v>
      </c>
      <c r="E1455" t="s">
        <v>8</v>
      </c>
      <c r="F1455" t="s">
        <v>3225</v>
      </c>
      <c r="G1455" t="s">
        <v>3226</v>
      </c>
      <c r="H1455" t="s">
        <v>3226</v>
      </c>
      <c r="I1455" t="s">
        <v>3227</v>
      </c>
    </row>
    <row r="1456" spans="1:9" x14ac:dyDescent="0.25">
      <c r="A1456" s="1" t="str">
        <f>HYPERLINK("https://lynxcrm-apac--c.eu19.visual.force.com/0011i000001xn97AAA","FM Surgery")</f>
        <v>FM Surgery</v>
      </c>
      <c r="B1456" t="s">
        <v>3228</v>
      </c>
      <c r="C1456" t="s">
        <v>10</v>
      </c>
      <c r="D1456" t="s">
        <v>8</v>
      </c>
      <c r="E1456" t="s">
        <v>8</v>
      </c>
      <c r="F1456" t="s">
        <v>3229</v>
      </c>
      <c r="G1456" t="s">
        <v>388</v>
      </c>
      <c r="H1456" t="s">
        <v>388</v>
      </c>
      <c r="I1456" t="s">
        <v>123</v>
      </c>
    </row>
    <row r="1457" spans="1:9" x14ac:dyDescent="0.25">
      <c r="A1457" s="1" t="str">
        <f>HYPERLINK("https://lynxcrm-apac--c.eu19.visual.force.com/0011i000001xn82AAA","Focus Medical Centre")</f>
        <v>Focus Medical Centre</v>
      </c>
      <c r="B1457" t="s">
        <v>3230</v>
      </c>
      <c r="C1457" t="s">
        <v>10</v>
      </c>
      <c r="D1457" t="s">
        <v>8</v>
      </c>
      <c r="E1457" t="s">
        <v>8</v>
      </c>
      <c r="F1457" t="s">
        <v>3231</v>
      </c>
      <c r="G1457" t="s">
        <v>3232</v>
      </c>
      <c r="H1457" t="s">
        <v>3233</v>
      </c>
      <c r="I1457" t="s">
        <v>3234</v>
      </c>
    </row>
    <row r="1458" spans="1:9" x14ac:dyDescent="0.25">
      <c r="A1458" s="1" t="str">
        <f>HYPERLINK("https://lynxcrm-apac--c.eu19.visual.force.com/0011i000001xo1OAAQ","Fok, Chun Kwok Alex")</f>
        <v>Fok, Chun Kwok Alex</v>
      </c>
      <c r="B1458" t="s">
        <v>3235</v>
      </c>
      <c r="C1458" t="s">
        <v>28</v>
      </c>
      <c r="D1458" t="s">
        <v>3236</v>
      </c>
      <c r="E1458" t="s">
        <v>8</v>
      </c>
      <c r="F1458" t="s">
        <v>373</v>
      </c>
      <c r="G1458" t="s">
        <v>374</v>
      </c>
      <c r="H1458" t="s">
        <v>375</v>
      </c>
      <c r="I1458" t="s">
        <v>123</v>
      </c>
    </row>
    <row r="1459" spans="1:9" x14ac:dyDescent="0.25">
      <c r="A1459" s="1" t="str">
        <f>HYPERLINK("https://lynxcrm-apac--c.eu19.visual.force.com/0011i00000ugB01AAE","Fok, Rachel")</f>
        <v>Fok, Rachel</v>
      </c>
      <c r="B1459" t="s">
        <v>3237</v>
      </c>
      <c r="C1459" t="s">
        <v>28</v>
      </c>
      <c r="D1459" t="s">
        <v>8</v>
      </c>
      <c r="E1459" t="s">
        <v>8</v>
      </c>
      <c r="F1459" t="s">
        <v>753</v>
      </c>
      <c r="G1459" t="s">
        <v>929</v>
      </c>
      <c r="H1459" t="s">
        <v>139</v>
      </c>
      <c r="I1459" t="s">
        <v>137</v>
      </c>
    </row>
    <row r="1460" spans="1:9" x14ac:dyDescent="0.25">
      <c r="A1460" s="1" t="str">
        <f>HYPERLINK("https://lynxcrm-apac--c.eu19.visual.force.com/0011i00000ugB01AAE","Fok, Rachel")</f>
        <v>Fok, Rachel</v>
      </c>
      <c r="B1460" t="s">
        <v>3237</v>
      </c>
      <c r="C1460" t="s">
        <v>28</v>
      </c>
      <c r="D1460" t="s">
        <v>928</v>
      </c>
      <c r="E1460" t="s">
        <v>8</v>
      </c>
      <c r="F1460" t="s">
        <v>753</v>
      </c>
      <c r="G1460" t="s">
        <v>929</v>
      </c>
      <c r="H1460" t="s">
        <v>139</v>
      </c>
      <c r="I1460" t="s">
        <v>137</v>
      </c>
    </row>
    <row r="1461" spans="1:9" x14ac:dyDescent="0.25">
      <c r="A1461" s="1" t="str">
        <f>HYPERLINK("https://lynxcrm-apac--c.eu19.visual.force.com/0011i000001xojOAAQ","Fok, Wai Yee Rose")</f>
        <v>Fok, Wai Yee Rose</v>
      </c>
      <c r="B1461" t="s">
        <v>3238</v>
      </c>
      <c r="C1461" t="s">
        <v>28</v>
      </c>
      <c r="D1461" t="s">
        <v>3239</v>
      </c>
      <c r="E1461" t="s">
        <v>8</v>
      </c>
      <c r="F1461" t="s">
        <v>2876</v>
      </c>
      <c r="G1461" t="s">
        <v>2392</v>
      </c>
      <c r="H1461" t="s">
        <v>2392</v>
      </c>
      <c r="I1461" t="s">
        <v>2877</v>
      </c>
    </row>
    <row r="1462" spans="1:9" x14ac:dyDescent="0.25">
      <c r="A1462" s="1" t="str">
        <f>HYPERLINK("https://lynxcrm-apac--c.eu19.visual.force.com/0011i000001xo1SAAQ","Fones, Soon Leng Calvin")</f>
        <v>Fones, Soon Leng Calvin</v>
      </c>
      <c r="B1462" t="s">
        <v>3240</v>
      </c>
      <c r="C1462" t="s">
        <v>28</v>
      </c>
      <c r="D1462" t="s">
        <v>3241</v>
      </c>
      <c r="E1462" t="s">
        <v>8</v>
      </c>
      <c r="F1462" t="s">
        <v>69</v>
      </c>
      <c r="G1462" t="s">
        <v>3242</v>
      </c>
      <c r="H1462" t="s">
        <v>3243</v>
      </c>
      <c r="I1462" t="s">
        <v>67</v>
      </c>
    </row>
    <row r="1463" spans="1:9" x14ac:dyDescent="0.25">
      <c r="A1463" s="1" t="str">
        <f>HYPERLINK("https://lynxcrm-apac--c.eu19.visual.force.com/0011i000001xnFgAAI","Fones Clinic")</f>
        <v>Fones Clinic</v>
      </c>
      <c r="B1463" t="s">
        <v>3244</v>
      </c>
      <c r="C1463" t="s">
        <v>10</v>
      </c>
      <c r="D1463" t="s">
        <v>8</v>
      </c>
      <c r="E1463" t="s">
        <v>8</v>
      </c>
      <c r="F1463" t="s">
        <v>69</v>
      </c>
      <c r="G1463" t="s">
        <v>3242</v>
      </c>
      <c r="H1463" t="s">
        <v>3243</v>
      </c>
      <c r="I1463" t="s">
        <v>67</v>
      </c>
    </row>
    <row r="1464" spans="1:9" x14ac:dyDescent="0.25">
      <c r="A1464" s="1" t="str">
        <f>HYPERLINK("https://lynxcrm-apac--c.eu19.visual.force.com/0011i000001xojPAAQ","Fong, Chee Hong David")</f>
        <v>Fong, Chee Hong David</v>
      </c>
      <c r="B1464" t="s">
        <v>3245</v>
      </c>
      <c r="C1464" t="s">
        <v>28</v>
      </c>
      <c r="D1464" t="s">
        <v>3246</v>
      </c>
      <c r="E1464" t="s">
        <v>8</v>
      </c>
      <c r="F1464" t="s">
        <v>3247</v>
      </c>
      <c r="G1464" t="s">
        <v>3232</v>
      </c>
      <c r="H1464" t="s">
        <v>3233</v>
      </c>
      <c r="I1464" t="s">
        <v>3234</v>
      </c>
    </row>
    <row r="1465" spans="1:9" x14ac:dyDescent="0.25">
      <c r="A1465" s="1" t="str">
        <f>HYPERLINK("https://lynxcrm-apac--c.eu19.visual.force.com/0011i000001xojVAAQ","Fong, Chuan Wee")</f>
        <v>Fong, Chuan Wee</v>
      </c>
      <c r="B1465" t="s">
        <v>3248</v>
      </c>
      <c r="C1465" t="s">
        <v>28</v>
      </c>
      <c r="D1465" t="s">
        <v>3249</v>
      </c>
      <c r="E1465" t="s">
        <v>8</v>
      </c>
      <c r="F1465" t="s">
        <v>69</v>
      </c>
      <c r="G1465" t="s">
        <v>3250</v>
      </c>
      <c r="H1465" t="s">
        <v>3251</v>
      </c>
      <c r="I1465" t="s">
        <v>67</v>
      </c>
    </row>
    <row r="1466" spans="1:9" x14ac:dyDescent="0.25">
      <c r="A1466" s="1" t="str">
        <f>HYPERLINK("https://lynxcrm-apac--c.eu19.visual.force.com/0011i000002IdA7AAK","Fong, Crystal")</f>
        <v>Fong, Crystal</v>
      </c>
      <c r="B1466" t="s">
        <v>3252</v>
      </c>
      <c r="C1466" t="s">
        <v>28</v>
      </c>
      <c r="D1466" t="s">
        <v>12</v>
      </c>
      <c r="E1466" t="s">
        <v>8</v>
      </c>
      <c r="F1466" t="s">
        <v>11</v>
      </c>
      <c r="G1466" t="s">
        <v>11</v>
      </c>
      <c r="H1466" t="s">
        <v>8</v>
      </c>
      <c r="I1466" t="s">
        <v>13</v>
      </c>
    </row>
    <row r="1467" spans="1:9" x14ac:dyDescent="0.25">
      <c r="A1467" s="1" t="str">
        <f t="shared" ref="A1467:A1479" si="10">HYPERLINK("https://lynxcrm-apac--c.eu19.visual.force.com/0011i00000PzvAkAAJ","Fong, Sau Shung")</f>
        <v>Fong, Sau Shung</v>
      </c>
      <c r="B1467" t="s">
        <v>3253</v>
      </c>
      <c r="C1467" t="s">
        <v>28</v>
      </c>
      <c r="D1467" t="s">
        <v>164</v>
      </c>
      <c r="E1467" t="s">
        <v>8</v>
      </c>
      <c r="F1467" t="s">
        <v>236</v>
      </c>
      <c r="G1467" t="s">
        <v>237</v>
      </c>
      <c r="H1467" t="s">
        <v>237</v>
      </c>
      <c r="I1467" t="s">
        <v>165</v>
      </c>
    </row>
    <row r="1468" spans="1:9" x14ac:dyDescent="0.25">
      <c r="A1468" s="1" t="str">
        <f t="shared" si="10"/>
        <v>Fong, Sau Shung</v>
      </c>
      <c r="B1468" t="s">
        <v>3253</v>
      </c>
      <c r="C1468" t="s">
        <v>28</v>
      </c>
      <c r="D1468" t="s">
        <v>164</v>
      </c>
      <c r="E1468" t="s">
        <v>8</v>
      </c>
      <c r="F1468" t="s">
        <v>238</v>
      </c>
      <c r="G1468" t="s">
        <v>163</v>
      </c>
      <c r="H1468" t="s">
        <v>163</v>
      </c>
      <c r="I1468" t="s">
        <v>165</v>
      </c>
    </row>
    <row r="1469" spans="1:9" x14ac:dyDescent="0.25">
      <c r="A1469" s="1" t="str">
        <f t="shared" si="10"/>
        <v>Fong, Sau Shung</v>
      </c>
      <c r="B1469" t="s">
        <v>3253</v>
      </c>
      <c r="C1469" t="s">
        <v>28</v>
      </c>
      <c r="D1469" t="s">
        <v>164</v>
      </c>
      <c r="E1469" t="s">
        <v>8</v>
      </c>
      <c r="F1469" t="s">
        <v>239</v>
      </c>
      <c r="G1469" t="s">
        <v>163</v>
      </c>
      <c r="H1469" t="s">
        <v>163</v>
      </c>
      <c r="I1469" t="s">
        <v>165</v>
      </c>
    </row>
    <row r="1470" spans="1:9" x14ac:dyDescent="0.25">
      <c r="A1470" s="1" t="str">
        <f t="shared" si="10"/>
        <v>Fong, Sau Shung</v>
      </c>
      <c r="B1470" t="s">
        <v>3253</v>
      </c>
      <c r="C1470" t="s">
        <v>28</v>
      </c>
      <c r="D1470" t="s">
        <v>164</v>
      </c>
      <c r="E1470" t="s">
        <v>8</v>
      </c>
      <c r="F1470" t="s">
        <v>240</v>
      </c>
      <c r="G1470" t="s">
        <v>163</v>
      </c>
      <c r="H1470" t="s">
        <v>163</v>
      </c>
      <c r="I1470" t="s">
        <v>165</v>
      </c>
    </row>
    <row r="1471" spans="1:9" x14ac:dyDescent="0.25">
      <c r="A1471" s="1" t="str">
        <f t="shared" si="10"/>
        <v>Fong, Sau Shung</v>
      </c>
      <c r="B1471" t="s">
        <v>3253</v>
      </c>
      <c r="C1471" t="s">
        <v>28</v>
      </c>
      <c r="D1471" t="s">
        <v>164</v>
      </c>
      <c r="E1471" t="s">
        <v>8</v>
      </c>
      <c r="F1471" t="s">
        <v>234</v>
      </c>
      <c r="G1471" t="s">
        <v>163</v>
      </c>
      <c r="H1471" t="s">
        <v>163</v>
      </c>
      <c r="I1471" t="s">
        <v>235</v>
      </c>
    </row>
    <row r="1472" spans="1:9" x14ac:dyDescent="0.25">
      <c r="A1472" s="1" t="str">
        <f t="shared" si="10"/>
        <v>Fong, Sau Shung</v>
      </c>
      <c r="B1472" t="s">
        <v>3253</v>
      </c>
      <c r="C1472" t="s">
        <v>28</v>
      </c>
      <c r="D1472" t="s">
        <v>164</v>
      </c>
      <c r="E1472" t="s">
        <v>8</v>
      </c>
      <c r="F1472" t="s">
        <v>241</v>
      </c>
      <c r="G1472" t="s">
        <v>163</v>
      </c>
      <c r="H1472" t="s">
        <v>242</v>
      </c>
      <c r="I1472" t="s">
        <v>165</v>
      </c>
    </row>
    <row r="1473" spans="1:9" x14ac:dyDescent="0.25">
      <c r="A1473" s="1" t="str">
        <f t="shared" si="10"/>
        <v>Fong, Sau Shung</v>
      </c>
      <c r="B1473" t="s">
        <v>3253</v>
      </c>
      <c r="C1473" t="s">
        <v>28</v>
      </c>
      <c r="D1473" t="s">
        <v>164</v>
      </c>
      <c r="E1473" t="s">
        <v>8</v>
      </c>
      <c r="F1473" t="s">
        <v>243</v>
      </c>
      <c r="G1473" t="s">
        <v>163</v>
      </c>
      <c r="H1473" t="s">
        <v>163</v>
      </c>
      <c r="I1473" t="s">
        <v>244</v>
      </c>
    </row>
    <row r="1474" spans="1:9" x14ac:dyDescent="0.25">
      <c r="A1474" s="1" t="str">
        <f t="shared" si="10"/>
        <v>Fong, Sau Shung</v>
      </c>
      <c r="B1474" t="s">
        <v>3253</v>
      </c>
      <c r="C1474" t="s">
        <v>28</v>
      </c>
      <c r="D1474" t="s">
        <v>164</v>
      </c>
      <c r="E1474" t="s">
        <v>8</v>
      </c>
      <c r="F1474" t="s">
        <v>245</v>
      </c>
      <c r="G1474" t="s">
        <v>163</v>
      </c>
      <c r="H1474" t="s">
        <v>163</v>
      </c>
      <c r="I1474" t="s">
        <v>165</v>
      </c>
    </row>
    <row r="1475" spans="1:9" x14ac:dyDescent="0.25">
      <c r="A1475" s="1" t="str">
        <f t="shared" si="10"/>
        <v>Fong, Sau Shung</v>
      </c>
      <c r="B1475" t="s">
        <v>3253</v>
      </c>
      <c r="C1475" t="s">
        <v>28</v>
      </c>
      <c r="D1475" t="s">
        <v>164</v>
      </c>
      <c r="E1475" t="s">
        <v>8</v>
      </c>
      <c r="F1475" t="s">
        <v>246</v>
      </c>
      <c r="G1475" t="s">
        <v>163</v>
      </c>
      <c r="H1475" t="s">
        <v>163</v>
      </c>
      <c r="I1475" t="s">
        <v>244</v>
      </c>
    </row>
    <row r="1476" spans="1:9" x14ac:dyDescent="0.25">
      <c r="A1476" s="1" t="str">
        <f t="shared" si="10"/>
        <v>Fong, Sau Shung</v>
      </c>
      <c r="B1476" t="s">
        <v>3253</v>
      </c>
      <c r="C1476" t="s">
        <v>28</v>
      </c>
      <c r="D1476" t="s">
        <v>164</v>
      </c>
      <c r="E1476" t="s">
        <v>8</v>
      </c>
      <c r="F1476" t="s">
        <v>247</v>
      </c>
      <c r="G1476" t="s">
        <v>163</v>
      </c>
      <c r="H1476" t="s">
        <v>242</v>
      </c>
      <c r="I1476" t="s">
        <v>165</v>
      </c>
    </row>
    <row r="1477" spans="1:9" x14ac:dyDescent="0.25">
      <c r="A1477" s="1" t="str">
        <f t="shared" si="10"/>
        <v>Fong, Sau Shung</v>
      </c>
      <c r="B1477" t="s">
        <v>3253</v>
      </c>
      <c r="C1477" t="s">
        <v>28</v>
      </c>
      <c r="D1477" t="s">
        <v>164</v>
      </c>
      <c r="E1477" t="s">
        <v>8</v>
      </c>
      <c r="F1477" t="s">
        <v>248</v>
      </c>
      <c r="G1477" t="s">
        <v>163</v>
      </c>
      <c r="H1477" t="s">
        <v>242</v>
      </c>
      <c r="I1477" t="s">
        <v>165</v>
      </c>
    </row>
    <row r="1478" spans="1:9" x14ac:dyDescent="0.25">
      <c r="A1478" s="1" t="str">
        <f t="shared" si="10"/>
        <v>Fong, Sau Shung</v>
      </c>
      <c r="B1478" t="s">
        <v>3253</v>
      </c>
      <c r="C1478" t="s">
        <v>28</v>
      </c>
      <c r="D1478" t="s">
        <v>164</v>
      </c>
      <c r="E1478" t="s">
        <v>8</v>
      </c>
      <c r="F1478" t="s">
        <v>249</v>
      </c>
      <c r="G1478" t="s">
        <v>163</v>
      </c>
      <c r="H1478" t="s">
        <v>163</v>
      </c>
      <c r="I1478" t="s">
        <v>165</v>
      </c>
    </row>
    <row r="1479" spans="1:9" x14ac:dyDescent="0.25">
      <c r="A1479" s="1" t="str">
        <f t="shared" si="10"/>
        <v>Fong, Sau Shung</v>
      </c>
      <c r="B1479" t="s">
        <v>3253</v>
      </c>
      <c r="C1479" t="s">
        <v>28</v>
      </c>
      <c r="D1479" t="s">
        <v>164</v>
      </c>
      <c r="E1479" t="s">
        <v>8</v>
      </c>
      <c r="F1479" t="s">
        <v>234</v>
      </c>
      <c r="G1479" t="s">
        <v>163</v>
      </c>
      <c r="H1479" t="s">
        <v>163</v>
      </c>
      <c r="I1479" t="s">
        <v>244</v>
      </c>
    </row>
    <row r="1480" spans="1:9" x14ac:dyDescent="0.25">
      <c r="A1480" s="1" t="str">
        <f>HYPERLINK("https://lynxcrm-apac--c.eu19.visual.force.com/0011i000001xoN2AAI","Fong, Yang")</f>
        <v>Fong, Yang</v>
      </c>
      <c r="B1480" t="s">
        <v>3254</v>
      </c>
      <c r="C1480" t="s">
        <v>28</v>
      </c>
      <c r="D1480" t="s">
        <v>3255</v>
      </c>
      <c r="E1480" t="s">
        <v>8</v>
      </c>
      <c r="F1480" t="s">
        <v>3256</v>
      </c>
      <c r="G1480" t="s">
        <v>2385</v>
      </c>
      <c r="H1480" t="s">
        <v>3257</v>
      </c>
      <c r="I1480" t="s">
        <v>2266</v>
      </c>
    </row>
    <row r="1481" spans="1:9" x14ac:dyDescent="0.25">
      <c r="A1481" s="1" t="str">
        <f>HYPERLINK("https://lynxcrm-apac--c.eu19.visual.force.com/0011i000001xoHoAAI","Fong, Yuke Tien")</f>
        <v>Fong, Yuke Tien</v>
      </c>
      <c r="B1481" t="s">
        <v>3258</v>
      </c>
      <c r="C1481" t="s">
        <v>28</v>
      </c>
      <c r="D1481" t="s">
        <v>251</v>
      </c>
      <c r="E1481" t="s">
        <v>8</v>
      </c>
      <c r="F1481" t="s">
        <v>651</v>
      </c>
      <c r="G1481" t="s">
        <v>252</v>
      </c>
      <c r="H1481" t="s">
        <v>252</v>
      </c>
      <c r="I1481" t="s">
        <v>253</v>
      </c>
    </row>
    <row r="1482" spans="1:9" x14ac:dyDescent="0.25">
      <c r="A1482" s="1" t="str">
        <f>HYPERLINK("https://lynxcrm-apac--c.eu19.visual.force.com/0011i000001xnKlAAI","Fong's Clinic for Women")</f>
        <v>Fong's Clinic for Women</v>
      </c>
      <c r="B1482" t="s">
        <v>3259</v>
      </c>
      <c r="C1482" t="s">
        <v>10</v>
      </c>
      <c r="D1482" t="s">
        <v>8</v>
      </c>
      <c r="E1482" t="s">
        <v>8</v>
      </c>
      <c r="F1482" t="s">
        <v>3256</v>
      </c>
      <c r="G1482" t="s">
        <v>2385</v>
      </c>
      <c r="H1482" t="s">
        <v>3257</v>
      </c>
      <c r="I1482" t="s">
        <v>2266</v>
      </c>
    </row>
    <row r="1483" spans="1:9" x14ac:dyDescent="0.25">
      <c r="A1483" s="1" t="str">
        <f>HYPERLINK("https://lynxcrm-apac--c.eu19.visual.force.com/0011i000001xmvEAAQ","Fong's Clinic For Women")</f>
        <v>Fong's Clinic For Women</v>
      </c>
      <c r="B1483" t="s">
        <v>3260</v>
      </c>
      <c r="C1483" t="s">
        <v>10</v>
      </c>
      <c r="D1483" t="s">
        <v>8</v>
      </c>
      <c r="E1483" t="s">
        <v>8</v>
      </c>
      <c r="F1483" t="s">
        <v>69</v>
      </c>
      <c r="G1483" t="s">
        <v>3250</v>
      </c>
      <c r="H1483" t="s">
        <v>3251</v>
      </c>
      <c r="I1483" t="s">
        <v>67</v>
      </c>
    </row>
    <row r="1484" spans="1:9" x14ac:dyDescent="0.25">
      <c r="A1484" s="1" t="str">
        <f>HYPERLINK("https://lynxcrm-apac--c.eu19.visual.force.com/0011i000001xmnzAAA","Fong Clinc")</f>
        <v>Fong Clinc</v>
      </c>
      <c r="B1484" t="s">
        <v>3261</v>
      </c>
      <c r="C1484" t="s">
        <v>10</v>
      </c>
      <c r="D1484" t="s">
        <v>8</v>
      </c>
      <c r="E1484" t="s">
        <v>8</v>
      </c>
      <c r="F1484" t="s">
        <v>3262</v>
      </c>
      <c r="G1484" t="s">
        <v>3263</v>
      </c>
      <c r="H1484" t="s">
        <v>3264</v>
      </c>
      <c r="I1484" t="s">
        <v>3265</v>
      </c>
    </row>
    <row r="1485" spans="1:9" x14ac:dyDescent="0.25">
      <c r="A1485" s="1" t="str">
        <f t="shared" ref="A1485:A1490" si="11">HYPERLINK("https://lynxcrm-apac--c.eu19.visual.force.com/0011i000001xoOfAAI","Foo, Ad Win")</f>
        <v>Foo, Ad Win</v>
      </c>
      <c r="B1485" t="s">
        <v>3266</v>
      </c>
      <c r="C1485" t="s">
        <v>28</v>
      </c>
      <c r="D1485" t="s">
        <v>501</v>
      </c>
      <c r="E1485" t="s">
        <v>8</v>
      </c>
      <c r="F1485" t="s">
        <v>501</v>
      </c>
      <c r="G1485" t="s">
        <v>502</v>
      </c>
      <c r="H1485" t="s">
        <v>502</v>
      </c>
      <c r="I1485" t="s">
        <v>506</v>
      </c>
    </row>
    <row r="1486" spans="1:9" x14ac:dyDescent="0.25">
      <c r="A1486" s="1" t="str">
        <f t="shared" si="11"/>
        <v>Foo, Ad Win</v>
      </c>
      <c r="B1486" t="s">
        <v>3266</v>
      </c>
      <c r="C1486" t="s">
        <v>28</v>
      </c>
      <c r="D1486" t="s">
        <v>501</v>
      </c>
      <c r="E1486" t="s">
        <v>8</v>
      </c>
      <c r="F1486" t="s">
        <v>502</v>
      </c>
      <c r="G1486" t="s">
        <v>502</v>
      </c>
      <c r="H1486" t="s">
        <v>503</v>
      </c>
      <c r="I1486" t="s">
        <v>504</v>
      </c>
    </row>
    <row r="1487" spans="1:9" x14ac:dyDescent="0.25">
      <c r="A1487" s="1" t="str">
        <f t="shared" si="11"/>
        <v>Foo, Ad Win</v>
      </c>
      <c r="B1487" t="s">
        <v>3266</v>
      </c>
      <c r="C1487" t="s">
        <v>28</v>
      </c>
      <c r="D1487" t="s">
        <v>501</v>
      </c>
      <c r="E1487" t="s">
        <v>8</v>
      </c>
      <c r="F1487" t="s">
        <v>246</v>
      </c>
      <c r="G1487" t="s">
        <v>502</v>
      </c>
      <c r="H1487" t="s">
        <v>503</v>
      </c>
      <c r="I1487" t="s">
        <v>504</v>
      </c>
    </row>
    <row r="1488" spans="1:9" x14ac:dyDescent="0.25">
      <c r="A1488" s="1" t="str">
        <f t="shared" si="11"/>
        <v>Foo, Ad Win</v>
      </c>
      <c r="B1488" t="s">
        <v>3266</v>
      </c>
      <c r="C1488" t="s">
        <v>28</v>
      </c>
      <c r="D1488" t="s">
        <v>501</v>
      </c>
      <c r="E1488" t="s">
        <v>8</v>
      </c>
      <c r="F1488" t="s">
        <v>246</v>
      </c>
      <c r="G1488" t="s">
        <v>502</v>
      </c>
      <c r="H1488" t="s">
        <v>503</v>
      </c>
      <c r="I1488" t="s">
        <v>505</v>
      </c>
    </row>
    <row r="1489" spans="1:9" x14ac:dyDescent="0.25">
      <c r="A1489" s="1" t="str">
        <f t="shared" si="11"/>
        <v>Foo, Ad Win</v>
      </c>
      <c r="B1489" t="s">
        <v>3266</v>
      </c>
      <c r="C1489" t="s">
        <v>28</v>
      </c>
      <c r="D1489" t="s">
        <v>501</v>
      </c>
      <c r="E1489" t="s">
        <v>8</v>
      </c>
      <c r="F1489" t="s">
        <v>234</v>
      </c>
      <c r="G1489" t="s">
        <v>502</v>
      </c>
      <c r="H1489" t="s">
        <v>503</v>
      </c>
      <c r="I1489" t="s">
        <v>504</v>
      </c>
    </row>
    <row r="1490" spans="1:9" x14ac:dyDescent="0.25">
      <c r="A1490" s="1" t="str">
        <f t="shared" si="11"/>
        <v>Foo, Ad Win</v>
      </c>
      <c r="B1490" t="s">
        <v>3266</v>
      </c>
      <c r="C1490" t="s">
        <v>28</v>
      </c>
      <c r="D1490" t="s">
        <v>501</v>
      </c>
      <c r="E1490" t="s">
        <v>8</v>
      </c>
      <c r="F1490" t="s">
        <v>359</v>
      </c>
      <c r="G1490" t="s">
        <v>502</v>
      </c>
      <c r="H1490" t="s">
        <v>503</v>
      </c>
      <c r="I1490" t="s">
        <v>506</v>
      </c>
    </row>
    <row r="1491" spans="1:9" x14ac:dyDescent="0.25">
      <c r="A1491" s="1" t="str">
        <f>HYPERLINK("https://lynxcrm-apac--c.eu19.visual.force.com/0011i000001xnmtAAA","Foo, Chee Guan David")</f>
        <v>Foo, Chee Guan David</v>
      </c>
      <c r="B1491" t="s">
        <v>3267</v>
      </c>
      <c r="C1491" t="s">
        <v>28</v>
      </c>
      <c r="D1491" t="s">
        <v>261</v>
      </c>
      <c r="E1491" t="s">
        <v>8</v>
      </c>
      <c r="F1491" t="s">
        <v>3268</v>
      </c>
      <c r="G1491" t="s">
        <v>258</v>
      </c>
      <c r="H1491" t="s">
        <v>259</v>
      </c>
      <c r="I1491" t="s">
        <v>260</v>
      </c>
    </row>
    <row r="1492" spans="1:9" x14ac:dyDescent="0.25">
      <c r="A1492" s="1" t="str">
        <f>HYPERLINK("https://lynxcrm-apac--c.eu19.visual.force.com/0011i000001xnmtAAA","Foo, Chee Guan David")</f>
        <v>Foo, Chee Guan David</v>
      </c>
      <c r="B1492" t="s">
        <v>3267</v>
      </c>
      <c r="C1492" t="s">
        <v>28</v>
      </c>
      <c r="D1492" t="s">
        <v>261</v>
      </c>
      <c r="E1492" t="s">
        <v>8</v>
      </c>
      <c r="F1492" t="s">
        <v>261</v>
      </c>
      <c r="G1492" t="s">
        <v>347</v>
      </c>
      <c r="H1492" t="s">
        <v>347</v>
      </c>
      <c r="I1492" t="s">
        <v>260</v>
      </c>
    </row>
    <row r="1493" spans="1:9" x14ac:dyDescent="0.25">
      <c r="A1493" s="1" t="str">
        <f>HYPERLINK("https://lynxcrm-apac--c.eu19.visual.force.com/0011i000001xo1UAAQ","Foo, Chee Liam")</f>
        <v>Foo, Chee Liam</v>
      </c>
      <c r="B1493" t="s">
        <v>3269</v>
      </c>
      <c r="C1493" t="s">
        <v>28</v>
      </c>
      <c r="D1493" t="s">
        <v>251</v>
      </c>
      <c r="E1493" t="s">
        <v>8</v>
      </c>
      <c r="F1493" t="s">
        <v>251</v>
      </c>
      <c r="G1493" t="s">
        <v>252</v>
      </c>
      <c r="H1493" t="s">
        <v>252</v>
      </c>
      <c r="I1493" t="s">
        <v>253</v>
      </c>
    </row>
    <row r="1494" spans="1:9" x14ac:dyDescent="0.25">
      <c r="A1494" s="1" t="str">
        <f>HYPERLINK("https://lynxcrm-apac--c.eu19.visual.force.com/0011i000001xo1UAAQ","Foo, Chee Liam")</f>
        <v>Foo, Chee Liam</v>
      </c>
      <c r="B1494" t="s">
        <v>3269</v>
      </c>
      <c r="C1494" t="s">
        <v>28</v>
      </c>
      <c r="D1494" t="s">
        <v>1242</v>
      </c>
      <c r="E1494" t="s">
        <v>8</v>
      </c>
      <c r="F1494" t="s">
        <v>252</v>
      </c>
      <c r="G1494" t="s">
        <v>251</v>
      </c>
      <c r="H1494" t="s">
        <v>251</v>
      </c>
      <c r="I1494" t="s">
        <v>253</v>
      </c>
    </row>
    <row r="1495" spans="1:9" x14ac:dyDescent="0.25">
      <c r="A1495" s="1" t="str">
        <f>HYPERLINK("https://lynxcrm-apac--c.eu19.visual.force.com/0011i000001xoX9AAI","Foo, Chong Li")</f>
        <v>Foo, Chong Li</v>
      </c>
      <c r="B1495" t="s">
        <v>3270</v>
      </c>
      <c r="C1495" t="s">
        <v>28</v>
      </c>
      <c r="D1495" t="s">
        <v>3271</v>
      </c>
      <c r="E1495" t="s">
        <v>8</v>
      </c>
      <c r="F1495" t="s">
        <v>1371</v>
      </c>
      <c r="G1495" t="s">
        <v>3272</v>
      </c>
      <c r="H1495" t="s">
        <v>3273</v>
      </c>
      <c r="I1495" t="s">
        <v>1373</v>
      </c>
    </row>
    <row r="1496" spans="1:9" x14ac:dyDescent="0.25">
      <c r="A1496" s="1" t="str">
        <f>HYPERLINK("https://lynxcrm-apac--c.eu19.visual.force.com/0011i000001xooRAAQ","Foo, Hui Yen Viviene")</f>
        <v>Foo, Hui Yen Viviene</v>
      </c>
      <c r="B1496" t="s">
        <v>3274</v>
      </c>
      <c r="C1496" t="s">
        <v>28</v>
      </c>
      <c r="D1496" t="s">
        <v>3275</v>
      </c>
      <c r="E1496" t="s">
        <v>8</v>
      </c>
      <c r="F1496" t="s">
        <v>3276</v>
      </c>
      <c r="G1496" t="s">
        <v>3277</v>
      </c>
      <c r="H1496" t="s">
        <v>3277</v>
      </c>
      <c r="I1496" t="s">
        <v>3278</v>
      </c>
    </row>
    <row r="1497" spans="1:9" x14ac:dyDescent="0.25">
      <c r="A1497" s="1" t="str">
        <f>HYPERLINK("https://lynxcrm-apac--c.eu19.visual.force.com/0011i000001xoH1AAI","Foo, Joel")</f>
        <v>Foo, Joel</v>
      </c>
      <c r="B1497" t="s">
        <v>3279</v>
      </c>
      <c r="C1497" t="s">
        <v>28</v>
      </c>
      <c r="D1497" t="s">
        <v>3280</v>
      </c>
      <c r="E1497" t="s">
        <v>8</v>
      </c>
      <c r="F1497" t="s">
        <v>3281</v>
      </c>
      <c r="G1497" t="s">
        <v>3282</v>
      </c>
      <c r="H1497" t="s">
        <v>505</v>
      </c>
      <c r="I1497" t="s">
        <v>3283</v>
      </c>
    </row>
    <row r="1498" spans="1:9" x14ac:dyDescent="0.25">
      <c r="A1498" s="1" t="str">
        <f>HYPERLINK("https://lynxcrm-apac--c.eu19.visual.force.com/0011i000001xog0AAA","Foo, Jong Hiang")</f>
        <v>Foo, Jong Hiang</v>
      </c>
      <c r="B1498" t="s">
        <v>3284</v>
      </c>
      <c r="C1498" t="s">
        <v>28</v>
      </c>
      <c r="D1498" t="s">
        <v>937</v>
      </c>
      <c r="E1498" t="s">
        <v>8</v>
      </c>
      <c r="F1498" t="s">
        <v>3285</v>
      </c>
      <c r="G1498" t="s">
        <v>3286</v>
      </c>
      <c r="H1498" t="s">
        <v>3286</v>
      </c>
      <c r="I1498" t="s">
        <v>3287</v>
      </c>
    </row>
    <row r="1499" spans="1:9" x14ac:dyDescent="0.25">
      <c r="A1499" s="1" t="str">
        <f>HYPERLINK("https://lynxcrm-apac--c.eu19.visual.force.com/0011i00000Xf1HxAAJ","Foo, Kian Fong")</f>
        <v>Foo, Kian Fong</v>
      </c>
      <c r="B1499" t="s">
        <v>3288</v>
      </c>
      <c r="C1499" t="s">
        <v>28</v>
      </c>
      <c r="D1499" t="s">
        <v>3289</v>
      </c>
      <c r="E1499" t="s">
        <v>8</v>
      </c>
      <c r="F1499" t="s">
        <v>3290</v>
      </c>
      <c r="G1499" t="s">
        <v>569</v>
      </c>
      <c r="H1499" t="s">
        <v>8</v>
      </c>
      <c r="I1499" t="s">
        <v>344</v>
      </c>
    </row>
    <row r="1500" spans="1:9" x14ac:dyDescent="0.25">
      <c r="A1500" s="1" t="str">
        <f>HYPERLINK("https://lynxcrm-apac--c.eu19.visual.force.com/0011i000001xojjAAA","Foo, Kian Fong")</f>
        <v>Foo, Kian Fong</v>
      </c>
      <c r="B1500" t="s">
        <v>3291</v>
      </c>
      <c r="C1500" t="s">
        <v>28</v>
      </c>
      <c r="D1500" t="s">
        <v>486</v>
      </c>
      <c r="E1500" t="s">
        <v>8</v>
      </c>
      <c r="F1500" t="s">
        <v>487</v>
      </c>
      <c r="G1500" t="s">
        <v>486</v>
      </c>
      <c r="H1500" t="s">
        <v>486</v>
      </c>
      <c r="I1500" t="s">
        <v>488</v>
      </c>
    </row>
    <row r="1501" spans="1:9" x14ac:dyDescent="0.25">
      <c r="A1501" s="1" t="str">
        <f>HYPERLINK("https://lynxcrm-apac--c.eu19.visual.force.com/0011i00000pbVbsAAE","Foo, Pei Kee")</f>
        <v>Foo, Pei Kee</v>
      </c>
      <c r="B1501" t="s">
        <v>3292</v>
      </c>
      <c r="C1501" t="s">
        <v>28</v>
      </c>
      <c r="D1501" t="s">
        <v>8</v>
      </c>
      <c r="E1501" t="s">
        <v>8</v>
      </c>
      <c r="F1501" t="s">
        <v>710</v>
      </c>
      <c r="G1501" t="s">
        <v>710</v>
      </c>
      <c r="H1501" t="s">
        <v>3293</v>
      </c>
      <c r="I1501" t="s">
        <v>711</v>
      </c>
    </row>
    <row r="1502" spans="1:9" x14ac:dyDescent="0.25">
      <c r="A1502" s="1" t="str">
        <f>HYPERLINK("https://lynxcrm-apac--c.eu19.visual.force.com/0011i00000pbVbsAAE","Foo, Pei Kee")</f>
        <v>Foo, Pei Kee</v>
      </c>
      <c r="B1502" t="s">
        <v>3292</v>
      </c>
      <c r="C1502" t="s">
        <v>28</v>
      </c>
      <c r="D1502" t="s">
        <v>709</v>
      </c>
      <c r="E1502" t="s">
        <v>8</v>
      </c>
      <c r="F1502" t="s">
        <v>710</v>
      </c>
      <c r="G1502" t="s">
        <v>710</v>
      </c>
      <c r="H1502" t="s">
        <v>3293</v>
      </c>
      <c r="I1502" t="s">
        <v>711</v>
      </c>
    </row>
    <row r="1503" spans="1:9" x14ac:dyDescent="0.25">
      <c r="A1503" s="1" t="str">
        <f>HYPERLINK("https://lynxcrm-apac--c.eu19.visual.force.com/0011i000001xoTsAAI","Foo, Siew Ngoh Michel")</f>
        <v>Foo, Siew Ngoh Michel</v>
      </c>
      <c r="B1503" t="s">
        <v>3294</v>
      </c>
      <c r="C1503" t="s">
        <v>28</v>
      </c>
      <c r="D1503" t="s">
        <v>2066</v>
      </c>
      <c r="E1503" t="s">
        <v>8</v>
      </c>
      <c r="F1503" t="s">
        <v>881</v>
      </c>
      <c r="G1503" t="s">
        <v>2067</v>
      </c>
      <c r="H1503" t="s">
        <v>3295</v>
      </c>
      <c r="I1503" t="s">
        <v>883</v>
      </c>
    </row>
    <row r="1504" spans="1:9" x14ac:dyDescent="0.25">
      <c r="A1504" s="1" t="str">
        <f>HYPERLINK("https://lynxcrm-apac--c.eu19.visual.force.com/0011i000001xojnAAA","Foo, Toon Hiong")</f>
        <v>Foo, Toon Hiong</v>
      </c>
      <c r="B1504" t="s">
        <v>3296</v>
      </c>
      <c r="C1504" t="s">
        <v>28</v>
      </c>
      <c r="D1504" t="s">
        <v>3297</v>
      </c>
      <c r="E1504" t="s">
        <v>8</v>
      </c>
      <c r="F1504" t="s">
        <v>3298</v>
      </c>
      <c r="G1504" t="s">
        <v>198</v>
      </c>
      <c r="H1504" t="s">
        <v>198</v>
      </c>
      <c r="I1504" t="s">
        <v>200</v>
      </c>
    </row>
    <row r="1505" spans="1:9" x14ac:dyDescent="0.25">
      <c r="A1505" s="1" t="str">
        <f>HYPERLINK("https://lynxcrm-apac--c.eu19.visual.force.com/0011i000001xoFXAAY","Foo, Tsui Mei Corinn")</f>
        <v>Foo, Tsui Mei Corinn</v>
      </c>
      <c r="B1505" t="s">
        <v>3299</v>
      </c>
      <c r="C1505" t="s">
        <v>28</v>
      </c>
      <c r="D1505" t="s">
        <v>368</v>
      </c>
      <c r="E1505" t="s">
        <v>8</v>
      </c>
      <c r="F1505" t="s">
        <v>258</v>
      </c>
      <c r="G1505" t="s">
        <v>261</v>
      </c>
      <c r="H1505" t="s">
        <v>261</v>
      </c>
      <c r="I1505" t="s">
        <v>260</v>
      </c>
    </row>
    <row r="1506" spans="1:9" x14ac:dyDescent="0.25">
      <c r="A1506" s="1" t="str">
        <f>HYPERLINK("https://lynxcrm-apac--c.eu19.visual.force.com/0011i000001xoFXAAY","Foo, Tsui Mei Corinn")</f>
        <v>Foo, Tsui Mei Corinn</v>
      </c>
      <c r="B1506" t="s">
        <v>3299</v>
      </c>
      <c r="C1506" t="s">
        <v>28</v>
      </c>
      <c r="D1506" t="s">
        <v>261</v>
      </c>
      <c r="E1506" t="s">
        <v>8</v>
      </c>
      <c r="F1506" t="s">
        <v>261</v>
      </c>
      <c r="G1506" t="s">
        <v>347</v>
      </c>
      <c r="H1506" t="s">
        <v>347</v>
      </c>
      <c r="I1506" t="s">
        <v>260</v>
      </c>
    </row>
    <row r="1507" spans="1:9" x14ac:dyDescent="0.25">
      <c r="A1507" s="1" t="str">
        <f>HYPERLINK("https://lynxcrm-apac--c.eu19.visual.force.com/0011i000001xoRDAAY","Foo, Wai Yin Marjorie")</f>
        <v>Foo, Wai Yin Marjorie</v>
      </c>
      <c r="B1507" t="s">
        <v>3300</v>
      </c>
      <c r="C1507" t="s">
        <v>28</v>
      </c>
      <c r="D1507" t="s">
        <v>251</v>
      </c>
      <c r="E1507" t="s">
        <v>8</v>
      </c>
      <c r="F1507" t="s">
        <v>241</v>
      </c>
      <c r="G1507" t="s">
        <v>252</v>
      </c>
      <c r="H1507" t="s">
        <v>858</v>
      </c>
      <c r="I1507" t="s">
        <v>253</v>
      </c>
    </row>
    <row r="1508" spans="1:9" x14ac:dyDescent="0.25">
      <c r="A1508" s="1" t="str">
        <f>HYPERLINK("https://lynxcrm-apac--c.eu19.visual.force.com/0011i000001xorTAAQ","Foo, Wen Jing Winnie")</f>
        <v>Foo, Wen Jing Winnie</v>
      </c>
      <c r="B1508" t="s">
        <v>3301</v>
      </c>
      <c r="C1508" t="s">
        <v>28</v>
      </c>
      <c r="D1508" t="s">
        <v>3302</v>
      </c>
      <c r="E1508" t="s">
        <v>8</v>
      </c>
      <c r="F1508" t="s">
        <v>2930</v>
      </c>
      <c r="G1508" t="s">
        <v>2930</v>
      </c>
      <c r="H1508" t="s">
        <v>8</v>
      </c>
      <c r="I1508" t="s">
        <v>2931</v>
      </c>
    </row>
    <row r="1509" spans="1:9" x14ac:dyDescent="0.25">
      <c r="A1509" s="1" t="str">
        <f>HYPERLINK("https://lynxcrm-apac--c.eu19.visual.force.com/0011i000001xoHSAAY","Foo, Yew Sin Patrick")</f>
        <v>Foo, Yew Sin Patrick</v>
      </c>
      <c r="B1509" t="s">
        <v>3303</v>
      </c>
      <c r="C1509" t="s">
        <v>28</v>
      </c>
      <c r="D1509" t="s">
        <v>3304</v>
      </c>
      <c r="E1509" t="s">
        <v>8</v>
      </c>
      <c r="F1509" t="s">
        <v>407</v>
      </c>
      <c r="G1509" t="s">
        <v>3305</v>
      </c>
      <c r="H1509" t="s">
        <v>3306</v>
      </c>
      <c r="I1509" t="s">
        <v>410</v>
      </c>
    </row>
    <row r="1510" spans="1:9" x14ac:dyDescent="0.25">
      <c r="A1510" s="1" t="str">
        <f>HYPERLINK("https://lynxcrm-apac--c.eu19.visual.force.com/0011i000001xojpAAA","Foo, Yong Bock")</f>
        <v>Foo, Yong Bock</v>
      </c>
      <c r="B1510" t="s">
        <v>3307</v>
      </c>
      <c r="C1510" t="s">
        <v>28</v>
      </c>
      <c r="D1510" t="s">
        <v>3308</v>
      </c>
      <c r="E1510" t="s">
        <v>8</v>
      </c>
      <c r="F1510" t="s">
        <v>3309</v>
      </c>
      <c r="G1510" t="s">
        <v>3310</v>
      </c>
      <c r="H1510" t="s">
        <v>3310</v>
      </c>
      <c r="I1510" t="s">
        <v>3311</v>
      </c>
    </row>
    <row r="1511" spans="1:9" x14ac:dyDescent="0.25">
      <c r="A1511" s="1" t="str">
        <f>HYPERLINK("https://lynxcrm-apac--c.eu19.visual.force.com/0011i000001xoKFAAY","Foo, Yu Ye")</f>
        <v>Foo, Yu Ye</v>
      </c>
      <c r="B1511" t="s">
        <v>3312</v>
      </c>
      <c r="C1511" t="s">
        <v>28</v>
      </c>
      <c r="D1511" t="s">
        <v>58</v>
      </c>
      <c r="E1511" t="s">
        <v>8</v>
      </c>
      <c r="F1511" t="s">
        <v>57</v>
      </c>
      <c r="G1511" t="s">
        <v>57</v>
      </c>
      <c r="H1511" t="s">
        <v>8</v>
      </c>
      <c r="I1511" t="s">
        <v>59</v>
      </c>
    </row>
    <row r="1512" spans="1:9" x14ac:dyDescent="0.25">
      <c r="A1512" s="1" t="str">
        <f>HYPERLINK("https://lynxcrm-apac--c.eu19.visual.force.com/0011i000001xnOMAAY","Foo Clinic")</f>
        <v>Foo Clinic</v>
      </c>
      <c r="B1512" t="s">
        <v>3313</v>
      </c>
      <c r="C1512" t="s">
        <v>10</v>
      </c>
      <c r="D1512" t="s">
        <v>8</v>
      </c>
      <c r="E1512" t="s">
        <v>8</v>
      </c>
      <c r="F1512" t="s">
        <v>3309</v>
      </c>
      <c r="G1512" t="s">
        <v>3310</v>
      </c>
      <c r="H1512" t="s">
        <v>3310</v>
      </c>
      <c r="I1512" t="s">
        <v>3311</v>
      </c>
    </row>
    <row r="1513" spans="1:9" x14ac:dyDescent="0.25">
      <c r="A1513" s="1" t="str">
        <f>HYPERLINK("https://lynxcrm-apac--c.eu19.visual.force.com/0011i00000C7N8nAAF","Foong, Angela")</f>
        <v>Foong, Angela</v>
      </c>
      <c r="B1513" t="s">
        <v>3314</v>
      </c>
      <c r="C1513" t="s">
        <v>28</v>
      </c>
      <c r="D1513" t="s">
        <v>3315</v>
      </c>
      <c r="E1513" t="s">
        <v>8</v>
      </c>
      <c r="F1513" t="s">
        <v>3316</v>
      </c>
      <c r="G1513" t="s">
        <v>3317</v>
      </c>
      <c r="H1513" t="s">
        <v>8</v>
      </c>
      <c r="I1513" t="s">
        <v>3318</v>
      </c>
    </row>
    <row r="1514" spans="1:9" x14ac:dyDescent="0.25">
      <c r="A1514" s="1" t="str">
        <f>HYPERLINK("https://lynxcrm-apac--c.eu19.visual.force.com/0011i000001xofTAAQ","Foong, Li Yen Cecilia")</f>
        <v>Foong, Li Yen Cecilia</v>
      </c>
      <c r="B1514" t="s">
        <v>3319</v>
      </c>
      <c r="C1514" t="s">
        <v>28</v>
      </c>
      <c r="D1514" t="s">
        <v>3320</v>
      </c>
      <c r="E1514" t="s">
        <v>8</v>
      </c>
      <c r="F1514" t="s">
        <v>3321</v>
      </c>
      <c r="G1514" t="s">
        <v>3322</v>
      </c>
      <c r="H1514" t="s">
        <v>3323</v>
      </c>
      <c r="I1514" t="s">
        <v>3324</v>
      </c>
    </row>
    <row r="1515" spans="1:9" x14ac:dyDescent="0.25">
      <c r="A1515" s="1" t="str">
        <f>HYPERLINK("https://lynxcrm-apac--c.eu19.visual.force.com/0011i000001xoG9AAI","Foong, Wei Sheng")</f>
        <v>Foong, Wei Sheng</v>
      </c>
      <c r="B1515" t="s">
        <v>3325</v>
      </c>
      <c r="C1515" t="s">
        <v>28</v>
      </c>
      <c r="D1515" t="s">
        <v>583</v>
      </c>
      <c r="E1515" t="s">
        <v>8</v>
      </c>
      <c r="F1515" t="s">
        <v>583</v>
      </c>
      <c r="G1515" t="s">
        <v>584</v>
      </c>
      <c r="H1515" t="s">
        <v>584</v>
      </c>
      <c r="I1515" t="s">
        <v>585</v>
      </c>
    </row>
    <row r="1516" spans="1:9" x14ac:dyDescent="0.25">
      <c r="A1516" s="1" t="str">
        <f>HYPERLINK("https://lynxcrm-apac--c.eu19.visual.force.com/0011i000001xojyAAA","Foong, Weng Cheong")</f>
        <v>Foong, Weng Cheong</v>
      </c>
      <c r="B1516" t="s">
        <v>3326</v>
      </c>
      <c r="C1516" t="s">
        <v>28</v>
      </c>
      <c r="D1516" t="s">
        <v>3327</v>
      </c>
      <c r="E1516" t="s">
        <v>8</v>
      </c>
      <c r="F1516" t="s">
        <v>3328</v>
      </c>
      <c r="G1516" t="s">
        <v>121</v>
      </c>
      <c r="H1516" t="s">
        <v>121</v>
      </c>
      <c r="I1516" t="s">
        <v>123</v>
      </c>
    </row>
    <row r="1517" spans="1:9" x14ac:dyDescent="0.25">
      <c r="A1517" s="1" t="str">
        <f>HYPERLINK("https://lynxcrm-apac--c.eu19.visual.force.com/0011i000001xnOxAAI","Frankel Clinic")</f>
        <v>Frankel Clinic</v>
      </c>
      <c r="B1517" t="s">
        <v>3329</v>
      </c>
      <c r="C1517" t="s">
        <v>10</v>
      </c>
      <c r="D1517" t="s">
        <v>8</v>
      </c>
      <c r="E1517" t="s">
        <v>8</v>
      </c>
      <c r="F1517" t="s">
        <v>3330</v>
      </c>
      <c r="G1517" t="s">
        <v>1454</v>
      </c>
      <c r="H1517" t="s">
        <v>3331</v>
      </c>
      <c r="I1517" t="s">
        <v>3332</v>
      </c>
    </row>
    <row r="1518" spans="1:9" x14ac:dyDescent="0.25">
      <c r="A1518" s="1" t="str">
        <f>HYPERLINK("https://lynxcrm-apac--c.eu19.visual.force.com/0011i000001xmlwAAA","Freia Medical Aesthetics")</f>
        <v>Freia Medical Aesthetics</v>
      </c>
      <c r="B1518" t="s">
        <v>3333</v>
      </c>
      <c r="C1518" t="s">
        <v>10</v>
      </c>
      <c r="D1518" t="s">
        <v>8</v>
      </c>
      <c r="E1518" t="s">
        <v>8</v>
      </c>
      <c r="F1518" t="s">
        <v>1453</v>
      </c>
      <c r="G1518" t="s">
        <v>1454</v>
      </c>
      <c r="H1518" t="s">
        <v>1455</v>
      </c>
      <c r="I1518" t="s">
        <v>1456</v>
      </c>
    </row>
    <row r="1519" spans="1:9" x14ac:dyDescent="0.25">
      <c r="A1519" s="1" t="str">
        <f>HYPERLINK("https://lynxcrm-apac--c.eu19.visual.force.com/0011i000001xmcBAAQ","Friendship Clinic &amp; Surgery")</f>
        <v>Friendship Clinic &amp; Surgery</v>
      </c>
      <c r="B1519" t="s">
        <v>3334</v>
      </c>
      <c r="C1519" t="s">
        <v>10</v>
      </c>
      <c r="D1519" t="s">
        <v>8</v>
      </c>
      <c r="E1519" t="s">
        <v>8</v>
      </c>
      <c r="F1519" t="s">
        <v>2183</v>
      </c>
      <c r="G1519" t="s">
        <v>2184</v>
      </c>
      <c r="H1519" t="s">
        <v>2185</v>
      </c>
      <c r="I1519" t="s">
        <v>2186</v>
      </c>
    </row>
    <row r="1520" spans="1:9" x14ac:dyDescent="0.25">
      <c r="A1520" s="1" t="str">
        <f>HYPERLINK("https://lynxcrm-apac--c.eu19.visual.force.com/0011i000001xnd9AAA","Frontier Health Care")</f>
        <v>Frontier Health Care</v>
      </c>
      <c r="B1520" t="s">
        <v>3335</v>
      </c>
      <c r="C1520" t="s">
        <v>10</v>
      </c>
      <c r="D1520" t="s">
        <v>8</v>
      </c>
      <c r="E1520" t="s">
        <v>8</v>
      </c>
      <c r="F1520" t="s">
        <v>3336</v>
      </c>
      <c r="G1520" t="s">
        <v>3337</v>
      </c>
      <c r="H1520" t="s">
        <v>3337</v>
      </c>
      <c r="I1520" t="s">
        <v>3338</v>
      </c>
    </row>
    <row r="1521" spans="1:9" x14ac:dyDescent="0.25">
      <c r="A1521" s="1" t="str">
        <f>HYPERLINK("https://lynxcrm-apac--c.eu19.visual.force.com/0011i000001xn8cAAA","Frontier Healthcare Ubi")</f>
        <v>Frontier Healthcare Ubi</v>
      </c>
      <c r="B1521" t="s">
        <v>3339</v>
      </c>
      <c r="C1521" t="s">
        <v>10</v>
      </c>
      <c r="D1521" t="s">
        <v>8</v>
      </c>
      <c r="E1521" t="s">
        <v>8</v>
      </c>
      <c r="F1521" t="s">
        <v>3340</v>
      </c>
      <c r="G1521" t="s">
        <v>3341</v>
      </c>
      <c r="H1521" t="s">
        <v>3341</v>
      </c>
      <c r="I1521" t="s">
        <v>1065</v>
      </c>
    </row>
    <row r="1522" spans="1:9" x14ac:dyDescent="0.25">
      <c r="A1522" s="1" t="str">
        <f>HYPERLINK("https://lynxcrm-apac--c.eu19.visual.force.com/0011i000001xnEfAAI","Frontier Medical Associates")</f>
        <v>Frontier Medical Associates</v>
      </c>
      <c r="B1522" t="s">
        <v>3342</v>
      </c>
      <c r="C1522" t="s">
        <v>10</v>
      </c>
      <c r="D1522" t="s">
        <v>8</v>
      </c>
      <c r="E1522" t="s">
        <v>8</v>
      </c>
      <c r="F1522" t="s">
        <v>1238</v>
      </c>
      <c r="G1522" t="s">
        <v>1239</v>
      </c>
      <c r="H1522" t="s">
        <v>1239</v>
      </c>
      <c r="I1522" t="s">
        <v>1240</v>
      </c>
    </row>
    <row r="1523" spans="1:9" x14ac:dyDescent="0.25">
      <c r="A1523" s="1" t="str">
        <f>HYPERLINK("https://lynxcrm-apac--c.eu19.visual.force.com/0011i000001xnN5AAI","Frontier Medical Associates")</f>
        <v>Frontier Medical Associates</v>
      </c>
      <c r="B1523" t="s">
        <v>3343</v>
      </c>
      <c r="C1523" t="s">
        <v>10</v>
      </c>
      <c r="D1523" t="s">
        <v>8</v>
      </c>
      <c r="E1523" t="s">
        <v>8</v>
      </c>
      <c r="F1523" t="s">
        <v>3344</v>
      </c>
      <c r="G1523" t="s">
        <v>3337</v>
      </c>
      <c r="H1523" t="s">
        <v>3345</v>
      </c>
      <c r="I1523" t="s">
        <v>3338</v>
      </c>
    </row>
    <row r="1524" spans="1:9" x14ac:dyDescent="0.25">
      <c r="A1524" s="1" t="str">
        <f>HYPERLINK("https://lynxcrm-apac--c.eu19.visual.force.com/0011i000001xmdCAAQ","Frontier People's Clinic")</f>
        <v>Frontier People's Clinic</v>
      </c>
      <c r="B1524" t="s">
        <v>3346</v>
      </c>
      <c r="C1524" t="s">
        <v>10</v>
      </c>
      <c r="D1524" t="s">
        <v>8</v>
      </c>
      <c r="E1524" t="s">
        <v>8</v>
      </c>
      <c r="F1524" t="s">
        <v>3347</v>
      </c>
      <c r="G1524" t="s">
        <v>3348</v>
      </c>
      <c r="H1524" t="s">
        <v>3348</v>
      </c>
      <c r="I1524" t="s">
        <v>838</v>
      </c>
    </row>
    <row r="1525" spans="1:9" x14ac:dyDescent="0.25">
      <c r="A1525" s="1" t="str">
        <f>HYPERLINK("https://lynxcrm-apac--c.eu19.visual.force.com/0011i000001xonAAAQ","Fu, Wan Pei Cherylin")</f>
        <v>Fu, Wan Pei Cherylin</v>
      </c>
      <c r="B1525" t="s">
        <v>3349</v>
      </c>
      <c r="C1525" t="s">
        <v>28</v>
      </c>
      <c r="D1525" t="s">
        <v>251</v>
      </c>
      <c r="E1525" t="s">
        <v>8</v>
      </c>
      <c r="F1525" t="s">
        <v>251</v>
      </c>
      <c r="G1525" t="s">
        <v>252</v>
      </c>
      <c r="H1525" t="s">
        <v>252</v>
      </c>
      <c r="I1525" t="s">
        <v>253</v>
      </c>
    </row>
    <row r="1526" spans="1:9" x14ac:dyDescent="0.25">
      <c r="A1526" s="1" t="str">
        <f>HYPERLINK("https://lynxcrm-apac--c.eu19.visual.force.com/0011i000001xnU6AAI","Fullerton Health @ Drs Horne Chin &amp; Partners")</f>
        <v>Fullerton Health @ Drs Horne Chin &amp; Partners</v>
      </c>
      <c r="B1526" t="s">
        <v>3350</v>
      </c>
      <c r="C1526" t="s">
        <v>10</v>
      </c>
      <c r="D1526" t="s">
        <v>8</v>
      </c>
      <c r="E1526" t="s">
        <v>8</v>
      </c>
      <c r="F1526" t="s">
        <v>2287</v>
      </c>
      <c r="G1526" t="s">
        <v>706</v>
      </c>
      <c r="H1526" t="s">
        <v>706</v>
      </c>
      <c r="I1526" t="s">
        <v>543</v>
      </c>
    </row>
    <row r="1527" spans="1:9" x14ac:dyDescent="0.25">
      <c r="A1527" s="1" t="str">
        <f>HYPERLINK("https://lynxcrm-apac--c.eu19.visual.force.com/0011i000001xn8sAAA","Fullerton Health @ Drs Horne CHin &amp; Partners")</f>
        <v>Fullerton Health @ Drs Horne CHin &amp; Partners</v>
      </c>
      <c r="B1527" t="s">
        <v>3351</v>
      </c>
      <c r="C1527" t="s">
        <v>10</v>
      </c>
      <c r="D1527" t="s">
        <v>8</v>
      </c>
      <c r="E1527" t="s">
        <v>8</v>
      </c>
      <c r="F1527" t="s">
        <v>3352</v>
      </c>
      <c r="G1527" t="s">
        <v>706</v>
      </c>
      <c r="H1527" t="s">
        <v>3353</v>
      </c>
      <c r="I1527" t="s">
        <v>543</v>
      </c>
    </row>
    <row r="1528" spans="1:9" x14ac:dyDescent="0.25">
      <c r="A1528" s="1" t="str">
        <f>HYPERLINK("https://lynxcrm-apac--c.eu19.visual.force.com/0011i000001xn9TAAQ","Fullerton Health @ Gethin-Jones")</f>
        <v>Fullerton Health @ Gethin-Jones</v>
      </c>
      <c r="B1528" t="s">
        <v>3354</v>
      </c>
      <c r="C1528" t="s">
        <v>10</v>
      </c>
      <c r="D1528" t="s">
        <v>8</v>
      </c>
      <c r="E1528" t="s">
        <v>8</v>
      </c>
      <c r="F1528" t="s">
        <v>3355</v>
      </c>
      <c r="G1528" t="s">
        <v>3356</v>
      </c>
      <c r="H1528" t="s">
        <v>3356</v>
      </c>
      <c r="I1528" t="s">
        <v>3357</v>
      </c>
    </row>
    <row r="1529" spans="1:9" x14ac:dyDescent="0.25">
      <c r="A1529" s="1" t="str">
        <f>HYPERLINK("https://lynxcrm-apac--c.eu19.visual.force.com/0011i000001xn16AAA","Fullerton Healthcare @ Drs Trythall Hoy Davies")</f>
        <v>Fullerton Healthcare @ Drs Trythall Hoy Davies</v>
      </c>
      <c r="B1529" t="s">
        <v>3358</v>
      </c>
      <c r="C1529" t="s">
        <v>10</v>
      </c>
      <c r="D1529" t="s">
        <v>8</v>
      </c>
      <c r="E1529" t="s">
        <v>8</v>
      </c>
      <c r="F1529" t="s">
        <v>3359</v>
      </c>
      <c r="G1529" t="s">
        <v>3360</v>
      </c>
      <c r="H1529" t="s">
        <v>3360</v>
      </c>
      <c r="I1529" t="s">
        <v>1994</v>
      </c>
    </row>
    <row r="1530" spans="1:9" x14ac:dyDescent="0.25">
      <c r="A1530" s="1" t="str">
        <f>HYPERLINK("https://lynxcrm-apac--c.eu19.visual.force.com/0011i000001xmvkAAA","Fullerton Healthcare @ Gethin Jones")</f>
        <v>Fullerton Healthcare @ Gethin Jones</v>
      </c>
      <c r="B1530" t="s">
        <v>3361</v>
      </c>
      <c r="C1530" t="s">
        <v>10</v>
      </c>
      <c r="D1530" t="s">
        <v>8</v>
      </c>
      <c r="E1530" t="s">
        <v>8</v>
      </c>
      <c r="F1530" t="s">
        <v>3355</v>
      </c>
      <c r="G1530" t="s">
        <v>3356</v>
      </c>
      <c r="H1530" t="s">
        <v>3356</v>
      </c>
      <c r="I1530" t="s">
        <v>3357</v>
      </c>
    </row>
    <row r="1531" spans="1:9" x14ac:dyDescent="0.25">
      <c r="A1531" s="1" t="str">
        <f>HYPERLINK("https://lynxcrm-apac--c.eu19.visual.force.com/0011i000001xnAHAAY","Fullerton Healthcare Group")</f>
        <v>Fullerton Healthcare Group</v>
      </c>
      <c r="B1531" t="s">
        <v>3362</v>
      </c>
      <c r="C1531" t="s">
        <v>10</v>
      </c>
      <c r="D1531" t="s">
        <v>8</v>
      </c>
      <c r="E1531" t="s">
        <v>8</v>
      </c>
      <c r="F1531" t="s">
        <v>541</v>
      </c>
      <c r="G1531" t="s">
        <v>542</v>
      </c>
      <c r="H1531" t="s">
        <v>542</v>
      </c>
      <c r="I1531" t="s">
        <v>543</v>
      </c>
    </row>
    <row r="1532" spans="1:9" x14ac:dyDescent="0.25">
      <c r="A1532" s="1" t="str">
        <f>HYPERLINK("https://lynxcrm-apac--c.eu19.visual.force.com/0011i000001xnAJAAY","Fullerton Healthcare Group")</f>
        <v>Fullerton Healthcare Group</v>
      </c>
      <c r="B1532" t="s">
        <v>3363</v>
      </c>
      <c r="C1532" t="s">
        <v>10</v>
      </c>
      <c r="D1532" t="s">
        <v>8</v>
      </c>
      <c r="E1532" t="s">
        <v>8</v>
      </c>
      <c r="F1532" t="s">
        <v>1548</v>
      </c>
      <c r="G1532" t="s">
        <v>3364</v>
      </c>
      <c r="H1532" t="s">
        <v>3364</v>
      </c>
      <c r="I1532" t="s">
        <v>1550</v>
      </c>
    </row>
    <row r="1533" spans="1:9" x14ac:dyDescent="0.25">
      <c r="A1533" s="1" t="str">
        <f>HYPERLINK("https://lynxcrm-apac--c.eu19.visual.force.com/0011i000001xnKRAAY","Fullerton Healthcare Group")</f>
        <v>Fullerton Healthcare Group</v>
      </c>
      <c r="B1533" t="s">
        <v>3365</v>
      </c>
      <c r="C1533" t="s">
        <v>10</v>
      </c>
      <c r="D1533" t="s">
        <v>8</v>
      </c>
      <c r="E1533" t="s">
        <v>8</v>
      </c>
      <c r="F1533" t="s">
        <v>3366</v>
      </c>
      <c r="G1533" t="s">
        <v>3367</v>
      </c>
      <c r="H1533" t="s">
        <v>3367</v>
      </c>
      <c r="I1533" t="s">
        <v>3368</v>
      </c>
    </row>
    <row r="1534" spans="1:9" x14ac:dyDescent="0.25">
      <c r="A1534" s="1" t="str">
        <f>HYPERLINK("https://lynxcrm-apac--c.eu19.visual.force.com/0011i000001xnE5AAI","Fullerton Healthcare Group")</f>
        <v>Fullerton Healthcare Group</v>
      </c>
      <c r="B1534" t="s">
        <v>3369</v>
      </c>
      <c r="C1534" t="s">
        <v>10</v>
      </c>
      <c r="D1534" t="s">
        <v>8</v>
      </c>
      <c r="E1534" t="s">
        <v>8</v>
      </c>
      <c r="F1534" t="s">
        <v>3370</v>
      </c>
      <c r="G1534" t="s">
        <v>706</v>
      </c>
      <c r="H1534" t="s">
        <v>706</v>
      </c>
      <c r="I1534" t="s">
        <v>543</v>
      </c>
    </row>
    <row r="1535" spans="1:9" x14ac:dyDescent="0.25">
      <c r="A1535" s="1" t="str">
        <f>HYPERLINK("https://lynxcrm-apac--c.eu19.visual.force.com/0011i000001xnAcAAI","Fullerton Healthcare Group")</f>
        <v>Fullerton Healthcare Group</v>
      </c>
      <c r="B1535" t="s">
        <v>3371</v>
      </c>
      <c r="C1535" t="s">
        <v>10</v>
      </c>
      <c r="D1535" t="s">
        <v>8</v>
      </c>
      <c r="E1535" t="s">
        <v>8</v>
      </c>
      <c r="F1535" t="s">
        <v>3366</v>
      </c>
      <c r="G1535" t="s">
        <v>3372</v>
      </c>
      <c r="H1535" t="s">
        <v>3372</v>
      </c>
      <c r="I1535" t="s">
        <v>3368</v>
      </c>
    </row>
    <row r="1536" spans="1:9" x14ac:dyDescent="0.25">
      <c r="A1536" s="1" t="str">
        <f>HYPERLINK("https://lynxcrm-apac--c.eu19.visual.force.com/0011i000001xnGcAAI","Fullerton Healthcare Group")</f>
        <v>Fullerton Healthcare Group</v>
      </c>
      <c r="B1536" t="s">
        <v>3373</v>
      </c>
      <c r="C1536" t="s">
        <v>10</v>
      </c>
      <c r="D1536" t="s">
        <v>8</v>
      </c>
      <c r="E1536" t="s">
        <v>8</v>
      </c>
      <c r="F1536" t="s">
        <v>3374</v>
      </c>
      <c r="G1536" t="s">
        <v>3375</v>
      </c>
      <c r="H1536" t="s">
        <v>3375</v>
      </c>
      <c r="I1536" t="s">
        <v>3376</v>
      </c>
    </row>
    <row r="1537" spans="1:9" x14ac:dyDescent="0.25">
      <c r="A1537" s="1" t="str">
        <f>HYPERLINK("https://lynxcrm-apac--c.eu19.visual.force.com/0011i000001xnHdAAI","Fullerton Healthcare Group")</f>
        <v>Fullerton Healthcare Group</v>
      </c>
      <c r="B1537" t="s">
        <v>3377</v>
      </c>
      <c r="C1537" t="s">
        <v>10</v>
      </c>
      <c r="D1537" t="s">
        <v>8</v>
      </c>
      <c r="E1537" t="s">
        <v>8</v>
      </c>
      <c r="F1537" t="s">
        <v>541</v>
      </c>
      <c r="G1537" t="s">
        <v>542</v>
      </c>
      <c r="H1537" t="s">
        <v>542</v>
      </c>
      <c r="I1537" t="s">
        <v>543</v>
      </c>
    </row>
    <row r="1538" spans="1:9" x14ac:dyDescent="0.25">
      <c r="A1538" s="1" t="str">
        <f>HYPERLINK("https://lynxcrm-apac--c.eu19.visual.force.com/0011i000001xnAIAAY","Fullerton Healthcare Group")</f>
        <v>Fullerton Healthcare Group</v>
      </c>
      <c r="B1538" t="s">
        <v>3378</v>
      </c>
      <c r="C1538" t="s">
        <v>10</v>
      </c>
      <c r="D1538" t="s">
        <v>8</v>
      </c>
      <c r="E1538" t="s">
        <v>8</v>
      </c>
      <c r="F1538" t="s">
        <v>3379</v>
      </c>
      <c r="G1538" t="s">
        <v>3380</v>
      </c>
      <c r="H1538" t="s">
        <v>3380</v>
      </c>
      <c r="I1538" t="s">
        <v>3381</v>
      </c>
    </row>
    <row r="1539" spans="1:9" x14ac:dyDescent="0.25">
      <c r="A1539" s="1" t="str">
        <f>HYPERLINK("https://lynxcrm-apac--c.eu19.visual.force.com/0011i000001xmvoAAA","Fullerton Healthcare Group @ SIA ALH Clinic")</f>
        <v>Fullerton Healthcare Group @ SIA ALH Clinic</v>
      </c>
      <c r="B1539" t="s">
        <v>3382</v>
      </c>
      <c r="C1539" t="s">
        <v>10</v>
      </c>
      <c r="D1539" t="s">
        <v>8</v>
      </c>
      <c r="E1539" t="s">
        <v>8</v>
      </c>
      <c r="F1539" t="s">
        <v>1548</v>
      </c>
      <c r="G1539" t="s">
        <v>1548</v>
      </c>
      <c r="H1539" t="s">
        <v>8</v>
      </c>
      <c r="I1539" t="s">
        <v>1550</v>
      </c>
    </row>
    <row r="1540" spans="1:9" x14ac:dyDescent="0.25">
      <c r="A1540" s="1" t="str">
        <f>HYPERLINK("https://lynxcrm-apac--c.eu19.visual.force.com/0011i000001xnyjAAA","Fung, Shuen Sheng Daniel")</f>
        <v>Fung, Shuen Sheng Daniel</v>
      </c>
      <c r="B1540" t="s">
        <v>3383</v>
      </c>
      <c r="C1540" t="s">
        <v>28</v>
      </c>
      <c r="D1540" t="s">
        <v>752</v>
      </c>
      <c r="E1540" t="s">
        <v>8</v>
      </c>
      <c r="F1540" t="s">
        <v>753</v>
      </c>
      <c r="G1540" t="s">
        <v>753</v>
      </c>
      <c r="H1540" t="s">
        <v>8</v>
      </c>
      <c r="I1540" t="s">
        <v>137</v>
      </c>
    </row>
    <row r="1541" spans="1:9" x14ac:dyDescent="0.25">
      <c r="A1541" s="1" t="str">
        <f>HYPERLINK("https://lynxcrm-apac--c.eu19.visual.force.com/0011i000001xnyjAAA","Fung, Shuen Sheng Daniel")</f>
        <v>Fung, Shuen Sheng Daniel</v>
      </c>
      <c r="B1541" t="s">
        <v>3383</v>
      </c>
      <c r="C1541" t="s">
        <v>28</v>
      </c>
      <c r="D1541" t="s">
        <v>3384</v>
      </c>
      <c r="E1541" t="s">
        <v>8</v>
      </c>
      <c r="F1541" t="s">
        <v>753</v>
      </c>
      <c r="G1541" t="s">
        <v>3385</v>
      </c>
      <c r="H1541" t="s">
        <v>139</v>
      </c>
      <c r="I1541" t="s">
        <v>137</v>
      </c>
    </row>
    <row r="1542" spans="1:9" x14ac:dyDescent="0.25">
      <c r="A1542" s="1" t="str">
        <f>HYPERLINK("https://lynxcrm-apac--c.eu19.visual.force.com/0011i000001xmdEAAQ","Fu-Xing Clinic")</f>
        <v>Fu-Xing Clinic</v>
      </c>
      <c r="B1542" t="s">
        <v>3386</v>
      </c>
      <c r="C1542" t="s">
        <v>10</v>
      </c>
      <c r="D1542" t="s">
        <v>8</v>
      </c>
      <c r="E1542" t="s">
        <v>8</v>
      </c>
      <c r="F1542" t="s">
        <v>3387</v>
      </c>
      <c r="G1542" t="s">
        <v>3388</v>
      </c>
      <c r="H1542" t="s">
        <v>3389</v>
      </c>
      <c r="I1542" t="s">
        <v>3390</v>
      </c>
    </row>
    <row r="1543" spans="1:9" x14ac:dyDescent="0.25">
      <c r="A1543" s="1" t="str">
        <f>HYPERLINK("https://lynxcrm-apac--c.eu19.visual.force.com/0011i000001xnCPAAY","G.S. Clinic &amp; Surgery Pte Ltd")</f>
        <v>G.S. Clinic &amp; Surgery Pte Ltd</v>
      </c>
      <c r="B1543" t="s">
        <v>3391</v>
      </c>
      <c r="C1543" t="s">
        <v>10</v>
      </c>
      <c r="D1543" t="s">
        <v>8</v>
      </c>
      <c r="E1543" t="s">
        <v>8</v>
      </c>
      <c r="F1543" t="s">
        <v>3392</v>
      </c>
      <c r="G1543" t="s">
        <v>3393</v>
      </c>
      <c r="H1543" t="s">
        <v>3394</v>
      </c>
      <c r="I1543" t="s">
        <v>189</v>
      </c>
    </row>
    <row r="1544" spans="1:9" x14ac:dyDescent="0.25">
      <c r="A1544" s="1" t="str">
        <f>HYPERLINK("https://lynxcrm-apac--c.eu19.visual.force.com/0011i000001xoYzAAI","Gabriel's Pharmacy, Woodlands")</f>
        <v>Gabriel's Pharmacy, Woodlands</v>
      </c>
      <c r="B1544" t="s">
        <v>3395</v>
      </c>
      <c r="C1544" t="s">
        <v>28</v>
      </c>
      <c r="D1544" t="s">
        <v>3396</v>
      </c>
      <c r="E1544" t="s">
        <v>8</v>
      </c>
      <c r="F1544" t="s">
        <v>99</v>
      </c>
      <c r="G1544" t="s">
        <v>100</v>
      </c>
      <c r="H1544" t="s">
        <v>100</v>
      </c>
      <c r="I1544" t="s">
        <v>101</v>
      </c>
    </row>
    <row r="1545" spans="1:9" x14ac:dyDescent="0.25">
      <c r="A1545" s="1" t="str">
        <f>HYPERLINK("https://lynxcrm-apac--c.eu19.visual.force.com/0011i000001xmwdAAA","Galilee Clinic")</f>
        <v>Galilee Clinic</v>
      </c>
      <c r="B1545" t="s">
        <v>3397</v>
      </c>
      <c r="C1545" t="s">
        <v>10</v>
      </c>
      <c r="D1545" t="s">
        <v>8</v>
      </c>
      <c r="E1545" t="s">
        <v>8</v>
      </c>
      <c r="F1545" t="s">
        <v>3398</v>
      </c>
      <c r="G1545" t="s">
        <v>3399</v>
      </c>
      <c r="H1545" t="s">
        <v>3399</v>
      </c>
      <c r="I1545" t="s">
        <v>3400</v>
      </c>
    </row>
    <row r="1546" spans="1:9" x14ac:dyDescent="0.25">
      <c r="A1546" s="1" t="str">
        <f>HYPERLINK("https://lynxcrm-apac--c.eu19.visual.force.com/0011i000001xok4AAA","Gan, Cheng Hoe")</f>
        <v>Gan, Cheng Hoe</v>
      </c>
      <c r="B1546" t="s">
        <v>3401</v>
      </c>
      <c r="C1546" t="s">
        <v>28</v>
      </c>
      <c r="D1546" t="s">
        <v>3402</v>
      </c>
      <c r="E1546" t="s">
        <v>8</v>
      </c>
      <c r="F1546" t="s">
        <v>3330</v>
      </c>
      <c r="G1546" t="s">
        <v>1454</v>
      </c>
      <c r="H1546" t="s">
        <v>3331</v>
      </c>
      <c r="I1546" t="s">
        <v>3332</v>
      </c>
    </row>
    <row r="1547" spans="1:9" x14ac:dyDescent="0.25">
      <c r="A1547" s="1" t="str">
        <f>HYPERLINK("https://lynxcrm-apac--c.eu19.visual.force.com/0011i000001xok6AAA","Gan, Cheong Hwee")</f>
        <v>Gan, Cheong Hwee</v>
      </c>
      <c r="B1547" t="s">
        <v>3403</v>
      </c>
      <c r="C1547" t="s">
        <v>28</v>
      </c>
      <c r="D1547" t="s">
        <v>3404</v>
      </c>
      <c r="E1547" t="s">
        <v>8</v>
      </c>
      <c r="F1547" t="s">
        <v>3405</v>
      </c>
      <c r="G1547" t="s">
        <v>3406</v>
      </c>
      <c r="H1547" t="s">
        <v>3407</v>
      </c>
      <c r="I1547" t="s">
        <v>3408</v>
      </c>
    </row>
    <row r="1548" spans="1:9" x14ac:dyDescent="0.25">
      <c r="A1548" s="1" t="str">
        <f>HYPERLINK("https://lynxcrm-apac--c.eu19.visual.force.com/0011i000001xnykAAA","Gan, Keng Seng Eric")</f>
        <v>Gan, Keng Seng Eric</v>
      </c>
      <c r="B1548" t="s">
        <v>3409</v>
      </c>
      <c r="C1548" t="s">
        <v>28</v>
      </c>
      <c r="D1548" t="s">
        <v>3410</v>
      </c>
      <c r="E1548" t="s">
        <v>8</v>
      </c>
      <c r="F1548" t="s">
        <v>3041</v>
      </c>
      <c r="G1548" t="s">
        <v>3042</v>
      </c>
      <c r="H1548" t="s">
        <v>3042</v>
      </c>
      <c r="I1548" t="s">
        <v>344</v>
      </c>
    </row>
    <row r="1549" spans="1:9" x14ac:dyDescent="0.25">
      <c r="A1549" s="1" t="str">
        <f>HYPERLINK("https://lynxcrm-apac--c.eu19.visual.force.com/0011i000001xobVAAQ","Gan, Kim Loon")</f>
        <v>Gan, Kim Loon</v>
      </c>
      <c r="B1549" t="s">
        <v>3411</v>
      </c>
      <c r="C1549" t="s">
        <v>28</v>
      </c>
      <c r="D1549" t="s">
        <v>3412</v>
      </c>
      <c r="E1549" t="s">
        <v>8</v>
      </c>
      <c r="F1549" t="s">
        <v>3413</v>
      </c>
      <c r="G1549" t="s">
        <v>3414</v>
      </c>
      <c r="H1549" t="s">
        <v>3415</v>
      </c>
      <c r="I1549" t="s">
        <v>3416</v>
      </c>
    </row>
    <row r="1550" spans="1:9" x14ac:dyDescent="0.25">
      <c r="A1550" s="1" t="str">
        <f>HYPERLINK("https://lynxcrm-apac--c.eu19.visual.force.com/0011i000001xoX8AAI","Gan, Lian Hoe")</f>
        <v>Gan, Lian Hoe</v>
      </c>
      <c r="B1550" t="s">
        <v>3417</v>
      </c>
      <c r="C1550" t="s">
        <v>28</v>
      </c>
      <c r="D1550" t="s">
        <v>583</v>
      </c>
      <c r="E1550" t="s">
        <v>8</v>
      </c>
      <c r="F1550" t="s">
        <v>583</v>
      </c>
      <c r="G1550" t="s">
        <v>584</v>
      </c>
      <c r="H1550" t="s">
        <v>584</v>
      </c>
      <c r="I1550" t="s">
        <v>585</v>
      </c>
    </row>
    <row r="1551" spans="1:9" x14ac:dyDescent="0.25">
      <c r="A1551" s="1" t="str">
        <f>HYPERLINK("https://lynxcrm-apac--c.eu19.visual.force.com/0011i000001xoX8AAI","Gan, Lian Hoe")</f>
        <v>Gan, Lian Hoe</v>
      </c>
      <c r="B1551" t="s">
        <v>3417</v>
      </c>
      <c r="C1551" t="s">
        <v>28</v>
      </c>
      <c r="D1551" t="s">
        <v>3418</v>
      </c>
      <c r="E1551" t="s">
        <v>8</v>
      </c>
      <c r="F1551" t="s">
        <v>584</v>
      </c>
      <c r="G1551" t="s">
        <v>583</v>
      </c>
      <c r="H1551" t="s">
        <v>583</v>
      </c>
      <c r="I1551" t="s">
        <v>585</v>
      </c>
    </row>
    <row r="1552" spans="1:9" x14ac:dyDescent="0.25">
      <c r="A1552" s="1" t="str">
        <f>HYPERLINK("https://lynxcrm-apac--c.eu19.visual.force.com/0011i000001xnzCAAQ","Gan, Meng San")</f>
        <v>Gan, Meng San</v>
      </c>
      <c r="B1552" t="s">
        <v>3419</v>
      </c>
      <c r="C1552" t="s">
        <v>28</v>
      </c>
      <c r="D1552" t="s">
        <v>3420</v>
      </c>
      <c r="E1552" t="s">
        <v>8</v>
      </c>
      <c r="F1552" t="s">
        <v>3421</v>
      </c>
      <c r="G1552" t="s">
        <v>3422</v>
      </c>
      <c r="H1552" t="s">
        <v>3422</v>
      </c>
      <c r="I1552" t="s">
        <v>3423</v>
      </c>
    </row>
    <row r="1553" spans="1:9" x14ac:dyDescent="0.25">
      <c r="A1553" s="1" t="str">
        <f>HYPERLINK("https://lynxcrm-apac--c.eu19.visual.force.com/0011i000001xng2AAA","Gan, Wei Chun")</f>
        <v>Gan, Wei Chun</v>
      </c>
      <c r="B1553" t="s">
        <v>3424</v>
      </c>
      <c r="C1553" t="s">
        <v>28</v>
      </c>
      <c r="D1553" t="s">
        <v>54</v>
      </c>
      <c r="E1553" t="s">
        <v>8</v>
      </c>
      <c r="F1553" t="s">
        <v>1225</v>
      </c>
      <c r="G1553" t="s">
        <v>1225</v>
      </c>
      <c r="H1553" t="s">
        <v>8</v>
      </c>
      <c r="I1553" t="s">
        <v>55</v>
      </c>
    </row>
    <row r="1554" spans="1:9" x14ac:dyDescent="0.25">
      <c r="A1554" s="1" t="str">
        <f>HYPERLINK("https://lynxcrm-apac--c.eu19.visual.force.com/0011i00000raTeSAAU","Gan, Yuan Ying")</f>
        <v>Gan, Yuan Ying</v>
      </c>
      <c r="B1554" t="s">
        <v>3425</v>
      </c>
      <c r="C1554" t="s">
        <v>28</v>
      </c>
      <c r="D1554" t="s">
        <v>589</v>
      </c>
      <c r="E1554" t="s">
        <v>8</v>
      </c>
      <c r="F1554" t="s">
        <v>590</v>
      </c>
      <c r="G1554" t="s">
        <v>591</v>
      </c>
      <c r="H1554" t="s">
        <v>8</v>
      </c>
      <c r="I1554" t="s">
        <v>592</v>
      </c>
    </row>
    <row r="1555" spans="1:9" x14ac:dyDescent="0.25">
      <c r="A1555" s="1" t="str">
        <f>HYPERLINK("https://lynxcrm-apac--c.eu19.visual.force.com/0011i000001xoJEAAY","Ganesh, K")</f>
        <v>Ganesh, K</v>
      </c>
      <c r="B1555" t="s">
        <v>3426</v>
      </c>
      <c r="C1555" t="s">
        <v>28</v>
      </c>
      <c r="D1555" t="s">
        <v>815</v>
      </c>
      <c r="E1555" t="s">
        <v>8</v>
      </c>
      <c r="F1555" t="s">
        <v>816</v>
      </c>
      <c r="G1555" t="s">
        <v>816</v>
      </c>
      <c r="H1555" t="s">
        <v>8</v>
      </c>
      <c r="I1555" t="s">
        <v>817</v>
      </c>
    </row>
    <row r="1556" spans="1:9" x14ac:dyDescent="0.25">
      <c r="A1556" s="1" t="str">
        <f>HYPERLINK("https://lynxcrm-apac--c.eu19.visual.force.com/0011i000001xnTLAAY","Garden Clinic")</f>
        <v>Garden Clinic</v>
      </c>
      <c r="B1556" t="s">
        <v>3427</v>
      </c>
      <c r="C1556" t="s">
        <v>10</v>
      </c>
      <c r="D1556" t="s">
        <v>8</v>
      </c>
      <c r="E1556" t="s">
        <v>8</v>
      </c>
      <c r="F1556" t="s">
        <v>3428</v>
      </c>
      <c r="G1556" t="s">
        <v>3429</v>
      </c>
      <c r="H1556" t="s">
        <v>3429</v>
      </c>
      <c r="I1556" t="s">
        <v>3430</v>
      </c>
    </row>
    <row r="1557" spans="1:9" x14ac:dyDescent="0.25">
      <c r="A1557" s="1" t="str">
        <f>HYPERLINK("https://lynxcrm-apac--c.eu19.visual.force.com/0011i000001xohfAAA","Gardner, Daphne Su-Lyn")</f>
        <v>Gardner, Daphne Su-Lyn</v>
      </c>
      <c r="B1557" t="s">
        <v>3431</v>
      </c>
      <c r="C1557" t="s">
        <v>28</v>
      </c>
      <c r="D1557" t="s">
        <v>251</v>
      </c>
      <c r="E1557" t="s">
        <v>8</v>
      </c>
      <c r="F1557" t="s">
        <v>246</v>
      </c>
      <c r="G1557" t="s">
        <v>252</v>
      </c>
      <c r="H1557" t="s">
        <v>252</v>
      </c>
      <c r="I1557" t="s">
        <v>253</v>
      </c>
    </row>
    <row r="1558" spans="1:9" x14ac:dyDescent="0.25">
      <c r="A1558" s="1" t="str">
        <f>HYPERLINK("https://lynxcrm-apac--c.eu19.visual.force.com/0011i000001xms4AAA","Gastroenterology &amp; Medicine Int")</f>
        <v>Gastroenterology &amp; Medicine Int</v>
      </c>
      <c r="B1558" t="s">
        <v>3432</v>
      </c>
      <c r="C1558" t="s">
        <v>10</v>
      </c>
      <c r="D1558" t="s">
        <v>8</v>
      </c>
      <c r="E1558" t="s">
        <v>8</v>
      </c>
      <c r="F1558" t="s">
        <v>69</v>
      </c>
      <c r="G1558" t="s">
        <v>3433</v>
      </c>
      <c r="H1558" t="s">
        <v>3434</v>
      </c>
      <c r="I1558" t="s">
        <v>67</v>
      </c>
    </row>
    <row r="1559" spans="1:9" x14ac:dyDescent="0.25">
      <c r="A1559" s="1" t="str">
        <f>HYPERLINK("https://lynxcrm-apac--c.eu19.visual.force.com/0011i00000XhmZcAAJ","Gastroenterology &amp; Medicine International")</f>
        <v>Gastroenterology &amp; Medicine International</v>
      </c>
      <c r="B1559" t="s">
        <v>3435</v>
      </c>
      <c r="C1559" t="s">
        <v>10</v>
      </c>
      <c r="D1559" t="s">
        <v>3436</v>
      </c>
      <c r="E1559" t="s">
        <v>8</v>
      </c>
      <c r="F1559" t="s">
        <v>2346</v>
      </c>
      <c r="G1559" t="s">
        <v>2346</v>
      </c>
      <c r="H1559" t="s">
        <v>8</v>
      </c>
      <c r="I1559" t="s">
        <v>67</v>
      </c>
    </row>
    <row r="1560" spans="1:9" x14ac:dyDescent="0.25">
      <c r="A1560" s="1" t="str">
        <f>HYPERLINK("https://lynxcrm-apac--c.eu19.visual.force.com/0011i000001xmd3AAA","Gastroenterology Clinic")</f>
        <v>Gastroenterology Clinic</v>
      </c>
      <c r="B1560" t="s">
        <v>3437</v>
      </c>
      <c r="C1560" t="s">
        <v>10</v>
      </c>
      <c r="D1560" t="s">
        <v>8</v>
      </c>
      <c r="E1560" t="s">
        <v>8</v>
      </c>
      <c r="F1560" t="s">
        <v>377</v>
      </c>
      <c r="G1560" t="s">
        <v>484</v>
      </c>
      <c r="H1560" t="s">
        <v>484</v>
      </c>
      <c r="I1560" t="s">
        <v>123</v>
      </c>
    </row>
    <row r="1561" spans="1:9" x14ac:dyDescent="0.25">
      <c r="A1561" s="1" t="str">
        <f>HYPERLINK("https://lynxcrm-apac--c.eu19.visual.force.com/0011i000001xncpAAA","Gastroenterology Clinic")</f>
        <v>Gastroenterology Clinic</v>
      </c>
      <c r="B1561" t="s">
        <v>3438</v>
      </c>
      <c r="C1561" t="s">
        <v>10</v>
      </c>
      <c r="D1561" t="s">
        <v>8</v>
      </c>
      <c r="E1561" t="s">
        <v>8</v>
      </c>
      <c r="F1561" t="s">
        <v>377</v>
      </c>
      <c r="G1561" t="s">
        <v>484</v>
      </c>
      <c r="H1561" t="s">
        <v>484</v>
      </c>
      <c r="I1561" t="s">
        <v>123</v>
      </c>
    </row>
    <row r="1562" spans="1:9" x14ac:dyDescent="0.25">
      <c r="A1562" s="1" t="str">
        <f>HYPERLINK("https://lynxcrm-apac--c.eu19.visual.force.com/0011i000001xmscAAA","Gastro Liver &amp; Surgical Centre")</f>
        <v>Gastro Liver &amp; Surgical Centre</v>
      </c>
      <c r="B1562" t="s">
        <v>3439</v>
      </c>
      <c r="C1562" t="s">
        <v>10</v>
      </c>
      <c r="D1562" t="s">
        <v>8</v>
      </c>
      <c r="E1562" t="s">
        <v>8</v>
      </c>
      <c r="F1562" t="s">
        <v>3440</v>
      </c>
      <c r="G1562" t="s">
        <v>121</v>
      </c>
      <c r="H1562" t="s">
        <v>121</v>
      </c>
      <c r="I1562" t="s">
        <v>123</v>
      </c>
    </row>
    <row r="1563" spans="1:9" x14ac:dyDescent="0.25">
      <c r="A1563" s="1" t="str">
        <f>HYPERLINK("https://lynxcrm-apac--c.eu19.visual.force.com/0011i000001xnIcAAI","Gastro Liver &amp; Surgical Centre")</f>
        <v>Gastro Liver &amp; Surgical Centre</v>
      </c>
      <c r="B1563" t="s">
        <v>3441</v>
      </c>
      <c r="C1563" t="s">
        <v>10</v>
      </c>
      <c r="D1563" t="s">
        <v>8</v>
      </c>
      <c r="E1563" t="s">
        <v>8</v>
      </c>
      <c r="F1563" t="s">
        <v>3440</v>
      </c>
      <c r="G1563" t="s">
        <v>121</v>
      </c>
      <c r="H1563" t="s">
        <v>121</v>
      </c>
      <c r="I1563" t="s">
        <v>123</v>
      </c>
    </row>
    <row r="1564" spans="1:9" x14ac:dyDescent="0.25">
      <c r="A1564" s="1" t="str">
        <f>HYPERLINK("https://lynxcrm-apac--c.eu19.visual.force.com/0011i000001xokGAAQ","Gaw, Yang Neo Caroli")</f>
        <v>Gaw, Yang Neo Caroli</v>
      </c>
      <c r="B1564" t="s">
        <v>3442</v>
      </c>
      <c r="C1564" t="s">
        <v>28</v>
      </c>
      <c r="D1564" t="s">
        <v>3443</v>
      </c>
      <c r="E1564" t="s">
        <v>8</v>
      </c>
      <c r="F1564" t="s">
        <v>3444</v>
      </c>
      <c r="G1564" t="s">
        <v>3445</v>
      </c>
      <c r="H1564" t="s">
        <v>3445</v>
      </c>
      <c r="I1564" t="s">
        <v>3446</v>
      </c>
    </row>
    <row r="1565" spans="1:9" x14ac:dyDescent="0.25">
      <c r="A1565" s="1" t="str">
        <f>HYPERLINK("https://lynxcrm-apac--c.eu19.visual.force.com/0011i000001xoimAAA","Gay, Pin Pin Janice")</f>
        <v>Gay, Pin Pin Janice</v>
      </c>
      <c r="B1565" t="s">
        <v>3447</v>
      </c>
      <c r="C1565" t="s">
        <v>28</v>
      </c>
      <c r="D1565" t="s">
        <v>392</v>
      </c>
      <c r="E1565" t="s">
        <v>8</v>
      </c>
      <c r="F1565" t="s">
        <v>393</v>
      </c>
      <c r="G1565" t="s">
        <v>394</v>
      </c>
      <c r="H1565" t="s">
        <v>395</v>
      </c>
      <c r="I1565" t="s">
        <v>396</v>
      </c>
    </row>
    <row r="1566" spans="1:9" x14ac:dyDescent="0.25">
      <c r="A1566" s="1" t="str">
        <f>HYPERLINK("https://lynxcrm-apac--c.eu19.visual.force.com/0011i000001xnLeAAI","G Chee Ear Nose Throat Sinus &amp; Dizziness Centre")</f>
        <v>G Chee Ear Nose Throat Sinus &amp; Dizziness Centre</v>
      </c>
      <c r="B1566" t="s">
        <v>3448</v>
      </c>
      <c r="C1566" t="s">
        <v>10</v>
      </c>
      <c r="D1566" t="s">
        <v>8</v>
      </c>
      <c r="E1566" t="s">
        <v>8</v>
      </c>
      <c r="F1566" t="s">
        <v>377</v>
      </c>
      <c r="G1566" t="s">
        <v>1506</v>
      </c>
      <c r="H1566" t="s">
        <v>1507</v>
      </c>
      <c r="I1566" t="s">
        <v>85</v>
      </c>
    </row>
    <row r="1567" spans="1:9" x14ac:dyDescent="0.25">
      <c r="A1567" s="1" t="str">
        <f>HYPERLINK("https://lynxcrm-apac--c.eu19.visual.force.com/0011i000001xnBmAAI","Geylang Bahru Clinic")</f>
        <v>Geylang Bahru Clinic</v>
      </c>
      <c r="B1567" t="s">
        <v>3449</v>
      </c>
      <c r="C1567" t="s">
        <v>10</v>
      </c>
      <c r="D1567" t="s">
        <v>8</v>
      </c>
      <c r="E1567" t="s">
        <v>8</v>
      </c>
      <c r="F1567" t="s">
        <v>3450</v>
      </c>
      <c r="G1567" t="s">
        <v>3451</v>
      </c>
      <c r="H1567" t="s">
        <v>3452</v>
      </c>
      <c r="I1567" t="s">
        <v>3453</v>
      </c>
    </row>
    <row r="1568" spans="1:9" x14ac:dyDescent="0.25">
      <c r="A1568" s="1" t="str">
        <f>HYPERLINK("https://lynxcrm-apac--c.eu19.visual.force.com/0011i000001xnIqAAI","Geylang Polyclinic")</f>
        <v>Geylang Polyclinic</v>
      </c>
      <c r="B1568" t="s">
        <v>3454</v>
      </c>
      <c r="C1568" t="s">
        <v>10</v>
      </c>
      <c r="D1568" t="s">
        <v>8</v>
      </c>
      <c r="E1568" t="s">
        <v>8</v>
      </c>
      <c r="F1568" t="s">
        <v>57</v>
      </c>
      <c r="G1568" t="s">
        <v>57</v>
      </c>
      <c r="H1568" t="s">
        <v>1275</v>
      </c>
      <c r="I1568" t="s">
        <v>59</v>
      </c>
    </row>
    <row r="1569" spans="1:9" x14ac:dyDescent="0.25">
      <c r="A1569" s="1" t="str">
        <f>HYPERLINK("https://lynxcrm-apac--c.eu19.visual.force.com/0011i000001xmzqAAA","Geylang Polyclinic")</f>
        <v>Geylang Polyclinic</v>
      </c>
      <c r="B1569" t="s">
        <v>3455</v>
      </c>
      <c r="C1569" t="s">
        <v>10</v>
      </c>
      <c r="D1569" t="s">
        <v>8</v>
      </c>
      <c r="E1569" t="s">
        <v>8</v>
      </c>
      <c r="F1569" t="s">
        <v>57</v>
      </c>
      <c r="G1569" t="s">
        <v>57</v>
      </c>
      <c r="H1569" t="s">
        <v>1275</v>
      </c>
      <c r="I1569" t="s">
        <v>59</v>
      </c>
    </row>
    <row r="1570" spans="1:9" x14ac:dyDescent="0.25">
      <c r="A1570" s="1" t="str">
        <f>HYPERLINK("https://lynxcrm-apac--c.eu19.visual.force.com/0011i000001xnJIAAY","Geylang Polyclinic")</f>
        <v>Geylang Polyclinic</v>
      </c>
      <c r="B1570" t="s">
        <v>3456</v>
      </c>
      <c r="C1570" t="s">
        <v>10</v>
      </c>
      <c r="D1570" t="s">
        <v>8</v>
      </c>
      <c r="E1570" t="s">
        <v>8</v>
      </c>
      <c r="F1570" t="s">
        <v>57</v>
      </c>
      <c r="G1570" t="s">
        <v>57</v>
      </c>
      <c r="H1570" t="s">
        <v>1275</v>
      </c>
      <c r="I1570" t="s">
        <v>59</v>
      </c>
    </row>
    <row r="1571" spans="1:9" x14ac:dyDescent="0.25">
      <c r="A1571" s="1" t="str">
        <f>HYPERLINK("https://lynxcrm-apac--c.eu19.visual.force.com/0011i000001xnPtAAI","Geylang Polyclinic")</f>
        <v>Geylang Polyclinic</v>
      </c>
      <c r="B1571" t="s">
        <v>3457</v>
      </c>
      <c r="C1571" t="s">
        <v>10</v>
      </c>
      <c r="D1571" t="s">
        <v>8</v>
      </c>
      <c r="E1571" t="s">
        <v>8</v>
      </c>
      <c r="F1571" t="s">
        <v>57</v>
      </c>
      <c r="G1571" t="s">
        <v>57</v>
      </c>
      <c r="H1571" t="s">
        <v>1275</v>
      </c>
      <c r="I1571" t="s">
        <v>59</v>
      </c>
    </row>
    <row r="1572" spans="1:9" x14ac:dyDescent="0.25">
      <c r="A1572" s="1" t="str">
        <f>HYPERLINK("https://lynxcrm-apac--c.eu19.visual.force.com/0011i000001xnViAAI","Geylang Polyclinic")</f>
        <v>Geylang Polyclinic</v>
      </c>
      <c r="B1572" t="s">
        <v>3458</v>
      </c>
      <c r="C1572" t="s">
        <v>10</v>
      </c>
      <c r="D1572" t="s">
        <v>8</v>
      </c>
      <c r="E1572" t="s">
        <v>8</v>
      </c>
      <c r="F1572" t="s">
        <v>57</v>
      </c>
      <c r="G1572" t="s">
        <v>57</v>
      </c>
      <c r="H1572" t="s">
        <v>8</v>
      </c>
      <c r="I1572" t="s">
        <v>59</v>
      </c>
    </row>
    <row r="1573" spans="1:9" x14ac:dyDescent="0.25">
      <c r="A1573" s="1" t="str">
        <f>HYPERLINK("https://lynxcrm-apac--c.eu19.visual.force.com/0011i000001xn4vAAA","Geylang Polyclinic")</f>
        <v>Geylang Polyclinic</v>
      </c>
      <c r="B1573" t="s">
        <v>3459</v>
      </c>
      <c r="C1573" t="s">
        <v>10</v>
      </c>
      <c r="D1573" t="s">
        <v>8</v>
      </c>
      <c r="E1573" t="s">
        <v>8</v>
      </c>
      <c r="F1573" t="s">
        <v>57</v>
      </c>
      <c r="G1573" t="s">
        <v>57</v>
      </c>
      <c r="H1573" t="s">
        <v>1275</v>
      </c>
      <c r="I1573" t="s">
        <v>59</v>
      </c>
    </row>
    <row r="1574" spans="1:9" x14ac:dyDescent="0.25">
      <c r="A1574" s="1" t="str">
        <f>HYPERLINK("https://lynxcrm-apac--c.eu19.visual.force.com/0011i000001xnJHAAY","Geylang Polyclinic")</f>
        <v>Geylang Polyclinic</v>
      </c>
      <c r="B1574" t="s">
        <v>3460</v>
      </c>
      <c r="C1574" t="s">
        <v>10</v>
      </c>
      <c r="D1574" t="s">
        <v>8</v>
      </c>
      <c r="E1574" t="s">
        <v>8</v>
      </c>
      <c r="F1574" t="s">
        <v>57</v>
      </c>
      <c r="G1574" t="s">
        <v>57</v>
      </c>
      <c r="H1574" t="s">
        <v>1275</v>
      </c>
      <c r="I1574" t="s">
        <v>59</v>
      </c>
    </row>
    <row r="1575" spans="1:9" x14ac:dyDescent="0.25">
      <c r="A1575" s="1" t="str">
        <f>HYPERLINK("https://lynxcrm-apac--c.eu19.visual.force.com/0011i000001xnKFAAY","Geylang Polyclinic")</f>
        <v>Geylang Polyclinic</v>
      </c>
      <c r="B1575" t="s">
        <v>3461</v>
      </c>
      <c r="C1575" t="s">
        <v>10</v>
      </c>
      <c r="D1575" t="s">
        <v>8</v>
      </c>
      <c r="E1575" t="s">
        <v>8</v>
      </c>
      <c r="F1575" t="s">
        <v>57</v>
      </c>
      <c r="G1575" t="s">
        <v>57</v>
      </c>
      <c r="H1575" t="s">
        <v>1275</v>
      </c>
      <c r="I1575" t="s">
        <v>59</v>
      </c>
    </row>
    <row r="1576" spans="1:9" x14ac:dyDescent="0.25">
      <c r="A1576" s="1" t="str">
        <f>HYPERLINK("https://lynxcrm-apac--c.eu19.visual.force.com/0011i000001xnLjAAI","Geylang Polyclinic")</f>
        <v>Geylang Polyclinic</v>
      </c>
      <c r="B1576" t="s">
        <v>3462</v>
      </c>
      <c r="C1576" t="s">
        <v>10</v>
      </c>
      <c r="D1576" t="s">
        <v>8</v>
      </c>
      <c r="E1576" t="s">
        <v>8</v>
      </c>
      <c r="F1576" t="s">
        <v>1274</v>
      </c>
      <c r="G1576" t="s">
        <v>57</v>
      </c>
      <c r="H1576" t="s">
        <v>1275</v>
      </c>
      <c r="I1576" t="s">
        <v>59</v>
      </c>
    </row>
    <row r="1577" spans="1:9" x14ac:dyDescent="0.25">
      <c r="A1577" s="1" t="str">
        <f>HYPERLINK("https://lynxcrm-apac--c.eu19.visual.force.com/0011i000001xnSIAAY","Geylang Polyclinic")</f>
        <v>Geylang Polyclinic</v>
      </c>
      <c r="B1577" t="s">
        <v>3463</v>
      </c>
      <c r="C1577" t="s">
        <v>10</v>
      </c>
      <c r="D1577" t="s">
        <v>8</v>
      </c>
      <c r="E1577" t="s">
        <v>8</v>
      </c>
      <c r="F1577" t="s">
        <v>57</v>
      </c>
      <c r="G1577" t="s">
        <v>57</v>
      </c>
      <c r="H1577" t="s">
        <v>1275</v>
      </c>
      <c r="I1577" t="s">
        <v>59</v>
      </c>
    </row>
    <row r="1578" spans="1:9" x14ac:dyDescent="0.25">
      <c r="A1578" s="1" t="str">
        <f>HYPERLINK("https://lynxcrm-apac--c.eu19.visual.force.com/0011i000001xn98AAA","Geylang Serai Clinic")</f>
        <v>Geylang Serai Clinic</v>
      </c>
      <c r="B1578" t="s">
        <v>3464</v>
      </c>
      <c r="C1578" t="s">
        <v>10</v>
      </c>
      <c r="D1578" t="s">
        <v>8</v>
      </c>
      <c r="E1578" t="s">
        <v>8</v>
      </c>
      <c r="F1578" t="s">
        <v>3465</v>
      </c>
      <c r="G1578" t="s">
        <v>3465</v>
      </c>
      <c r="H1578" t="s">
        <v>3466</v>
      </c>
      <c r="I1578" t="s">
        <v>3467</v>
      </c>
    </row>
    <row r="1579" spans="1:9" x14ac:dyDescent="0.25">
      <c r="A1579" s="1" t="str">
        <f>HYPERLINK("https://lynxcrm-apac--c.eu19.visual.force.com/0011i000001xoKcAAI","Ghazali, Mohamed")</f>
        <v>Ghazali, Mohamed</v>
      </c>
      <c r="B1579" t="s">
        <v>3468</v>
      </c>
      <c r="C1579" t="s">
        <v>28</v>
      </c>
      <c r="D1579" t="s">
        <v>637</v>
      </c>
      <c r="E1579" t="s">
        <v>8</v>
      </c>
      <c r="F1579" t="s">
        <v>638</v>
      </c>
      <c r="G1579" t="s">
        <v>1515</v>
      </c>
      <c r="H1579" t="s">
        <v>1515</v>
      </c>
      <c r="I1579" t="s">
        <v>640</v>
      </c>
    </row>
    <row r="1580" spans="1:9" x14ac:dyDescent="0.25">
      <c r="A1580" s="1" t="str">
        <f>HYPERLINK("https://lynxcrm-apac--c.eu19.visual.force.com/0011i00000XhmZ3AAJ","GI Associates Gastroenterology")</f>
        <v>GI Associates Gastroenterology</v>
      </c>
      <c r="B1580" t="s">
        <v>3469</v>
      </c>
      <c r="C1580" t="s">
        <v>10</v>
      </c>
      <c r="D1580" t="s">
        <v>3436</v>
      </c>
      <c r="E1580" t="s">
        <v>8</v>
      </c>
      <c r="F1580" t="s">
        <v>2346</v>
      </c>
      <c r="G1580" t="s">
        <v>2346</v>
      </c>
      <c r="H1580" t="s">
        <v>8</v>
      </c>
      <c r="I1580" t="s">
        <v>67</v>
      </c>
    </row>
    <row r="1581" spans="1:9" x14ac:dyDescent="0.25">
      <c r="A1581" s="1" t="str">
        <f>HYPERLINK("https://lynxcrm-apac--c.eu19.visual.force.com/0011i000001xoRsAAI","Gill, Shiv")</f>
        <v>Gill, Shiv</v>
      </c>
      <c r="B1581" t="s">
        <v>3470</v>
      </c>
      <c r="C1581" t="s">
        <v>28</v>
      </c>
      <c r="D1581" t="s">
        <v>3471</v>
      </c>
      <c r="E1581" t="s">
        <v>8</v>
      </c>
      <c r="F1581" t="s">
        <v>3472</v>
      </c>
      <c r="G1581" t="s">
        <v>3472</v>
      </c>
      <c r="H1581" t="s">
        <v>8</v>
      </c>
      <c r="I1581" t="s">
        <v>3473</v>
      </c>
    </row>
    <row r="1582" spans="1:9" x14ac:dyDescent="0.25">
      <c r="A1582" s="1" t="str">
        <f>HYPERLINK("https://lynxcrm-apac--c.eu19.visual.force.com/0011i000001xnVOAAY","Gleneagles Medical Centre - Even")</f>
        <v>Gleneagles Medical Centre - Even</v>
      </c>
      <c r="B1582" t="s">
        <v>3474</v>
      </c>
      <c r="C1582" t="s">
        <v>10</v>
      </c>
      <c r="D1582" t="s">
        <v>8</v>
      </c>
      <c r="E1582" t="s">
        <v>8</v>
      </c>
      <c r="F1582" t="s">
        <v>2346</v>
      </c>
      <c r="G1582" t="s">
        <v>2346</v>
      </c>
      <c r="H1582" t="s">
        <v>8</v>
      </c>
      <c r="I1582" t="s">
        <v>67</v>
      </c>
    </row>
    <row r="1583" spans="1:9" x14ac:dyDescent="0.25">
      <c r="A1583" s="1" t="str">
        <f>HYPERLINK("https://lynxcrm-apac--c.eu19.visual.force.com/0011i000001xnTjAAI","Gleneagles Medical Centre - Odd")</f>
        <v>Gleneagles Medical Centre - Odd</v>
      </c>
      <c r="B1583" t="s">
        <v>3475</v>
      </c>
      <c r="C1583" t="s">
        <v>10</v>
      </c>
      <c r="D1583" t="s">
        <v>8</v>
      </c>
      <c r="E1583" t="s">
        <v>8</v>
      </c>
      <c r="F1583" t="s">
        <v>69</v>
      </c>
      <c r="G1583" t="s">
        <v>1040</v>
      </c>
      <c r="H1583" t="s">
        <v>1040</v>
      </c>
      <c r="I1583" t="s">
        <v>67</v>
      </c>
    </row>
    <row r="1584" spans="1:9" x14ac:dyDescent="0.25">
      <c r="A1584" s="1" t="str">
        <f>HYPERLINK("https://lynxcrm-apac--c.eu19.visual.force.com/0011i000001xnGvAAI","Global Medical Centre")</f>
        <v>Global Medical Centre</v>
      </c>
      <c r="B1584" t="s">
        <v>3476</v>
      </c>
      <c r="C1584" t="s">
        <v>10</v>
      </c>
      <c r="D1584" t="s">
        <v>8</v>
      </c>
      <c r="E1584" t="s">
        <v>8</v>
      </c>
      <c r="F1584" t="s">
        <v>3477</v>
      </c>
      <c r="G1584" t="s">
        <v>3478</v>
      </c>
      <c r="H1584" t="s">
        <v>3479</v>
      </c>
      <c r="I1584" t="s">
        <v>3480</v>
      </c>
    </row>
    <row r="1585" spans="1:9" x14ac:dyDescent="0.25">
      <c r="A1585" s="1" t="str">
        <f>HYPERLINK("https://lynxcrm-apac--c.eu19.visual.force.com/0011i000001xmpFAAQ","Global Network Medical Centre")</f>
        <v>Global Network Medical Centre</v>
      </c>
      <c r="B1585" t="s">
        <v>3481</v>
      </c>
      <c r="C1585" t="s">
        <v>10</v>
      </c>
      <c r="D1585" t="s">
        <v>8</v>
      </c>
      <c r="E1585" t="s">
        <v>8</v>
      </c>
      <c r="F1585" t="s">
        <v>1086</v>
      </c>
      <c r="G1585" t="s">
        <v>3482</v>
      </c>
      <c r="H1585" t="s">
        <v>3482</v>
      </c>
      <c r="I1585" t="s">
        <v>1089</v>
      </c>
    </row>
    <row r="1586" spans="1:9" x14ac:dyDescent="0.25">
      <c r="A1586" s="1" t="str">
        <f>HYPERLINK("https://lynxcrm-apac--c.eu19.visual.force.com/0011i000001xnzUAAQ","Go, Yun Yun")</f>
        <v>Go, Yun Yun</v>
      </c>
      <c r="B1586" t="s">
        <v>3483</v>
      </c>
      <c r="C1586" t="s">
        <v>28</v>
      </c>
      <c r="D1586" t="s">
        <v>1486</v>
      </c>
      <c r="E1586" t="s">
        <v>8</v>
      </c>
      <c r="F1586" t="s">
        <v>1486</v>
      </c>
      <c r="G1586" t="s">
        <v>1487</v>
      </c>
      <c r="H1586" t="s">
        <v>1487</v>
      </c>
      <c r="I1586" t="s">
        <v>1488</v>
      </c>
    </row>
    <row r="1587" spans="1:9" x14ac:dyDescent="0.25">
      <c r="A1587" s="1" t="str">
        <f>HYPERLINK("https://lynxcrm-apac--c.eu19.visual.force.com/0011i000001xokOAAQ","Gobinathan, Devathasan")</f>
        <v>Gobinathan, Devathasan</v>
      </c>
      <c r="B1587" t="s">
        <v>3484</v>
      </c>
      <c r="C1587" t="s">
        <v>28</v>
      </c>
      <c r="D1587" t="s">
        <v>3485</v>
      </c>
      <c r="E1587" t="s">
        <v>8</v>
      </c>
      <c r="F1587" t="s">
        <v>377</v>
      </c>
      <c r="G1587" t="s">
        <v>3486</v>
      </c>
      <c r="H1587" t="s">
        <v>3487</v>
      </c>
      <c r="I1587" t="s">
        <v>123</v>
      </c>
    </row>
    <row r="1588" spans="1:9" x14ac:dyDescent="0.25">
      <c r="A1588" s="1" t="str">
        <f>HYPERLINK("https://lynxcrm-apac--c.eu19.visual.force.com/0011i000001xokQAAQ","Goh, Ban Cheng Melvin")</f>
        <v>Goh, Ban Cheng Melvin</v>
      </c>
      <c r="B1588" t="s">
        <v>3488</v>
      </c>
      <c r="C1588" t="s">
        <v>28</v>
      </c>
      <c r="D1588" t="s">
        <v>3489</v>
      </c>
      <c r="E1588" t="s">
        <v>8</v>
      </c>
      <c r="F1588" t="s">
        <v>679</v>
      </c>
      <c r="G1588" t="s">
        <v>3490</v>
      </c>
      <c r="H1588" t="s">
        <v>3491</v>
      </c>
      <c r="I1588" t="s">
        <v>115</v>
      </c>
    </row>
    <row r="1589" spans="1:9" x14ac:dyDescent="0.25">
      <c r="A1589" s="1" t="str">
        <f>HYPERLINK("https://lynxcrm-apac--c.eu19.visual.force.com/0011i000001xokaAAA","Goh, Cheng Hong")</f>
        <v>Goh, Cheng Hong</v>
      </c>
      <c r="B1589" t="s">
        <v>3492</v>
      </c>
      <c r="C1589" t="s">
        <v>28</v>
      </c>
      <c r="D1589" t="s">
        <v>3493</v>
      </c>
      <c r="E1589" t="s">
        <v>8</v>
      </c>
      <c r="F1589" t="s">
        <v>3494</v>
      </c>
      <c r="G1589" t="s">
        <v>16</v>
      </c>
      <c r="H1589" t="s">
        <v>3495</v>
      </c>
      <c r="I1589" t="s">
        <v>18</v>
      </c>
    </row>
    <row r="1590" spans="1:9" x14ac:dyDescent="0.25">
      <c r="A1590" s="1" t="str">
        <f>HYPERLINK("https://lynxcrm-apac--c.eu19.visual.force.com/0011i000001xoOgAAI","Goh, Chiew Kai")</f>
        <v>Goh, Chiew Kai</v>
      </c>
      <c r="B1590" t="s">
        <v>3496</v>
      </c>
      <c r="C1590" t="s">
        <v>28</v>
      </c>
      <c r="D1590" t="s">
        <v>3497</v>
      </c>
      <c r="E1590" t="s">
        <v>8</v>
      </c>
      <c r="F1590" t="s">
        <v>3498</v>
      </c>
      <c r="G1590" t="s">
        <v>3499</v>
      </c>
      <c r="H1590" t="s">
        <v>3499</v>
      </c>
      <c r="I1590" t="s">
        <v>3500</v>
      </c>
    </row>
    <row r="1591" spans="1:9" x14ac:dyDescent="0.25">
      <c r="A1591" s="1" t="str">
        <f>HYPERLINK("https://lynxcrm-apac--c.eu19.visual.force.com/0011i000001xoLUAAY","Goh, Chin Chin")</f>
        <v>Goh, Chin Chin</v>
      </c>
      <c r="B1591" t="s">
        <v>3501</v>
      </c>
      <c r="C1591" t="s">
        <v>28</v>
      </c>
      <c r="D1591" t="s">
        <v>701</v>
      </c>
      <c r="E1591" t="s">
        <v>8</v>
      </c>
      <c r="F1591" t="s">
        <v>1123</v>
      </c>
      <c r="G1591" t="s">
        <v>1123</v>
      </c>
      <c r="H1591" t="s">
        <v>1124</v>
      </c>
      <c r="I1591" t="s">
        <v>703</v>
      </c>
    </row>
    <row r="1592" spans="1:9" x14ac:dyDescent="0.25">
      <c r="A1592" s="1" t="str">
        <f>HYPERLINK("https://lynxcrm-apac--c.eu19.visual.force.com/0011i000001xokgAAA","Goh, Ching Luck Peter")</f>
        <v>Goh, Ching Luck Peter</v>
      </c>
      <c r="B1592" t="s">
        <v>3502</v>
      </c>
      <c r="C1592" t="s">
        <v>28</v>
      </c>
      <c r="D1592" t="s">
        <v>3503</v>
      </c>
      <c r="E1592" t="s">
        <v>8</v>
      </c>
      <c r="F1592" t="s">
        <v>456</v>
      </c>
      <c r="G1592" t="s">
        <v>2866</v>
      </c>
      <c r="H1592" t="s">
        <v>2867</v>
      </c>
      <c r="I1592" t="s">
        <v>458</v>
      </c>
    </row>
    <row r="1593" spans="1:9" x14ac:dyDescent="0.25">
      <c r="A1593" s="1" t="str">
        <f>HYPERLINK("https://lynxcrm-apac--c.eu19.visual.force.com/0011i000001xokeAAA","Goh, Chin Liang Malcolm Basil")</f>
        <v>Goh, Chin Liang Malcolm Basil</v>
      </c>
      <c r="B1593" t="s">
        <v>3504</v>
      </c>
      <c r="C1593" t="s">
        <v>28</v>
      </c>
      <c r="D1593" t="s">
        <v>3505</v>
      </c>
      <c r="E1593" t="s">
        <v>8</v>
      </c>
      <c r="F1593" t="s">
        <v>3506</v>
      </c>
      <c r="G1593" t="s">
        <v>3507</v>
      </c>
      <c r="H1593" t="s">
        <v>3508</v>
      </c>
      <c r="I1593" t="s">
        <v>3509</v>
      </c>
    </row>
    <row r="1594" spans="1:9" x14ac:dyDescent="0.25">
      <c r="A1594" s="1" t="str">
        <f>HYPERLINK("https://lynxcrm-apac--c.eu19.visual.force.com/0011i000001xokeAAA","Goh, Chin Liang Malcolm Basil")</f>
        <v>Goh, Chin Liang Malcolm Basil</v>
      </c>
      <c r="B1594" t="s">
        <v>3504</v>
      </c>
      <c r="C1594" t="s">
        <v>28</v>
      </c>
      <c r="D1594" t="s">
        <v>3505</v>
      </c>
      <c r="E1594" t="s">
        <v>8</v>
      </c>
      <c r="F1594" t="s">
        <v>3510</v>
      </c>
      <c r="G1594" t="s">
        <v>2132</v>
      </c>
      <c r="H1594" t="s">
        <v>3511</v>
      </c>
      <c r="I1594" t="s">
        <v>3512</v>
      </c>
    </row>
    <row r="1595" spans="1:9" x14ac:dyDescent="0.25">
      <c r="A1595" s="1" t="str">
        <f>HYPERLINK("https://lynxcrm-apac--c.eu19.visual.force.com/0011i000001xokjAAA","Goh, Hak Su")</f>
        <v>Goh, Hak Su</v>
      </c>
      <c r="B1595" t="s">
        <v>3513</v>
      </c>
      <c r="C1595" t="s">
        <v>28</v>
      </c>
      <c r="D1595" t="s">
        <v>3514</v>
      </c>
      <c r="E1595" t="s">
        <v>8</v>
      </c>
      <c r="F1595" t="s">
        <v>69</v>
      </c>
      <c r="G1595" t="s">
        <v>3515</v>
      </c>
      <c r="H1595" t="s">
        <v>3516</v>
      </c>
      <c r="I1595" t="s">
        <v>67</v>
      </c>
    </row>
    <row r="1596" spans="1:9" x14ac:dyDescent="0.25">
      <c r="A1596" s="1" t="str">
        <f>HYPERLINK("https://lynxcrm-apac--c.eu19.visual.force.com/0011i000001xokmAAA","Goh, Hoon Pur")</f>
        <v>Goh, Hoon Pur</v>
      </c>
      <c r="B1596" t="s">
        <v>3517</v>
      </c>
      <c r="C1596" t="s">
        <v>28</v>
      </c>
      <c r="D1596" t="s">
        <v>3518</v>
      </c>
      <c r="E1596" t="s">
        <v>8</v>
      </c>
      <c r="F1596" t="s">
        <v>3392</v>
      </c>
      <c r="G1596" t="s">
        <v>3393</v>
      </c>
      <c r="H1596" t="s">
        <v>3394</v>
      </c>
      <c r="I1596" t="s">
        <v>189</v>
      </c>
    </row>
    <row r="1597" spans="1:9" x14ac:dyDescent="0.25">
      <c r="A1597" s="1" t="str">
        <f>HYPERLINK("https://lynxcrm-apac--c.eu19.visual.force.com/0011i000001xoJmAAI","Goh, Jerome")</f>
        <v>Goh, Jerome</v>
      </c>
      <c r="B1597" t="s">
        <v>3519</v>
      </c>
      <c r="C1597" t="s">
        <v>28</v>
      </c>
      <c r="D1597" t="s">
        <v>815</v>
      </c>
      <c r="E1597" t="s">
        <v>8</v>
      </c>
      <c r="F1597" t="s">
        <v>3520</v>
      </c>
      <c r="G1597" t="s">
        <v>3521</v>
      </c>
      <c r="H1597" t="s">
        <v>3521</v>
      </c>
      <c r="I1597" t="s">
        <v>817</v>
      </c>
    </row>
    <row r="1598" spans="1:9" x14ac:dyDescent="0.25">
      <c r="A1598" s="1" t="str">
        <f>HYPERLINK("https://lynxcrm-apac--c.eu19.visual.force.com/0011i000001xoJ9AAI","Goh, Jin Hian")</f>
        <v>Goh, Jin Hian</v>
      </c>
      <c r="B1598" t="s">
        <v>3522</v>
      </c>
      <c r="C1598" t="s">
        <v>28</v>
      </c>
      <c r="D1598" t="s">
        <v>578</v>
      </c>
      <c r="E1598" t="s">
        <v>8</v>
      </c>
      <c r="F1598" t="s">
        <v>730</v>
      </c>
      <c r="G1598" t="s">
        <v>3523</v>
      </c>
      <c r="H1598" t="s">
        <v>3523</v>
      </c>
      <c r="I1598" t="s">
        <v>733</v>
      </c>
    </row>
    <row r="1599" spans="1:9" x14ac:dyDescent="0.25">
      <c r="A1599" s="1" t="str">
        <f>HYPERLINK("https://lynxcrm-apac--c.eu19.visual.force.com/0011i00000uRlrAAAS","Goh, Kar Cheng")</f>
        <v>Goh, Kar Cheng</v>
      </c>
      <c r="B1599" t="s">
        <v>3524</v>
      </c>
      <c r="C1599" t="s">
        <v>28</v>
      </c>
      <c r="D1599" t="s">
        <v>21</v>
      </c>
      <c r="E1599" t="s">
        <v>8</v>
      </c>
      <c r="F1599" t="s">
        <v>699</v>
      </c>
      <c r="G1599" t="s">
        <v>699</v>
      </c>
      <c r="H1599" t="s">
        <v>8</v>
      </c>
      <c r="I1599" t="s">
        <v>22</v>
      </c>
    </row>
    <row r="1600" spans="1:9" x14ac:dyDescent="0.25">
      <c r="A1600" s="1" t="str">
        <f>HYPERLINK("https://lynxcrm-apac--c.eu19.visual.force.com/0011i000007Dbp0AAC","Goh, Kelvin Tze Chien")</f>
        <v>Goh, Kelvin Tze Chien</v>
      </c>
      <c r="B1600" t="s">
        <v>3525</v>
      </c>
      <c r="C1600" t="s">
        <v>28</v>
      </c>
      <c r="D1600" t="s">
        <v>3526</v>
      </c>
      <c r="E1600" t="s">
        <v>8</v>
      </c>
      <c r="F1600" t="s">
        <v>3527</v>
      </c>
      <c r="G1600" t="s">
        <v>3528</v>
      </c>
      <c r="H1600" t="s">
        <v>3528</v>
      </c>
      <c r="I1600" t="s">
        <v>3529</v>
      </c>
    </row>
    <row r="1601" spans="1:9" x14ac:dyDescent="0.25">
      <c r="A1601" s="1" t="str">
        <f>HYPERLINK("https://lynxcrm-apac--c.eu19.visual.force.com/0011i000001xoktAAA","Goh, Khee Hock @ Goh")</f>
        <v>Goh, Khee Hock @ Goh</v>
      </c>
      <c r="B1601" t="s">
        <v>3530</v>
      </c>
      <c r="C1601" t="s">
        <v>28</v>
      </c>
      <c r="D1601" t="s">
        <v>3531</v>
      </c>
      <c r="E1601" t="s">
        <v>8</v>
      </c>
      <c r="F1601" t="s">
        <v>3532</v>
      </c>
      <c r="G1601" t="s">
        <v>803</v>
      </c>
      <c r="H1601" t="s">
        <v>803</v>
      </c>
      <c r="I1601" t="s">
        <v>1892</v>
      </c>
    </row>
    <row r="1602" spans="1:9" x14ac:dyDescent="0.25">
      <c r="A1602" s="1" t="str">
        <f>HYPERLINK("https://lynxcrm-apac--c.eu19.visual.force.com/0011i000001xoGRAAY","Goh, Kian Peng")</f>
        <v>Goh, Kian Peng</v>
      </c>
      <c r="B1602" t="s">
        <v>3533</v>
      </c>
      <c r="C1602" t="s">
        <v>28</v>
      </c>
      <c r="D1602" t="s">
        <v>3534</v>
      </c>
      <c r="E1602" t="s">
        <v>8</v>
      </c>
      <c r="F1602" t="s">
        <v>3535</v>
      </c>
      <c r="G1602" t="s">
        <v>1324</v>
      </c>
      <c r="H1602" t="s">
        <v>1324</v>
      </c>
      <c r="I1602" t="s">
        <v>200</v>
      </c>
    </row>
    <row r="1603" spans="1:9" x14ac:dyDescent="0.25">
      <c r="A1603" s="1" t="str">
        <f>HYPERLINK("https://lynxcrm-apac--c.eu19.visual.force.com/0011i000001xokvAAA","Goh, Kiat Seng")</f>
        <v>Goh, Kiat Seng</v>
      </c>
      <c r="B1603" t="s">
        <v>3536</v>
      </c>
      <c r="C1603" t="s">
        <v>28</v>
      </c>
      <c r="D1603" t="s">
        <v>1187</v>
      </c>
      <c r="E1603" t="s">
        <v>8</v>
      </c>
      <c r="F1603" t="s">
        <v>3537</v>
      </c>
      <c r="G1603" t="s">
        <v>3538</v>
      </c>
      <c r="H1603" t="s">
        <v>3539</v>
      </c>
      <c r="I1603" t="s">
        <v>3540</v>
      </c>
    </row>
    <row r="1604" spans="1:9" x14ac:dyDescent="0.25">
      <c r="A1604" s="1" t="str">
        <f>HYPERLINK("https://lynxcrm-apac--c.eu19.visual.force.com/0011i000001xoOWAAY","Goh, Kim Soon")</f>
        <v>Goh, Kim Soon</v>
      </c>
      <c r="B1604" t="s">
        <v>3541</v>
      </c>
      <c r="C1604" t="s">
        <v>28</v>
      </c>
      <c r="D1604" t="s">
        <v>3542</v>
      </c>
      <c r="E1604" t="s">
        <v>8</v>
      </c>
      <c r="F1604" t="s">
        <v>83</v>
      </c>
      <c r="G1604" t="s">
        <v>3543</v>
      </c>
      <c r="H1604" t="s">
        <v>3543</v>
      </c>
      <c r="I1604" t="s">
        <v>85</v>
      </c>
    </row>
    <row r="1605" spans="1:9" x14ac:dyDescent="0.25">
      <c r="A1605" s="1" t="str">
        <f>HYPERLINK("https://lynxcrm-apac--c.eu19.visual.force.com/0011i000001xokxAAA","Goh, King Hua")</f>
        <v>Goh, King Hua</v>
      </c>
      <c r="B1605" t="s">
        <v>3544</v>
      </c>
      <c r="C1605" t="s">
        <v>28</v>
      </c>
      <c r="D1605" t="s">
        <v>3545</v>
      </c>
      <c r="E1605" t="s">
        <v>8</v>
      </c>
      <c r="F1605" t="s">
        <v>3546</v>
      </c>
      <c r="G1605" t="s">
        <v>3547</v>
      </c>
      <c r="H1605" t="s">
        <v>3547</v>
      </c>
      <c r="I1605" t="s">
        <v>3548</v>
      </c>
    </row>
    <row r="1606" spans="1:9" x14ac:dyDescent="0.25">
      <c r="A1606" s="1" t="str">
        <f>HYPERLINK("https://lynxcrm-apac--c.eu19.visual.force.com/0011i000001xnysAAA","Goh, Kok Yew Jon")</f>
        <v>Goh, Kok Yew Jon</v>
      </c>
      <c r="B1606" t="s">
        <v>3549</v>
      </c>
      <c r="C1606" t="s">
        <v>28</v>
      </c>
      <c r="D1606" t="s">
        <v>1318</v>
      </c>
      <c r="E1606" t="s">
        <v>8</v>
      </c>
      <c r="F1606" t="s">
        <v>258</v>
      </c>
      <c r="G1606" t="s">
        <v>261</v>
      </c>
      <c r="H1606" t="s">
        <v>261</v>
      </c>
      <c r="I1606" t="s">
        <v>260</v>
      </c>
    </row>
    <row r="1607" spans="1:9" x14ac:dyDescent="0.25">
      <c r="A1607" s="1" t="str">
        <f>HYPERLINK("https://lynxcrm-apac--c.eu19.visual.force.com/0011i000001xnysAAA","Goh, Kok Yew Jon")</f>
        <v>Goh, Kok Yew Jon</v>
      </c>
      <c r="B1607" t="s">
        <v>3549</v>
      </c>
      <c r="C1607" t="s">
        <v>28</v>
      </c>
      <c r="D1607" t="s">
        <v>261</v>
      </c>
      <c r="E1607" t="s">
        <v>8</v>
      </c>
      <c r="F1607" t="s">
        <v>261</v>
      </c>
      <c r="G1607" t="s">
        <v>347</v>
      </c>
      <c r="H1607" t="s">
        <v>347</v>
      </c>
      <c r="I1607" t="s">
        <v>260</v>
      </c>
    </row>
    <row r="1608" spans="1:9" x14ac:dyDescent="0.25">
      <c r="A1608" s="1" t="str">
        <f>HYPERLINK("https://lynxcrm-apac--c.eu19.visual.force.com/0011i000001xol0AAA","Goh, Kong Tek")</f>
        <v>Goh, Kong Tek</v>
      </c>
      <c r="B1608" t="s">
        <v>3550</v>
      </c>
      <c r="C1608" t="s">
        <v>28</v>
      </c>
      <c r="D1608" t="s">
        <v>3551</v>
      </c>
      <c r="E1608" t="s">
        <v>8</v>
      </c>
      <c r="F1608" t="s">
        <v>3552</v>
      </c>
      <c r="G1608" t="s">
        <v>2906</v>
      </c>
      <c r="H1608" t="s">
        <v>3553</v>
      </c>
      <c r="I1608" t="s">
        <v>3554</v>
      </c>
    </row>
    <row r="1609" spans="1:9" x14ac:dyDescent="0.25">
      <c r="A1609" s="1" t="str">
        <f>HYPERLINK("https://lynxcrm-apac--c.eu19.visual.force.com/0011i000001xnyxAAA","Goh, Kong Yong")</f>
        <v>Goh, Kong Yong</v>
      </c>
      <c r="B1609" t="s">
        <v>3555</v>
      </c>
      <c r="C1609" t="s">
        <v>28</v>
      </c>
      <c r="D1609" t="s">
        <v>583</v>
      </c>
      <c r="E1609" t="s">
        <v>8</v>
      </c>
      <c r="F1609" t="s">
        <v>583</v>
      </c>
      <c r="G1609" t="s">
        <v>584</v>
      </c>
      <c r="H1609" t="s">
        <v>584</v>
      </c>
      <c r="I1609" t="s">
        <v>585</v>
      </c>
    </row>
    <row r="1610" spans="1:9" x14ac:dyDescent="0.25">
      <c r="A1610" s="1" t="str">
        <f>HYPERLINK("https://lynxcrm-apac--c.eu19.visual.force.com/0011i000001xnyxAAA","Goh, Kong Yong")</f>
        <v>Goh, Kong Yong</v>
      </c>
      <c r="B1610" t="s">
        <v>3555</v>
      </c>
      <c r="C1610" t="s">
        <v>28</v>
      </c>
      <c r="D1610" t="s">
        <v>3556</v>
      </c>
      <c r="E1610" t="s">
        <v>8</v>
      </c>
      <c r="F1610" t="s">
        <v>584</v>
      </c>
      <c r="G1610" t="s">
        <v>583</v>
      </c>
      <c r="H1610" t="s">
        <v>583</v>
      </c>
      <c r="I1610" t="s">
        <v>585</v>
      </c>
    </row>
    <row r="1611" spans="1:9" x14ac:dyDescent="0.25">
      <c r="A1611" s="1" t="str">
        <f>HYPERLINK("https://lynxcrm-apac--c.eu19.visual.force.com/0011i000001xoGOAAY","Goh, Lee Gan")</f>
        <v>Goh, Lee Gan</v>
      </c>
      <c r="B1611" t="s">
        <v>3557</v>
      </c>
      <c r="C1611" t="s">
        <v>28</v>
      </c>
      <c r="D1611" t="s">
        <v>3558</v>
      </c>
      <c r="E1611" t="s">
        <v>8</v>
      </c>
      <c r="F1611" t="s">
        <v>3559</v>
      </c>
      <c r="G1611" t="s">
        <v>3560</v>
      </c>
      <c r="H1611" t="s">
        <v>3560</v>
      </c>
      <c r="I1611" t="s">
        <v>3561</v>
      </c>
    </row>
    <row r="1612" spans="1:9" x14ac:dyDescent="0.25">
      <c r="A1612" s="1" t="str">
        <f>HYPERLINK("https://lynxcrm-apac--c.eu19.visual.force.com/0011i000001xoXXAAY","Goh, Meng Huat")</f>
        <v>Goh, Meng Huat</v>
      </c>
      <c r="B1612" t="s">
        <v>3562</v>
      </c>
      <c r="C1612" t="s">
        <v>28</v>
      </c>
      <c r="D1612" t="s">
        <v>3563</v>
      </c>
      <c r="E1612" t="s">
        <v>8</v>
      </c>
      <c r="F1612" t="s">
        <v>452</v>
      </c>
      <c r="G1612" t="s">
        <v>449</v>
      </c>
      <c r="H1612" t="s">
        <v>449</v>
      </c>
      <c r="I1612" t="s">
        <v>454</v>
      </c>
    </row>
    <row r="1613" spans="1:9" x14ac:dyDescent="0.25">
      <c r="A1613" s="1" t="str">
        <f>HYPERLINK("https://lynxcrm-apac--c.eu19.visual.force.com/0011i000001xoXXAAY","Goh, Meng Huat")</f>
        <v>Goh, Meng Huat</v>
      </c>
      <c r="B1613" t="s">
        <v>3562</v>
      </c>
      <c r="C1613" t="s">
        <v>28</v>
      </c>
      <c r="D1613" t="s">
        <v>449</v>
      </c>
      <c r="E1613" t="s">
        <v>8</v>
      </c>
      <c r="F1613" t="s">
        <v>450</v>
      </c>
      <c r="G1613" t="s">
        <v>449</v>
      </c>
      <c r="H1613" t="s">
        <v>449</v>
      </c>
      <c r="I1613" t="s">
        <v>451</v>
      </c>
    </row>
    <row r="1614" spans="1:9" x14ac:dyDescent="0.25">
      <c r="A1614" s="1" t="str">
        <f>HYPERLINK("https://lynxcrm-apac--c.eu19.visual.force.com/0011i000001xoXXAAY","Goh, Meng Huat")</f>
        <v>Goh, Meng Huat</v>
      </c>
      <c r="B1614" t="s">
        <v>3562</v>
      </c>
      <c r="C1614" t="s">
        <v>28</v>
      </c>
      <c r="D1614" t="s">
        <v>449</v>
      </c>
      <c r="E1614" t="s">
        <v>8</v>
      </c>
      <c r="F1614" t="s">
        <v>234</v>
      </c>
      <c r="G1614" t="s">
        <v>452</v>
      </c>
      <c r="H1614" t="s">
        <v>453</v>
      </c>
      <c r="I1614" t="s">
        <v>454</v>
      </c>
    </row>
    <row r="1615" spans="1:9" x14ac:dyDescent="0.25">
      <c r="A1615" s="1" t="str">
        <f>HYPERLINK("https://lynxcrm-apac--c.eu19.visual.force.com/0011i000001xol4AAA","Goh, Miah Kiang Oswald")</f>
        <v>Goh, Miah Kiang Oswald</v>
      </c>
      <c r="B1615" t="s">
        <v>3564</v>
      </c>
      <c r="C1615" t="s">
        <v>28</v>
      </c>
      <c r="D1615" t="s">
        <v>3565</v>
      </c>
      <c r="E1615" t="s">
        <v>8</v>
      </c>
      <c r="F1615" t="s">
        <v>653</v>
      </c>
      <c r="G1615" t="s">
        <v>654</v>
      </c>
      <c r="H1615" t="s">
        <v>655</v>
      </c>
      <c r="I1615" t="s">
        <v>656</v>
      </c>
    </row>
    <row r="1616" spans="1:9" x14ac:dyDescent="0.25">
      <c r="A1616" s="1" t="str">
        <f>HYPERLINK("https://lynxcrm-apac--c.eu19.visual.force.com/0011i000001xooNAAQ","Goh, Ming Hui")</f>
        <v>Goh, Ming Hui</v>
      </c>
      <c r="B1616" t="s">
        <v>3566</v>
      </c>
      <c r="C1616" t="s">
        <v>28</v>
      </c>
      <c r="D1616" t="s">
        <v>251</v>
      </c>
      <c r="E1616" t="s">
        <v>8</v>
      </c>
      <c r="F1616" t="s">
        <v>251</v>
      </c>
      <c r="G1616" t="s">
        <v>252</v>
      </c>
      <c r="H1616" t="s">
        <v>252</v>
      </c>
      <c r="I1616" t="s">
        <v>253</v>
      </c>
    </row>
    <row r="1617" spans="1:9" x14ac:dyDescent="0.25">
      <c r="A1617" s="1" t="str">
        <f>HYPERLINK("https://lynxcrm-apac--c.eu19.visual.force.com/0011i00000X9NVtAAN","Goh, Peter")</f>
        <v>Goh, Peter</v>
      </c>
      <c r="B1617" t="s">
        <v>3567</v>
      </c>
      <c r="C1617" t="s">
        <v>28</v>
      </c>
      <c r="D1617" t="s">
        <v>3568</v>
      </c>
      <c r="E1617" t="s">
        <v>8</v>
      </c>
      <c r="F1617" t="s">
        <v>317</v>
      </c>
      <c r="G1617" t="s">
        <v>318</v>
      </c>
      <c r="H1617" t="s">
        <v>319</v>
      </c>
      <c r="I1617" t="s">
        <v>85</v>
      </c>
    </row>
    <row r="1618" spans="1:9" x14ac:dyDescent="0.25">
      <c r="A1618" s="1" t="str">
        <f>HYPERLINK("https://lynxcrm-apac--c.eu19.visual.force.com/0011i000001xolCAAQ","Goh, Pi Hian Jennifer")</f>
        <v>Goh, Pi Hian Jennifer</v>
      </c>
      <c r="B1618" t="s">
        <v>3569</v>
      </c>
      <c r="C1618" t="s">
        <v>28</v>
      </c>
      <c r="D1618" t="s">
        <v>774</v>
      </c>
      <c r="E1618" t="s">
        <v>8</v>
      </c>
      <c r="F1618" t="s">
        <v>775</v>
      </c>
      <c r="G1618" t="s">
        <v>776</v>
      </c>
      <c r="H1618" t="s">
        <v>2455</v>
      </c>
      <c r="I1618" t="s">
        <v>778</v>
      </c>
    </row>
    <row r="1619" spans="1:9" x14ac:dyDescent="0.25">
      <c r="A1619" s="1" t="str">
        <f>HYPERLINK("https://lynxcrm-apac--c.eu19.visual.force.com/0011i000001xnyyAAA","Goh, Ping Ping")</f>
        <v>Goh, Ping Ping</v>
      </c>
      <c r="B1619" t="s">
        <v>3570</v>
      </c>
      <c r="C1619" t="s">
        <v>28</v>
      </c>
      <c r="D1619" t="s">
        <v>1834</v>
      </c>
      <c r="E1619" t="s">
        <v>8</v>
      </c>
      <c r="F1619" t="s">
        <v>694</v>
      </c>
      <c r="G1619" t="s">
        <v>65</v>
      </c>
      <c r="H1619" t="s">
        <v>65</v>
      </c>
      <c r="I1619" t="s">
        <v>67</v>
      </c>
    </row>
    <row r="1620" spans="1:9" x14ac:dyDescent="0.25">
      <c r="A1620" s="1" t="str">
        <f>HYPERLINK("https://lynxcrm-apac--c.eu19.visual.force.com/0011i000001xogjAAA","Goh, Poh Huat Ken")</f>
        <v>Goh, Poh Huat Ken</v>
      </c>
      <c r="B1620" t="s">
        <v>3571</v>
      </c>
      <c r="C1620" t="s">
        <v>28</v>
      </c>
      <c r="D1620" t="s">
        <v>3572</v>
      </c>
      <c r="E1620" t="s">
        <v>8</v>
      </c>
      <c r="F1620" t="s">
        <v>3573</v>
      </c>
      <c r="G1620" t="s">
        <v>444</v>
      </c>
      <c r="H1620" t="s">
        <v>1320</v>
      </c>
      <c r="I1620" t="s">
        <v>430</v>
      </c>
    </row>
    <row r="1621" spans="1:9" x14ac:dyDescent="0.25">
      <c r="A1621" s="1" t="str">
        <f>HYPERLINK("https://lynxcrm-apac--c.eu19.visual.force.com/0011i000001xoqkAAA","Goh, Poh Sim")</f>
        <v>Goh, Poh Sim</v>
      </c>
      <c r="B1621" t="s">
        <v>3574</v>
      </c>
      <c r="C1621" t="s">
        <v>28</v>
      </c>
      <c r="D1621" t="s">
        <v>3575</v>
      </c>
      <c r="E1621" t="s">
        <v>8</v>
      </c>
      <c r="F1621" t="s">
        <v>1013</v>
      </c>
      <c r="G1621" t="s">
        <v>1013</v>
      </c>
      <c r="H1621" t="s">
        <v>8</v>
      </c>
      <c r="I1621" t="s">
        <v>1014</v>
      </c>
    </row>
    <row r="1622" spans="1:9" x14ac:dyDescent="0.25">
      <c r="A1622" s="1" t="str">
        <f>HYPERLINK("https://lynxcrm-apac--c.eu19.visual.force.com/0011i000001xorMAAQ","Goh, Poh Sin")</f>
        <v>Goh, Poh Sin</v>
      </c>
      <c r="B1622" t="s">
        <v>3576</v>
      </c>
      <c r="C1622" t="s">
        <v>28</v>
      </c>
      <c r="D1622" t="s">
        <v>3577</v>
      </c>
      <c r="E1622" t="s">
        <v>8</v>
      </c>
      <c r="F1622" t="s">
        <v>3578</v>
      </c>
      <c r="G1622" t="s">
        <v>2979</v>
      </c>
      <c r="H1622" t="s">
        <v>2979</v>
      </c>
      <c r="I1622" t="s">
        <v>3579</v>
      </c>
    </row>
    <row r="1623" spans="1:9" x14ac:dyDescent="0.25">
      <c r="A1623" s="1" t="str">
        <f>HYPERLINK("https://lynxcrm-apac--c.eu19.visual.force.com/0011i000001xoa0AAA","Goh, Seo Kiat")</f>
        <v>Goh, Seo Kiat</v>
      </c>
      <c r="B1623" t="s">
        <v>3580</v>
      </c>
      <c r="C1623" t="s">
        <v>28</v>
      </c>
      <c r="D1623" t="s">
        <v>251</v>
      </c>
      <c r="E1623" t="s">
        <v>8</v>
      </c>
      <c r="F1623" t="s">
        <v>427</v>
      </c>
      <c r="G1623" t="s">
        <v>252</v>
      </c>
      <c r="H1623" t="s">
        <v>858</v>
      </c>
      <c r="I1623" t="s">
        <v>253</v>
      </c>
    </row>
    <row r="1624" spans="1:9" x14ac:dyDescent="0.25">
      <c r="A1624" s="1" t="str">
        <f>HYPERLINK("https://lynxcrm-apac--c.eu19.visual.force.com/0011i00000vHmeQAAS","Goh, Shermin")</f>
        <v>Goh, Shermin</v>
      </c>
      <c r="B1624" t="s">
        <v>3581</v>
      </c>
      <c r="C1624" t="s">
        <v>28</v>
      </c>
      <c r="D1624" t="s">
        <v>8</v>
      </c>
      <c r="E1624" t="s">
        <v>8</v>
      </c>
      <c r="F1624" t="s">
        <v>393</v>
      </c>
      <c r="G1624" t="s">
        <v>394</v>
      </c>
      <c r="H1624" t="s">
        <v>395</v>
      </c>
      <c r="I1624" t="s">
        <v>396</v>
      </c>
    </row>
    <row r="1625" spans="1:9" x14ac:dyDescent="0.25">
      <c r="A1625" s="1" t="str">
        <f>HYPERLINK("https://lynxcrm-apac--c.eu19.visual.force.com/0011i00000vHmeQAAS","Goh, Shermin")</f>
        <v>Goh, Shermin</v>
      </c>
      <c r="B1625" t="s">
        <v>3581</v>
      </c>
      <c r="C1625" t="s">
        <v>28</v>
      </c>
      <c r="D1625" t="s">
        <v>392</v>
      </c>
      <c r="E1625" t="s">
        <v>8</v>
      </c>
      <c r="F1625" t="s">
        <v>393</v>
      </c>
      <c r="G1625" t="s">
        <v>394</v>
      </c>
      <c r="H1625" t="s">
        <v>395</v>
      </c>
      <c r="I1625" t="s">
        <v>396</v>
      </c>
    </row>
    <row r="1626" spans="1:9" x14ac:dyDescent="0.25">
      <c r="A1626" s="1" t="str">
        <f>HYPERLINK("https://lynxcrm-apac--c.eu19.visual.force.com/0011i000001xoI8AAI","Goh, Shu Chen Geraldine")</f>
        <v>Goh, Shu Chen Geraldine</v>
      </c>
      <c r="B1626" t="s">
        <v>3582</v>
      </c>
      <c r="C1626" t="s">
        <v>28</v>
      </c>
      <c r="D1626" t="s">
        <v>3583</v>
      </c>
      <c r="E1626" t="s">
        <v>8</v>
      </c>
      <c r="F1626" t="s">
        <v>1911</v>
      </c>
      <c r="G1626" t="s">
        <v>69</v>
      </c>
      <c r="H1626" t="s">
        <v>69</v>
      </c>
      <c r="I1626" t="s">
        <v>67</v>
      </c>
    </row>
    <row r="1627" spans="1:9" x14ac:dyDescent="0.25">
      <c r="A1627" s="1" t="str">
        <f>HYPERLINK("https://lynxcrm-apac--c.eu19.visual.force.com/0011i000001xolGAAQ","Goh, Siang Leng")</f>
        <v>Goh, Siang Leng</v>
      </c>
      <c r="B1627" t="s">
        <v>3584</v>
      </c>
      <c r="C1627" t="s">
        <v>28</v>
      </c>
      <c r="D1627" t="s">
        <v>3585</v>
      </c>
      <c r="E1627" t="s">
        <v>8</v>
      </c>
      <c r="F1627" t="s">
        <v>3586</v>
      </c>
      <c r="G1627" t="s">
        <v>3587</v>
      </c>
      <c r="H1627" t="s">
        <v>3588</v>
      </c>
      <c r="I1627" t="s">
        <v>3589</v>
      </c>
    </row>
    <row r="1628" spans="1:9" x14ac:dyDescent="0.25">
      <c r="A1628" s="1" t="str">
        <f>HYPERLINK("https://lynxcrm-apac--c.eu19.visual.force.com/0011i000001xnz0AAA","Goh, Soo Chye Paul")</f>
        <v>Goh, Soo Chye Paul</v>
      </c>
      <c r="B1628" t="s">
        <v>3590</v>
      </c>
      <c r="C1628" t="s">
        <v>28</v>
      </c>
      <c r="D1628" t="s">
        <v>701</v>
      </c>
      <c r="E1628" t="s">
        <v>8</v>
      </c>
      <c r="F1628" t="s">
        <v>1123</v>
      </c>
      <c r="G1628" t="s">
        <v>1123</v>
      </c>
      <c r="H1628" t="s">
        <v>1124</v>
      </c>
      <c r="I1628" t="s">
        <v>703</v>
      </c>
    </row>
    <row r="1629" spans="1:9" x14ac:dyDescent="0.25">
      <c r="A1629" s="1" t="str">
        <f>HYPERLINK("https://lynxcrm-apac--c.eu19.visual.force.com/0011i000001xnz1AAA","Goh, Soon Keng")</f>
        <v>Goh, Soon Keng</v>
      </c>
      <c r="B1629" t="s">
        <v>3591</v>
      </c>
      <c r="C1629" t="s">
        <v>28</v>
      </c>
      <c r="D1629" t="s">
        <v>261</v>
      </c>
      <c r="E1629" t="s">
        <v>8</v>
      </c>
      <c r="F1629" t="s">
        <v>261</v>
      </c>
      <c r="G1629" t="s">
        <v>347</v>
      </c>
      <c r="H1629" t="s">
        <v>347</v>
      </c>
      <c r="I1629" t="s">
        <v>260</v>
      </c>
    </row>
    <row r="1630" spans="1:9" x14ac:dyDescent="0.25">
      <c r="A1630" s="1" t="str">
        <f>HYPERLINK("https://lynxcrm-apac--c.eu19.visual.force.com/0011i000001xnz1AAA","Goh, Soon Keng")</f>
        <v>Goh, Soon Keng</v>
      </c>
      <c r="B1630" t="s">
        <v>3591</v>
      </c>
      <c r="C1630" t="s">
        <v>28</v>
      </c>
      <c r="D1630" t="s">
        <v>261</v>
      </c>
      <c r="E1630" t="s">
        <v>8</v>
      </c>
      <c r="F1630" t="s">
        <v>257</v>
      </c>
      <c r="G1630" t="s">
        <v>258</v>
      </c>
      <c r="H1630" t="s">
        <v>258</v>
      </c>
      <c r="I1630" t="s">
        <v>260</v>
      </c>
    </row>
    <row r="1631" spans="1:9" x14ac:dyDescent="0.25">
      <c r="A1631" s="1" t="str">
        <f>HYPERLINK("https://lynxcrm-apac--c.eu19.visual.force.com/0011i000001xokLAAQ","Goh, Soon Whatt Anth")</f>
        <v>Goh, Soon Whatt Anth</v>
      </c>
      <c r="B1631" t="s">
        <v>3592</v>
      </c>
      <c r="C1631" t="s">
        <v>28</v>
      </c>
      <c r="D1631" t="s">
        <v>251</v>
      </c>
      <c r="E1631" t="s">
        <v>8</v>
      </c>
      <c r="F1631" t="s">
        <v>251</v>
      </c>
      <c r="G1631" t="s">
        <v>252</v>
      </c>
      <c r="H1631" t="s">
        <v>252</v>
      </c>
      <c r="I1631" t="s">
        <v>253</v>
      </c>
    </row>
    <row r="1632" spans="1:9" x14ac:dyDescent="0.25">
      <c r="A1632" s="1" t="str">
        <f>HYPERLINK("https://lynxcrm-apac--c.eu19.visual.force.com/0011i000001xokLAAQ","Goh, Soon Whatt Anth")</f>
        <v>Goh, Soon Whatt Anth</v>
      </c>
      <c r="B1632" t="s">
        <v>3592</v>
      </c>
      <c r="C1632" t="s">
        <v>28</v>
      </c>
      <c r="D1632" t="s">
        <v>512</v>
      </c>
      <c r="E1632" t="s">
        <v>8</v>
      </c>
      <c r="F1632" t="s">
        <v>252</v>
      </c>
      <c r="G1632" t="s">
        <v>251</v>
      </c>
      <c r="H1632" t="s">
        <v>251</v>
      </c>
      <c r="I1632" t="s">
        <v>253</v>
      </c>
    </row>
    <row r="1633" spans="1:9" x14ac:dyDescent="0.25">
      <c r="A1633" s="1" t="str">
        <f>HYPERLINK("https://lynxcrm-apac--c.eu19.visual.force.com/0011i000001xolNAAQ","Goh, Swee Heng")</f>
        <v>Goh, Swee Heng</v>
      </c>
      <c r="B1633" t="s">
        <v>3593</v>
      </c>
      <c r="C1633" t="s">
        <v>28</v>
      </c>
      <c r="D1633" t="s">
        <v>3594</v>
      </c>
      <c r="E1633" t="s">
        <v>8</v>
      </c>
      <c r="F1633" t="s">
        <v>69</v>
      </c>
      <c r="G1633" t="s">
        <v>398</v>
      </c>
      <c r="H1633" t="s">
        <v>3595</v>
      </c>
      <c r="I1633" t="s">
        <v>67</v>
      </c>
    </row>
    <row r="1634" spans="1:9" x14ac:dyDescent="0.25">
      <c r="A1634" s="1" t="str">
        <f>HYPERLINK("https://lynxcrm-apac--c.eu19.visual.force.com/0011i000001xon9AAA","Goh, Sze Yi")</f>
        <v>Goh, Sze Yi</v>
      </c>
      <c r="B1634" t="s">
        <v>3596</v>
      </c>
      <c r="C1634" t="s">
        <v>28</v>
      </c>
      <c r="D1634" t="s">
        <v>3597</v>
      </c>
      <c r="E1634" t="s">
        <v>8</v>
      </c>
      <c r="F1634" t="s">
        <v>3598</v>
      </c>
      <c r="G1634" t="s">
        <v>3598</v>
      </c>
      <c r="H1634" t="s">
        <v>8</v>
      </c>
      <c r="I1634" t="s">
        <v>3599</v>
      </c>
    </row>
    <row r="1635" spans="1:9" x14ac:dyDescent="0.25">
      <c r="A1635" s="1" t="str">
        <f>HYPERLINK("https://lynxcrm-apac--c.eu19.visual.force.com/0011i000001xolRAAQ","Goh, Teck Chong")</f>
        <v>Goh, Teck Chong</v>
      </c>
      <c r="B1635" t="s">
        <v>3600</v>
      </c>
      <c r="C1635" t="s">
        <v>28</v>
      </c>
      <c r="D1635" t="s">
        <v>3601</v>
      </c>
      <c r="E1635" t="s">
        <v>8</v>
      </c>
      <c r="F1635" t="s">
        <v>69</v>
      </c>
      <c r="G1635" t="s">
        <v>3602</v>
      </c>
      <c r="H1635" t="s">
        <v>3603</v>
      </c>
      <c r="I1635" t="s">
        <v>67</v>
      </c>
    </row>
    <row r="1636" spans="1:9" x14ac:dyDescent="0.25">
      <c r="A1636" s="1" t="str">
        <f>HYPERLINK("https://lynxcrm-apac--c.eu19.visual.force.com/0011i000007DNIuAAO","Goh, Tien Siong")</f>
        <v>Goh, Tien Siong</v>
      </c>
      <c r="B1636" t="s">
        <v>3604</v>
      </c>
      <c r="C1636" t="s">
        <v>28</v>
      </c>
      <c r="D1636" t="s">
        <v>709</v>
      </c>
      <c r="E1636" t="s">
        <v>8</v>
      </c>
      <c r="F1636" t="s">
        <v>710</v>
      </c>
      <c r="G1636" t="s">
        <v>135</v>
      </c>
      <c r="H1636" t="s">
        <v>135</v>
      </c>
      <c r="I1636" t="s">
        <v>711</v>
      </c>
    </row>
    <row r="1637" spans="1:9" x14ac:dyDescent="0.25">
      <c r="A1637" s="1" t="str">
        <f>HYPERLINK("https://lynxcrm-apac--c.eu19.visual.force.com/0011i000001xoPpAAI","Goh, Ting Hui Angeline")</f>
        <v>Goh, Ting Hui Angeline</v>
      </c>
      <c r="B1637" t="s">
        <v>3605</v>
      </c>
      <c r="C1637" t="s">
        <v>28</v>
      </c>
      <c r="D1637" t="s">
        <v>251</v>
      </c>
      <c r="E1637" t="s">
        <v>8</v>
      </c>
      <c r="F1637" t="s">
        <v>3606</v>
      </c>
      <c r="G1637" t="s">
        <v>3607</v>
      </c>
      <c r="H1637" t="s">
        <v>858</v>
      </c>
      <c r="I1637" t="s">
        <v>253</v>
      </c>
    </row>
    <row r="1638" spans="1:9" x14ac:dyDescent="0.25">
      <c r="A1638" s="1" t="str">
        <f>HYPERLINK("https://lynxcrm-apac--c.eu19.visual.force.com/0011i000001xoJhAAI","Goh, Wee Ching Karolyn")</f>
        <v>Goh, Wee Ching Karolyn</v>
      </c>
      <c r="B1638" t="s">
        <v>3608</v>
      </c>
      <c r="C1638" t="s">
        <v>28</v>
      </c>
      <c r="D1638" t="s">
        <v>2244</v>
      </c>
      <c r="E1638" t="s">
        <v>8</v>
      </c>
      <c r="F1638" t="s">
        <v>163</v>
      </c>
      <c r="G1638" t="s">
        <v>164</v>
      </c>
      <c r="H1638" t="s">
        <v>164</v>
      </c>
      <c r="I1638" t="s">
        <v>165</v>
      </c>
    </row>
    <row r="1639" spans="1:9" x14ac:dyDescent="0.25">
      <c r="A1639" s="1" t="str">
        <f>HYPERLINK("https://lynxcrm-apac--c.eu19.visual.force.com/0011i000001xnsuAAA","Goh, Xin Wei")</f>
        <v>Goh, Xin Wei</v>
      </c>
      <c r="B1639" t="s">
        <v>3609</v>
      </c>
      <c r="C1639" t="s">
        <v>28</v>
      </c>
      <c r="D1639" t="s">
        <v>3610</v>
      </c>
      <c r="E1639" t="s">
        <v>8</v>
      </c>
      <c r="F1639" t="s">
        <v>2802</v>
      </c>
      <c r="G1639" t="s">
        <v>3611</v>
      </c>
      <c r="H1639" t="s">
        <v>3612</v>
      </c>
      <c r="I1639" t="s">
        <v>2805</v>
      </c>
    </row>
    <row r="1640" spans="1:9" x14ac:dyDescent="0.25">
      <c r="A1640" s="1" t="str">
        <f>HYPERLINK("https://lynxcrm-apac--c.eu19.visual.force.com/0011i000001xnz3AAA","Goh, Yaw Chong")</f>
        <v>Goh, Yaw Chong</v>
      </c>
      <c r="B1640" t="s">
        <v>3613</v>
      </c>
      <c r="C1640" t="s">
        <v>28</v>
      </c>
      <c r="D1640" t="s">
        <v>251</v>
      </c>
      <c r="E1640" t="s">
        <v>8</v>
      </c>
      <c r="F1640" t="s">
        <v>251</v>
      </c>
      <c r="G1640" t="s">
        <v>252</v>
      </c>
      <c r="H1640" t="s">
        <v>252</v>
      </c>
      <c r="I1640" t="s">
        <v>253</v>
      </c>
    </row>
    <row r="1641" spans="1:9" x14ac:dyDescent="0.25">
      <c r="A1641" s="1" t="str">
        <f>HYPERLINK("https://lynxcrm-apac--c.eu19.visual.force.com/0011i000001xnz3AAA","Goh, Yaw Chong")</f>
        <v>Goh, Yaw Chong</v>
      </c>
      <c r="B1641" t="s">
        <v>3613</v>
      </c>
      <c r="C1641" t="s">
        <v>28</v>
      </c>
      <c r="D1641" t="s">
        <v>251</v>
      </c>
      <c r="E1641" t="s">
        <v>8</v>
      </c>
      <c r="F1641" t="s">
        <v>366</v>
      </c>
      <c r="G1641" t="s">
        <v>252</v>
      </c>
      <c r="H1641" t="s">
        <v>252</v>
      </c>
      <c r="I1641" t="s">
        <v>253</v>
      </c>
    </row>
    <row r="1642" spans="1:9" x14ac:dyDescent="0.25">
      <c r="A1642" s="1" t="str">
        <f>HYPERLINK("https://lynxcrm-apac--c.eu19.visual.force.com/0011i000001xolVAAQ","Goh, Yean Hoon")</f>
        <v>Goh, Yean Hoon</v>
      </c>
      <c r="B1642" t="s">
        <v>3614</v>
      </c>
      <c r="C1642" t="s">
        <v>28</v>
      </c>
      <c r="D1642" t="s">
        <v>3505</v>
      </c>
      <c r="E1642" t="s">
        <v>8</v>
      </c>
      <c r="F1642" t="s">
        <v>3510</v>
      </c>
      <c r="G1642" t="s">
        <v>2132</v>
      </c>
      <c r="H1642" t="s">
        <v>3511</v>
      </c>
      <c r="I1642" t="s">
        <v>3512</v>
      </c>
    </row>
    <row r="1643" spans="1:9" x14ac:dyDescent="0.25">
      <c r="A1643" s="1" t="str">
        <f>HYPERLINK("https://lynxcrm-apac--c.eu19.visual.force.com/0011i000001xolVAAQ","Goh, Yean Hoon")</f>
        <v>Goh, Yean Hoon</v>
      </c>
      <c r="B1643" t="s">
        <v>3614</v>
      </c>
      <c r="C1643" t="s">
        <v>28</v>
      </c>
      <c r="D1643" t="s">
        <v>3505</v>
      </c>
      <c r="E1643" t="s">
        <v>8</v>
      </c>
      <c r="F1643" t="s">
        <v>3506</v>
      </c>
      <c r="G1643" t="s">
        <v>3507</v>
      </c>
      <c r="H1643" t="s">
        <v>3508</v>
      </c>
      <c r="I1643" t="s">
        <v>3509</v>
      </c>
    </row>
    <row r="1644" spans="1:9" x14ac:dyDescent="0.25">
      <c r="A1644" s="1" t="str">
        <f>HYPERLINK("https://lynxcrm-apac--c.eu19.visual.force.com/0011i000001xoSUAAY","Goh, Yew Ping")</f>
        <v>Goh, Yew Ping</v>
      </c>
      <c r="B1644" t="s">
        <v>3615</v>
      </c>
      <c r="C1644" t="s">
        <v>28</v>
      </c>
      <c r="D1644" t="s">
        <v>3616</v>
      </c>
      <c r="E1644" t="s">
        <v>8</v>
      </c>
      <c r="F1644" t="s">
        <v>2499</v>
      </c>
      <c r="G1644" t="s">
        <v>2465</v>
      </c>
      <c r="H1644" t="s">
        <v>2465</v>
      </c>
      <c r="I1644" t="s">
        <v>2500</v>
      </c>
    </row>
    <row r="1645" spans="1:9" x14ac:dyDescent="0.25">
      <c r="A1645" s="1" t="str">
        <f>HYPERLINK("https://lynxcrm-apac--c.eu19.visual.force.com/0011i000001xohCAAQ","Goh, Yew Seong")</f>
        <v>Goh, Yew Seong</v>
      </c>
      <c r="B1645" t="s">
        <v>3617</v>
      </c>
      <c r="C1645" t="s">
        <v>28</v>
      </c>
      <c r="D1645" t="s">
        <v>583</v>
      </c>
      <c r="E1645" t="s">
        <v>8</v>
      </c>
      <c r="F1645" t="s">
        <v>234</v>
      </c>
      <c r="G1645" t="s">
        <v>584</v>
      </c>
      <c r="H1645" t="s">
        <v>1386</v>
      </c>
      <c r="I1645" t="s">
        <v>585</v>
      </c>
    </row>
    <row r="1646" spans="1:9" x14ac:dyDescent="0.25">
      <c r="A1646" s="1" t="str">
        <f>HYPERLINK("https://lynxcrm-apac--c.eu19.visual.force.com/0011i000001xoJuAAI","Goh, Yng Yng Karen")</f>
        <v>Goh, Yng Yng Karen</v>
      </c>
      <c r="B1646" t="s">
        <v>3618</v>
      </c>
      <c r="C1646" t="s">
        <v>28</v>
      </c>
      <c r="D1646" t="s">
        <v>3619</v>
      </c>
      <c r="E1646" t="s">
        <v>8</v>
      </c>
      <c r="F1646" t="s">
        <v>191</v>
      </c>
      <c r="G1646" t="s">
        <v>192</v>
      </c>
      <c r="H1646" t="s">
        <v>192</v>
      </c>
      <c r="I1646" t="s">
        <v>193</v>
      </c>
    </row>
    <row r="1647" spans="1:9" x14ac:dyDescent="0.25">
      <c r="A1647" s="1" t="str">
        <f>HYPERLINK("https://lynxcrm-apac--c.eu19.visual.force.com/0011i00000oXvt1AAC","Goh, ZhaoJing")</f>
        <v>Goh, ZhaoJing</v>
      </c>
      <c r="B1647" t="s">
        <v>3620</v>
      </c>
      <c r="C1647" t="s">
        <v>28</v>
      </c>
      <c r="D1647" t="s">
        <v>8</v>
      </c>
      <c r="E1647" t="s">
        <v>8</v>
      </c>
      <c r="F1647" t="s">
        <v>1165</v>
      </c>
      <c r="G1647" t="s">
        <v>1165</v>
      </c>
      <c r="H1647" t="s">
        <v>3621</v>
      </c>
      <c r="I1647" t="s">
        <v>1167</v>
      </c>
    </row>
    <row r="1648" spans="1:9" x14ac:dyDescent="0.25">
      <c r="A1648" s="1" t="str">
        <f>HYPERLINK("https://lynxcrm-apac--c.eu19.visual.force.com/0011i00000oXvt1AAC","Goh, ZhaoJing")</f>
        <v>Goh, ZhaoJing</v>
      </c>
      <c r="B1648" t="s">
        <v>3620</v>
      </c>
      <c r="C1648" t="s">
        <v>28</v>
      </c>
      <c r="D1648" t="s">
        <v>1164</v>
      </c>
      <c r="E1648" t="s">
        <v>8</v>
      </c>
      <c r="F1648" t="s">
        <v>1165</v>
      </c>
      <c r="G1648" t="s">
        <v>1165</v>
      </c>
      <c r="H1648" t="s">
        <v>3621</v>
      </c>
      <c r="I1648" t="s">
        <v>1167</v>
      </c>
    </row>
    <row r="1649" spans="1:9" x14ac:dyDescent="0.25">
      <c r="A1649" s="1" t="str">
        <f>HYPERLINK("https://lynxcrm-apac--c.eu19.visual.force.com/0011i000001xnILAAY","Goh Hak Su Colon &amp; Rectal Centre")</f>
        <v>Goh Hak Su Colon &amp; Rectal Centre</v>
      </c>
      <c r="B1649" t="s">
        <v>3622</v>
      </c>
      <c r="C1649" t="s">
        <v>10</v>
      </c>
      <c r="D1649" t="s">
        <v>8</v>
      </c>
      <c r="E1649" t="s">
        <v>8</v>
      </c>
      <c r="F1649" t="s">
        <v>69</v>
      </c>
      <c r="G1649" t="s">
        <v>3515</v>
      </c>
      <c r="H1649" t="s">
        <v>3516</v>
      </c>
      <c r="I1649" t="s">
        <v>67</v>
      </c>
    </row>
    <row r="1650" spans="1:9" x14ac:dyDescent="0.25">
      <c r="A1650" s="1" t="str">
        <f>HYPERLINK("https://lynxcrm-apac--c.eu19.visual.force.com/0011i000001xnCeAAI","Goh Medical Clinic")</f>
        <v>Goh Medical Clinic</v>
      </c>
      <c r="B1650" t="s">
        <v>3623</v>
      </c>
      <c r="C1650" t="s">
        <v>10</v>
      </c>
      <c r="D1650" t="s">
        <v>8</v>
      </c>
      <c r="E1650" t="s">
        <v>8</v>
      </c>
      <c r="F1650" t="s">
        <v>3624</v>
      </c>
      <c r="G1650" t="s">
        <v>3625</v>
      </c>
      <c r="H1650" t="s">
        <v>3626</v>
      </c>
      <c r="I1650" t="s">
        <v>3627</v>
      </c>
    </row>
    <row r="1651" spans="1:9" x14ac:dyDescent="0.25">
      <c r="A1651" s="1" t="str">
        <f>HYPERLINK("https://lynxcrm-apac--c.eu19.visual.force.com/0011i000001xolhAAA","Gong, Ing San")</f>
        <v>Gong, Ing San</v>
      </c>
      <c r="B1651" t="s">
        <v>3628</v>
      </c>
      <c r="C1651" t="s">
        <v>28</v>
      </c>
      <c r="D1651" t="s">
        <v>3629</v>
      </c>
      <c r="E1651" t="s">
        <v>8</v>
      </c>
      <c r="F1651" t="s">
        <v>69</v>
      </c>
      <c r="G1651" t="s">
        <v>3630</v>
      </c>
      <c r="H1651" t="s">
        <v>3631</v>
      </c>
      <c r="I1651" t="s">
        <v>67</v>
      </c>
    </row>
    <row r="1652" spans="1:9" x14ac:dyDescent="0.25">
      <c r="A1652" s="1" t="str">
        <f>HYPERLINK("https://lynxcrm-apac--c.eu19.visual.force.com/0011i000001xnE8AAI","Gong Surgery")</f>
        <v>Gong Surgery</v>
      </c>
      <c r="B1652" t="s">
        <v>3632</v>
      </c>
      <c r="C1652" t="s">
        <v>10</v>
      </c>
      <c r="D1652" t="s">
        <v>8</v>
      </c>
      <c r="E1652" t="s">
        <v>8</v>
      </c>
      <c r="F1652" t="s">
        <v>69</v>
      </c>
      <c r="G1652" t="s">
        <v>3630</v>
      </c>
      <c r="H1652" t="s">
        <v>3631</v>
      </c>
      <c r="I1652" t="s">
        <v>67</v>
      </c>
    </row>
    <row r="1653" spans="1:9" x14ac:dyDescent="0.25">
      <c r="A1653" s="1" t="str">
        <f>HYPERLINK("https://lynxcrm-apac--c.eu19.visual.force.com/0011i000001xnCqAAI","Goodwill Clinic")</f>
        <v>Goodwill Clinic</v>
      </c>
      <c r="B1653" t="s">
        <v>3633</v>
      </c>
      <c r="C1653" t="s">
        <v>10</v>
      </c>
      <c r="D1653" t="s">
        <v>8</v>
      </c>
      <c r="E1653" t="s">
        <v>8</v>
      </c>
      <c r="F1653" t="s">
        <v>3634</v>
      </c>
      <c r="G1653" t="s">
        <v>3635</v>
      </c>
      <c r="H1653" t="s">
        <v>3635</v>
      </c>
      <c r="I1653" t="s">
        <v>3636</v>
      </c>
    </row>
    <row r="1654" spans="1:9" x14ac:dyDescent="0.25">
      <c r="A1654" s="1" t="str">
        <f>HYPERLINK("https://lynxcrm-apac--c.eu19.visual.force.com/0011i000001xnF8AAI","Gordon Lim Clinic &amp; Surgery For Women")</f>
        <v>Gordon Lim Clinic &amp; Surgery For Women</v>
      </c>
      <c r="B1654" t="s">
        <v>3637</v>
      </c>
      <c r="C1654" t="s">
        <v>10</v>
      </c>
      <c r="D1654" t="s">
        <v>8</v>
      </c>
      <c r="E1654" t="s">
        <v>8</v>
      </c>
      <c r="F1654" t="s">
        <v>69</v>
      </c>
      <c r="G1654" t="s">
        <v>3638</v>
      </c>
      <c r="H1654" t="s">
        <v>3639</v>
      </c>
      <c r="I1654" t="s">
        <v>67</v>
      </c>
    </row>
    <row r="1655" spans="1:9" x14ac:dyDescent="0.25">
      <c r="A1655" s="1" t="str">
        <f t="shared" ref="A1655:A1660" si="12">HYPERLINK("https://lynxcrm-apac--c.eu19.visual.force.com/0011i000001xolIAAQ","Gosai, Issham")</f>
        <v>Gosai, Issham</v>
      </c>
      <c r="B1655" t="s">
        <v>3640</v>
      </c>
      <c r="C1655" t="s">
        <v>28</v>
      </c>
      <c r="D1655" t="s">
        <v>501</v>
      </c>
      <c r="E1655" t="s">
        <v>8</v>
      </c>
      <c r="F1655" t="s">
        <v>501</v>
      </c>
      <c r="G1655" t="s">
        <v>502</v>
      </c>
      <c r="H1655" t="s">
        <v>502</v>
      </c>
      <c r="I1655" t="s">
        <v>506</v>
      </c>
    </row>
    <row r="1656" spans="1:9" x14ac:dyDescent="0.25">
      <c r="A1656" s="1" t="str">
        <f t="shared" si="12"/>
        <v>Gosai, Issham</v>
      </c>
      <c r="B1656" t="s">
        <v>3640</v>
      </c>
      <c r="C1656" t="s">
        <v>28</v>
      </c>
      <c r="D1656" t="s">
        <v>501</v>
      </c>
      <c r="E1656" t="s">
        <v>8</v>
      </c>
      <c r="F1656" t="s">
        <v>502</v>
      </c>
      <c r="G1656" t="s">
        <v>502</v>
      </c>
      <c r="H1656" t="s">
        <v>503</v>
      </c>
      <c r="I1656" t="s">
        <v>504</v>
      </c>
    </row>
    <row r="1657" spans="1:9" x14ac:dyDescent="0.25">
      <c r="A1657" s="1" t="str">
        <f t="shared" si="12"/>
        <v>Gosai, Issham</v>
      </c>
      <c r="B1657" t="s">
        <v>3640</v>
      </c>
      <c r="C1657" t="s">
        <v>28</v>
      </c>
      <c r="D1657" t="s">
        <v>501</v>
      </c>
      <c r="E1657" t="s">
        <v>8</v>
      </c>
      <c r="F1657" t="s">
        <v>246</v>
      </c>
      <c r="G1657" t="s">
        <v>502</v>
      </c>
      <c r="H1657" t="s">
        <v>503</v>
      </c>
      <c r="I1657" t="s">
        <v>504</v>
      </c>
    </row>
    <row r="1658" spans="1:9" x14ac:dyDescent="0.25">
      <c r="A1658" s="1" t="str">
        <f t="shared" si="12"/>
        <v>Gosai, Issham</v>
      </c>
      <c r="B1658" t="s">
        <v>3640</v>
      </c>
      <c r="C1658" t="s">
        <v>28</v>
      </c>
      <c r="D1658" t="s">
        <v>501</v>
      </c>
      <c r="E1658" t="s">
        <v>8</v>
      </c>
      <c r="F1658" t="s">
        <v>246</v>
      </c>
      <c r="G1658" t="s">
        <v>502</v>
      </c>
      <c r="H1658" t="s">
        <v>503</v>
      </c>
      <c r="I1658" t="s">
        <v>505</v>
      </c>
    </row>
    <row r="1659" spans="1:9" x14ac:dyDescent="0.25">
      <c r="A1659" s="1" t="str">
        <f t="shared" si="12"/>
        <v>Gosai, Issham</v>
      </c>
      <c r="B1659" t="s">
        <v>3640</v>
      </c>
      <c r="C1659" t="s">
        <v>28</v>
      </c>
      <c r="D1659" t="s">
        <v>501</v>
      </c>
      <c r="E1659" t="s">
        <v>8</v>
      </c>
      <c r="F1659" t="s">
        <v>234</v>
      </c>
      <c r="G1659" t="s">
        <v>502</v>
      </c>
      <c r="H1659" t="s">
        <v>503</v>
      </c>
      <c r="I1659" t="s">
        <v>504</v>
      </c>
    </row>
    <row r="1660" spans="1:9" x14ac:dyDescent="0.25">
      <c r="A1660" s="1" t="str">
        <f t="shared" si="12"/>
        <v>Gosai, Issham</v>
      </c>
      <c r="B1660" t="s">
        <v>3640</v>
      </c>
      <c r="C1660" t="s">
        <v>28</v>
      </c>
      <c r="D1660" t="s">
        <v>501</v>
      </c>
      <c r="E1660" t="s">
        <v>8</v>
      </c>
      <c r="F1660" t="s">
        <v>359</v>
      </c>
      <c r="G1660" t="s">
        <v>502</v>
      </c>
      <c r="H1660" t="s">
        <v>503</v>
      </c>
      <c r="I1660" t="s">
        <v>506</v>
      </c>
    </row>
    <row r="1661" spans="1:9" x14ac:dyDescent="0.25">
      <c r="A1661" s="1" t="str">
        <f>HYPERLINK("https://lynxcrm-apac--c.eu19.visual.force.com/0011i000001xoXmAAI","Gouw, Janet")</f>
        <v>Gouw, Janet</v>
      </c>
      <c r="B1661" t="s">
        <v>3641</v>
      </c>
      <c r="C1661" t="s">
        <v>28</v>
      </c>
      <c r="D1661" t="s">
        <v>1360</v>
      </c>
      <c r="E1661" t="s">
        <v>8</v>
      </c>
      <c r="F1661" t="s">
        <v>1377</v>
      </c>
      <c r="G1661" t="s">
        <v>1378</v>
      </c>
      <c r="H1661" t="s">
        <v>1378</v>
      </c>
      <c r="I1661" t="s">
        <v>1364</v>
      </c>
    </row>
    <row r="1662" spans="1:9" x14ac:dyDescent="0.25">
      <c r="A1662" s="1" t="str">
        <f>HYPERLINK("https://lynxcrm-apac--c.eu19.visual.force.com/0011i000001xmfXAAQ","G P Medical Centre &amp; Surgery")</f>
        <v>G P Medical Centre &amp; Surgery</v>
      </c>
      <c r="B1662" t="s">
        <v>3642</v>
      </c>
      <c r="C1662" t="s">
        <v>10</v>
      </c>
      <c r="D1662" t="s">
        <v>8</v>
      </c>
      <c r="E1662" t="s">
        <v>8</v>
      </c>
      <c r="F1662" t="s">
        <v>3643</v>
      </c>
      <c r="G1662" t="s">
        <v>3644</v>
      </c>
      <c r="H1662" t="s">
        <v>3644</v>
      </c>
      <c r="I1662" t="s">
        <v>3645</v>
      </c>
    </row>
    <row r="1663" spans="1:9" x14ac:dyDescent="0.25">
      <c r="A1663" s="1" t="str">
        <f t="shared" ref="A1663:A1668" si="13">HYPERLINK("https://lynxcrm-apac--c.eu19.visual.force.com/0011i00000oXPCWAA4","Grace, Marian")</f>
        <v>Grace, Marian</v>
      </c>
      <c r="B1663" t="s">
        <v>3646</v>
      </c>
      <c r="C1663" t="s">
        <v>28</v>
      </c>
      <c r="D1663" t="s">
        <v>501</v>
      </c>
      <c r="E1663" t="s">
        <v>8</v>
      </c>
      <c r="F1663" t="s">
        <v>502</v>
      </c>
      <c r="G1663" t="s">
        <v>502</v>
      </c>
      <c r="H1663" t="s">
        <v>503</v>
      </c>
      <c r="I1663" t="s">
        <v>504</v>
      </c>
    </row>
    <row r="1664" spans="1:9" x14ac:dyDescent="0.25">
      <c r="A1664" s="1" t="str">
        <f t="shared" si="13"/>
        <v>Grace, Marian</v>
      </c>
      <c r="B1664" t="s">
        <v>3646</v>
      </c>
      <c r="C1664" t="s">
        <v>28</v>
      </c>
      <c r="D1664" t="s">
        <v>501</v>
      </c>
      <c r="E1664" t="s">
        <v>8</v>
      </c>
      <c r="F1664" t="s">
        <v>246</v>
      </c>
      <c r="G1664" t="s">
        <v>502</v>
      </c>
      <c r="H1664" t="s">
        <v>503</v>
      </c>
      <c r="I1664" t="s">
        <v>504</v>
      </c>
    </row>
    <row r="1665" spans="1:9" x14ac:dyDescent="0.25">
      <c r="A1665" s="1" t="str">
        <f t="shared" si="13"/>
        <v>Grace, Marian</v>
      </c>
      <c r="B1665" t="s">
        <v>3646</v>
      </c>
      <c r="C1665" t="s">
        <v>28</v>
      </c>
      <c r="D1665" t="s">
        <v>501</v>
      </c>
      <c r="E1665" t="s">
        <v>8</v>
      </c>
      <c r="F1665" t="s">
        <v>246</v>
      </c>
      <c r="G1665" t="s">
        <v>502</v>
      </c>
      <c r="H1665" t="s">
        <v>503</v>
      </c>
      <c r="I1665" t="s">
        <v>505</v>
      </c>
    </row>
    <row r="1666" spans="1:9" x14ac:dyDescent="0.25">
      <c r="A1666" s="1" t="str">
        <f t="shared" si="13"/>
        <v>Grace, Marian</v>
      </c>
      <c r="B1666" t="s">
        <v>3646</v>
      </c>
      <c r="C1666" t="s">
        <v>28</v>
      </c>
      <c r="D1666" t="s">
        <v>501</v>
      </c>
      <c r="E1666" t="s">
        <v>8</v>
      </c>
      <c r="F1666" t="s">
        <v>501</v>
      </c>
      <c r="G1666" t="s">
        <v>502</v>
      </c>
      <c r="H1666" t="s">
        <v>502</v>
      </c>
      <c r="I1666" t="s">
        <v>506</v>
      </c>
    </row>
    <row r="1667" spans="1:9" x14ac:dyDescent="0.25">
      <c r="A1667" s="1" t="str">
        <f t="shared" si="13"/>
        <v>Grace, Marian</v>
      </c>
      <c r="B1667" t="s">
        <v>3646</v>
      </c>
      <c r="C1667" t="s">
        <v>28</v>
      </c>
      <c r="D1667" t="s">
        <v>501</v>
      </c>
      <c r="E1667" t="s">
        <v>8</v>
      </c>
      <c r="F1667" t="s">
        <v>234</v>
      </c>
      <c r="G1667" t="s">
        <v>502</v>
      </c>
      <c r="H1667" t="s">
        <v>503</v>
      </c>
      <c r="I1667" t="s">
        <v>504</v>
      </c>
    </row>
    <row r="1668" spans="1:9" x14ac:dyDescent="0.25">
      <c r="A1668" s="1" t="str">
        <f t="shared" si="13"/>
        <v>Grace, Marian</v>
      </c>
      <c r="B1668" t="s">
        <v>3646</v>
      </c>
      <c r="C1668" t="s">
        <v>28</v>
      </c>
      <c r="D1668" t="s">
        <v>501</v>
      </c>
      <c r="E1668" t="s">
        <v>8</v>
      </c>
      <c r="F1668" t="s">
        <v>359</v>
      </c>
      <c r="G1668" t="s">
        <v>502</v>
      </c>
      <c r="H1668" t="s">
        <v>503</v>
      </c>
      <c r="I1668" t="s">
        <v>506</v>
      </c>
    </row>
    <row r="1669" spans="1:9" x14ac:dyDescent="0.25">
      <c r="A1669" s="1" t="str">
        <f>HYPERLINK("https://lynxcrm-apac--c.eu19.visual.force.com/0011i000001xn6ZAAQ","Grace Clinic")</f>
        <v>Grace Clinic</v>
      </c>
      <c r="B1669" t="s">
        <v>3647</v>
      </c>
      <c r="C1669" t="s">
        <v>10</v>
      </c>
      <c r="D1669" t="s">
        <v>8</v>
      </c>
      <c r="E1669" t="s">
        <v>8</v>
      </c>
      <c r="F1669" t="s">
        <v>2037</v>
      </c>
      <c r="G1669" t="s">
        <v>2038</v>
      </c>
      <c r="H1669" t="s">
        <v>2039</v>
      </c>
      <c r="I1669" t="s">
        <v>2040</v>
      </c>
    </row>
    <row r="1670" spans="1:9" x14ac:dyDescent="0.25">
      <c r="A1670" s="1" t="str">
        <f>HYPERLINK("https://lynxcrm-apac--c.eu19.visual.force.com/0011i000001xmc2AAA","Grace Clinic")</f>
        <v>Grace Clinic</v>
      </c>
      <c r="B1670" t="s">
        <v>3648</v>
      </c>
      <c r="C1670" t="s">
        <v>10</v>
      </c>
      <c r="D1670" t="s">
        <v>8</v>
      </c>
      <c r="E1670" t="s">
        <v>8</v>
      </c>
      <c r="F1670" t="s">
        <v>3649</v>
      </c>
      <c r="G1670" t="s">
        <v>3650</v>
      </c>
      <c r="H1670" t="s">
        <v>3651</v>
      </c>
      <c r="I1670" t="s">
        <v>3652</v>
      </c>
    </row>
    <row r="1671" spans="1:9" x14ac:dyDescent="0.25">
      <c r="A1671" s="1" t="str">
        <f>HYPERLINK("https://lynxcrm-apac--c.eu19.visual.force.com/0011i000001xmxsAAA","Grace Lee Clinic")</f>
        <v>Grace Lee Clinic</v>
      </c>
      <c r="B1671" t="s">
        <v>3653</v>
      </c>
      <c r="C1671" t="s">
        <v>10</v>
      </c>
      <c r="D1671" t="s">
        <v>8</v>
      </c>
      <c r="E1671" t="s">
        <v>8</v>
      </c>
      <c r="F1671" t="s">
        <v>69</v>
      </c>
      <c r="G1671" t="s">
        <v>3654</v>
      </c>
      <c r="H1671" t="s">
        <v>3655</v>
      </c>
      <c r="I1671" t="s">
        <v>67</v>
      </c>
    </row>
    <row r="1672" spans="1:9" x14ac:dyDescent="0.25">
      <c r="A1672" s="1" t="str">
        <f>HYPERLINK("https://lynxcrm-apac--c.eu19.visual.force.com/0011i000001xmvWAAQ","Grammery Heart &amp; Vascular Centre")</f>
        <v>Grammery Heart &amp; Vascular Centre</v>
      </c>
      <c r="B1672" t="s">
        <v>3656</v>
      </c>
      <c r="C1672" t="s">
        <v>10</v>
      </c>
      <c r="D1672" t="s">
        <v>8</v>
      </c>
      <c r="E1672" t="s">
        <v>8</v>
      </c>
      <c r="F1672" t="s">
        <v>3657</v>
      </c>
      <c r="G1672" t="s">
        <v>2731</v>
      </c>
      <c r="H1672" t="s">
        <v>2731</v>
      </c>
      <c r="I1672" t="s">
        <v>344</v>
      </c>
    </row>
    <row r="1673" spans="1:9" x14ac:dyDescent="0.25">
      <c r="A1673" s="1" t="str">
        <f>HYPERLINK("https://lynxcrm-apac--c.eu19.visual.force.com/0011i000001xn9GAAQ","Great Health Medical Clinic")</f>
        <v>Great Health Medical Clinic</v>
      </c>
      <c r="B1673" t="s">
        <v>3658</v>
      </c>
      <c r="C1673" t="s">
        <v>10</v>
      </c>
      <c r="D1673" t="s">
        <v>8</v>
      </c>
      <c r="E1673" t="s">
        <v>8</v>
      </c>
      <c r="F1673" t="s">
        <v>3659</v>
      </c>
      <c r="G1673" t="s">
        <v>3660</v>
      </c>
      <c r="H1673" t="s">
        <v>3660</v>
      </c>
      <c r="I1673" t="s">
        <v>3661</v>
      </c>
    </row>
    <row r="1674" spans="1:9" x14ac:dyDescent="0.25">
      <c r="A1674" s="1" t="str">
        <f>HYPERLINK("https://lynxcrm-apac--c.eu19.visual.force.com/0011i000001xmh5AAA","Green Cross Medical Centre")</f>
        <v>Green Cross Medical Centre</v>
      </c>
      <c r="B1674" t="s">
        <v>3662</v>
      </c>
      <c r="C1674" t="s">
        <v>10</v>
      </c>
      <c r="D1674" t="s">
        <v>8</v>
      </c>
      <c r="E1674" t="s">
        <v>8</v>
      </c>
      <c r="F1674" t="s">
        <v>2207</v>
      </c>
      <c r="G1674" t="s">
        <v>2204</v>
      </c>
      <c r="H1674" t="s">
        <v>2208</v>
      </c>
      <c r="I1674" t="s">
        <v>2205</v>
      </c>
    </row>
    <row r="1675" spans="1:9" x14ac:dyDescent="0.25">
      <c r="A1675" s="1" t="str">
        <f>HYPERLINK("https://lynxcrm-apac--c.eu19.visual.force.com/0011i000001xnPHAAY","Greenlife Clinic &amp; Surgery")</f>
        <v>Greenlife Clinic &amp; Surgery</v>
      </c>
      <c r="B1675" t="s">
        <v>3663</v>
      </c>
      <c r="C1675" t="s">
        <v>10</v>
      </c>
      <c r="D1675" t="s">
        <v>8</v>
      </c>
      <c r="E1675" t="s">
        <v>8</v>
      </c>
      <c r="F1675" t="s">
        <v>407</v>
      </c>
      <c r="G1675" t="s">
        <v>2392</v>
      </c>
      <c r="H1675" t="s">
        <v>8</v>
      </c>
      <c r="I1675" t="s">
        <v>410</v>
      </c>
    </row>
    <row r="1676" spans="1:9" x14ac:dyDescent="0.25">
      <c r="A1676" s="1" t="str">
        <f>HYPERLINK("https://lynxcrm-apac--c.eu19.visual.force.com/0011i000001xnOlAAI","Greenlife Clinic &amp; Surgery Pte Ltd")</f>
        <v>Greenlife Clinic &amp; Surgery Pte Ltd</v>
      </c>
      <c r="B1676" t="s">
        <v>3664</v>
      </c>
      <c r="C1676" t="s">
        <v>10</v>
      </c>
      <c r="D1676" t="s">
        <v>8</v>
      </c>
      <c r="E1676" t="s">
        <v>8</v>
      </c>
      <c r="F1676" t="s">
        <v>3665</v>
      </c>
      <c r="G1676" t="s">
        <v>1335</v>
      </c>
      <c r="H1676" t="s">
        <v>3666</v>
      </c>
      <c r="I1676" t="s">
        <v>3667</v>
      </c>
    </row>
    <row r="1677" spans="1:9" x14ac:dyDescent="0.25">
      <c r="A1677" s="1" t="str">
        <f>HYPERLINK("https://lynxcrm-apac--c.eu19.visual.force.com/0011i000001xnBrAAI","Greenlife Clinic &amp; Surgery Pte Ltd")</f>
        <v>Greenlife Clinic &amp; Surgery Pte Ltd</v>
      </c>
      <c r="B1677" t="s">
        <v>3668</v>
      </c>
      <c r="C1677" t="s">
        <v>10</v>
      </c>
      <c r="D1677" t="s">
        <v>8</v>
      </c>
      <c r="E1677" t="s">
        <v>8</v>
      </c>
      <c r="F1677" t="s">
        <v>407</v>
      </c>
      <c r="G1677" t="s">
        <v>2392</v>
      </c>
      <c r="H1677" t="s">
        <v>8</v>
      </c>
      <c r="I1677" t="s">
        <v>410</v>
      </c>
    </row>
    <row r="1678" spans="1:9" x14ac:dyDescent="0.25">
      <c r="A1678" s="1" t="str">
        <f>HYPERLINK("https://lynxcrm-apac--c.eu19.visual.force.com/0011i000001xn7FAAQ","Greenlink Medical Clinic")</f>
        <v>Greenlink Medical Clinic</v>
      </c>
      <c r="B1678" t="s">
        <v>3669</v>
      </c>
      <c r="C1678" t="s">
        <v>10</v>
      </c>
      <c r="D1678" t="s">
        <v>8</v>
      </c>
      <c r="E1678" t="s">
        <v>8</v>
      </c>
      <c r="F1678" t="s">
        <v>3670</v>
      </c>
      <c r="G1678" t="s">
        <v>3671</v>
      </c>
      <c r="H1678" t="s">
        <v>3671</v>
      </c>
      <c r="I1678" t="s">
        <v>3672</v>
      </c>
    </row>
    <row r="1679" spans="1:9" x14ac:dyDescent="0.25">
      <c r="A1679" s="1" t="str">
        <f>HYPERLINK("https://lynxcrm-apac--c.eu19.visual.force.com/0011i000001xmo3AAA","GSH Clinic &amp; Surgery")</f>
        <v>GSH Clinic &amp; Surgery</v>
      </c>
      <c r="B1679" t="s">
        <v>3673</v>
      </c>
      <c r="C1679" t="s">
        <v>10</v>
      </c>
      <c r="D1679" t="s">
        <v>8</v>
      </c>
      <c r="E1679" t="s">
        <v>8</v>
      </c>
      <c r="F1679" t="s">
        <v>3674</v>
      </c>
      <c r="G1679" t="s">
        <v>3675</v>
      </c>
      <c r="H1679" t="s">
        <v>3675</v>
      </c>
      <c r="I1679" t="s">
        <v>3676</v>
      </c>
    </row>
    <row r="1680" spans="1:9" x14ac:dyDescent="0.25">
      <c r="A1680" s="1" t="str">
        <f>HYPERLINK("https://lynxcrm-apac--c.eu19.visual.force.com/0011i000001xnhpAAA","Guan, Huey Chen")</f>
        <v>Guan, Huey Chen</v>
      </c>
      <c r="B1680" t="s">
        <v>3677</v>
      </c>
      <c r="C1680" t="s">
        <v>28</v>
      </c>
      <c r="D1680" t="s">
        <v>261</v>
      </c>
      <c r="E1680" t="s">
        <v>8</v>
      </c>
      <c r="F1680" t="s">
        <v>261</v>
      </c>
      <c r="G1680" t="s">
        <v>347</v>
      </c>
      <c r="H1680" t="s">
        <v>347</v>
      </c>
      <c r="I1680" t="s">
        <v>260</v>
      </c>
    </row>
    <row r="1681" spans="1:9" x14ac:dyDescent="0.25">
      <c r="A1681" s="1" t="str">
        <f>HYPERLINK("https://lynxcrm-apac--c.eu19.visual.force.com/0011i000001xoHaAAI","Guan, Richard")</f>
        <v>Guan, Richard</v>
      </c>
      <c r="B1681" t="s">
        <v>3678</v>
      </c>
      <c r="C1681" t="s">
        <v>28</v>
      </c>
      <c r="D1681" t="s">
        <v>3679</v>
      </c>
      <c r="E1681" t="s">
        <v>8</v>
      </c>
      <c r="F1681" t="s">
        <v>373</v>
      </c>
      <c r="G1681" t="s">
        <v>1296</v>
      </c>
      <c r="H1681" t="s">
        <v>1296</v>
      </c>
      <c r="I1681" t="s">
        <v>123</v>
      </c>
    </row>
    <row r="1682" spans="1:9" x14ac:dyDescent="0.25">
      <c r="A1682" s="1" t="str">
        <f>HYPERLINK("https://lynxcrm-apac--c.eu19.visual.force.com/0011i00000Q2ct1AAB","Guan Hong, Ong")</f>
        <v>Guan Hong, Ong</v>
      </c>
      <c r="B1682" t="s">
        <v>3680</v>
      </c>
      <c r="C1682" t="s">
        <v>28</v>
      </c>
      <c r="D1682" t="s">
        <v>3681</v>
      </c>
      <c r="E1682" t="s">
        <v>8</v>
      </c>
      <c r="F1682" t="s">
        <v>3682</v>
      </c>
      <c r="G1682" t="s">
        <v>3683</v>
      </c>
      <c r="H1682" t="s">
        <v>3683</v>
      </c>
      <c r="I1682" t="s">
        <v>3684</v>
      </c>
    </row>
    <row r="1683" spans="1:9" x14ac:dyDescent="0.25">
      <c r="A1683" s="1" t="str">
        <f>HYPERLINK("https://lynxcrm-apac--c.eu19.visual.force.com/0011i000001xmxuAAA","Guardian Health &amp; Beauty - Gleneagles")</f>
        <v>Guardian Health &amp; Beauty - Gleneagles</v>
      </c>
      <c r="B1683" t="s">
        <v>3685</v>
      </c>
      <c r="C1683" t="s">
        <v>10</v>
      </c>
      <c r="D1683" t="s">
        <v>8</v>
      </c>
      <c r="E1683" t="s">
        <v>8</v>
      </c>
      <c r="F1683" t="s">
        <v>69</v>
      </c>
      <c r="G1683" t="s">
        <v>3686</v>
      </c>
      <c r="H1683" t="s">
        <v>3686</v>
      </c>
      <c r="I1683" t="s">
        <v>466</v>
      </c>
    </row>
    <row r="1684" spans="1:9" x14ac:dyDescent="0.25">
      <c r="A1684" s="1" t="str">
        <f>HYPERLINK("https://lynxcrm-apac--c.eu19.visual.force.com/0011i000001xnX3AAI","Guardian Pharmacy - 313")</f>
        <v>Guardian Pharmacy - 313</v>
      </c>
      <c r="B1684" t="s">
        <v>3687</v>
      </c>
      <c r="C1684" t="s">
        <v>28</v>
      </c>
      <c r="D1684" t="s">
        <v>8</v>
      </c>
      <c r="E1684" t="s">
        <v>8</v>
      </c>
      <c r="F1684" t="s">
        <v>3688</v>
      </c>
      <c r="G1684" t="s">
        <v>3689</v>
      </c>
      <c r="H1684" t="s">
        <v>3689</v>
      </c>
      <c r="I1684" t="s">
        <v>3690</v>
      </c>
    </row>
    <row r="1685" spans="1:9" x14ac:dyDescent="0.25">
      <c r="A1685" s="1" t="str">
        <f>HYPERLINK("https://lynxcrm-apac--c.eu19.visual.force.com/0011i000001xmvSAAQ","Guardian Pharmacy - Admiralty Place")</f>
        <v>Guardian Pharmacy - Admiralty Place</v>
      </c>
      <c r="B1685" t="s">
        <v>3691</v>
      </c>
      <c r="C1685" t="s">
        <v>28</v>
      </c>
      <c r="D1685" t="s">
        <v>8</v>
      </c>
      <c r="E1685" t="s">
        <v>8</v>
      </c>
      <c r="F1685" t="s">
        <v>3692</v>
      </c>
      <c r="G1685" t="s">
        <v>3693</v>
      </c>
      <c r="H1685" t="s">
        <v>3693</v>
      </c>
      <c r="I1685" t="s">
        <v>304</v>
      </c>
    </row>
    <row r="1686" spans="1:9" x14ac:dyDescent="0.25">
      <c r="A1686" s="1" t="str">
        <f>HYPERLINK("https://lynxcrm-apac--c.eu19.visual.force.com/0011i00000Q2bvbAAB","Guardian Pharmacy - Bedok Blk 210")</f>
        <v>Guardian Pharmacy - Bedok Blk 210</v>
      </c>
      <c r="B1686" t="s">
        <v>3694</v>
      </c>
      <c r="C1686" t="s">
        <v>28</v>
      </c>
      <c r="D1686" t="s">
        <v>8</v>
      </c>
      <c r="E1686" t="s">
        <v>8</v>
      </c>
      <c r="F1686" t="s">
        <v>3695</v>
      </c>
      <c r="G1686" t="s">
        <v>3696</v>
      </c>
      <c r="H1686" t="s">
        <v>8</v>
      </c>
      <c r="I1686" t="s">
        <v>3697</v>
      </c>
    </row>
    <row r="1687" spans="1:9" x14ac:dyDescent="0.25">
      <c r="A1687" s="1" t="str">
        <f>HYPERLINK("https://lynxcrm-apac--c.eu19.visual.force.com/0011i000001xnEHAAY","Guardian Pharmacy - Bedok Mall")</f>
        <v>Guardian Pharmacy - Bedok Mall</v>
      </c>
      <c r="B1687" t="s">
        <v>3698</v>
      </c>
      <c r="C1687" t="s">
        <v>28</v>
      </c>
      <c r="D1687" t="s">
        <v>8</v>
      </c>
      <c r="E1687" t="s">
        <v>8</v>
      </c>
      <c r="F1687" t="s">
        <v>3699</v>
      </c>
      <c r="G1687" t="s">
        <v>3700</v>
      </c>
      <c r="H1687" t="s">
        <v>3700</v>
      </c>
      <c r="I1687" t="s">
        <v>3701</v>
      </c>
    </row>
    <row r="1688" spans="1:9" x14ac:dyDescent="0.25">
      <c r="A1688" s="1" t="str">
        <f>HYPERLINK("https://lynxcrm-apac--c.eu19.visual.force.com/0011i00000Q2bmKAAR","Guardian Pharmacy - Bugis Junction Mall")</f>
        <v>Guardian Pharmacy - Bugis Junction Mall</v>
      </c>
      <c r="B1688" t="s">
        <v>3702</v>
      </c>
      <c r="C1688" t="s">
        <v>28</v>
      </c>
      <c r="D1688" t="s">
        <v>8</v>
      </c>
      <c r="E1688" t="s">
        <v>8</v>
      </c>
      <c r="F1688" t="s">
        <v>3703</v>
      </c>
      <c r="G1688" t="s">
        <v>3704</v>
      </c>
      <c r="H1688" t="s">
        <v>8</v>
      </c>
      <c r="I1688" t="s">
        <v>3705</v>
      </c>
    </row>
    <row r="1689" spans="1:9" x14ac:dyDescent="0.25">
      <c r="A1689" s="1" t="str">
        <f>HYPERLINK("https://lynxcrm-apac--c.eu19.visual.force.com/0011i00000Q2bfGAAR","Guardian Pharmacy - Bugis MRT")</f>
        <v>Guardian Pharmacy - Bugis MRT</v>
      </c>
      <c r="B1689" t="s">
        <v>3706</v>
      </c>
      <c r="C1689" t="s">
        <v>28</v>
      </c>
      <c r="D1689" t="s">
        <v>8</v>
      </c>
      <c r="E1689" t="s">
        <v>8</v>
      </c>
      <c r="F1689" t="s">
        <v>3707</v>
      </c>
      <c r="G1689" t="s">
        <v>3704</v>
      </c>
      <c r="H1689" t="s">
        <v>8</v>
      </c>
      <c r="I1689" t="s">
        <v>3708</v>
      </c>
    </row>
    <row r="1690" spans="1:9" x14ac:dyDescent="0.25">
      <c r="A1690" s="1" t="str">
        <f>HYPERLINK("https://lynxcrm-apac--c.eu19.visual.force.com/0011i000001xn64AAA","Guardian Pharmacy - Centrepoint")</f>
        <v>Guardian Pharmacy - Centrepoint</v>
      </c>
      <c r="B1690" t="s">
        <v>3709</v>
      </c>
      <c r="C1690" t="s">
        <v>28</v>
      </c>
      <c r="D1690" t="s">
        <v>8</v>
      </c>
      <c r="E1690" t="s">
        <v>8</v>
      </c>
      <c r="F1690" t="s">
        <v>3710</v>
      </c>
      <c r="G1690" t="s">
        <v>3711</v>
      </c>
      <c r="H1690" t="s">
        <v>3711</v>
      </c>
      <c r="I1690" t="s">
        <v>3712</v>
      </c>
    </row>
    <row r="1691" spans="1:9" x14ac:dyDescent="0.25">
      <c r="A1691" s="1" t="str">
        <f>HYPERLINK("https://lynxcrm-apac--c.eu19.visual.force.com/0011i000001xnOuAAI","Guardian Pharmacy - Citi Link Mall")</f>
        <v>Guardian Pharmacy - Citi Link Mall</v>
      </c>
      <c r="B1691" t="s">
        <v>3713</v>
      </c>
      <c r="C1691" t="s">
        <v>28</v>
      </c>
      <c r="D1691" t="s">
        <v>8</v>
      </c>
      <c r="E1691" t="s">
        <v>8</v>
      </c>
      <c r="F1691" t="s">
        <v>3714</v>
      </c>
      <c r="G1691" t="s">
        <v>3715</v>
      </c>
      <c r="H1691" t="s">
        <v>3715</v>
      </c>
      <c r="I1691" t="s">
        <v>3716</v>
      </c>
    </row>
    <row r="1692" spans="1:9" x14ac:dyDescent="0.25">
      <c r="A1692" s="1" t="str">
        <f>HYPERLINK("https://lynxcrm-apac--c.eu19.visual.force.com/0011i000001xn66AAA","Guardian Pharmacy - Cold Storage Jelita")</f>
        <v>Guardian Pharmacy - Cold Storage Jelita</v>
      </c>
      <c r="B1692" t="s">
        <v>3717</v>
      </c>
      <c r="C1692" t="s">
        <v>28</v>
      </c>
      <c r="D1692" t="s">
        <v>8</v>
      </c>
      <c r="E1692" t="s">
        <v>8</v>
      </c>
      <c r="F1692" t="s">
        <v>3718</v>
      </c>
      <c r="G1692" t="s">
        <v>3719</v>
      </c>
      <c r="H1692" t="s">
        <v>3719</v>
      </c>
      <c r="I1692" t="s">
        <v>3720</v>
      </c>
    </row>
    <row r="1693" spans="1:9" x14ac:dyDescent="0.25">
      <c r="A1693" s="1" t="str">
        <f>HYPERLINK("https://lynxcrm-apac--c.eu19.visual.force.com/0011i000001xnK4AAI","Guardian Pharmacy - Giant")</f>
        <v>Guardian Pharmacy - Giant</v>
      </c>
      <c r="B1693" t="s">
        <v>3721</v>
      </c>
      <c r="C1693" t="s">
        <v>28</v>
      </c>
      <c r="D1693" t="s">
        <v>8</v>
      </c>
      <c r="E1693" t="s">
        <v>8</v>
      </c>
      <c r="F1693" t="s">
        <v>3722</v>
      </c>
      <c r="G1693" t="s">
        <v>3723</v>
      </c>
      <c r="H1693" t="s">
        <v>3723</v>
      </c>
      <c r="I1693" t="s">
        <v>3724</v>
      </c>
    </row>
    <row r="1694" spans="1:9" x14ac:dyDescent="0.25">
      <c r="A1694" s="1" t="str">
        <f>HYPERLINK("https://lynxcrm-apac--c.eu19.visual.force.com/0011i000001xnF4AAI","Guardian Pharmacy  - GMC")</f>
        <v>Guardian Pharmacy  - GMC</v>
      </c>
      <c r="B1694" t="s">
        <v>3725</v>
      </c>
      <c r="C1694" t="s">
        <v>28</v>
      </c>
      <c r="D1694" t="s">
        <v>8</v>
      </c>
      <c r="E1694" t="s">
        <v>8</v>
      </c>
      <c r="F1694" t="s">
        <v>3726</v>
      </c>
      <c r="G1694" t="s">
        <v>65</v>
      </c>
      <c r="H1694" t="s">
        <v>65</v>
      </c>
      <c r="I1694" t="s">
        <v>466</v>
      </c>
    </row>
    <row r="1695" spans="1:9" x14ac:dyDescent="0.25">
      <c r="A1695" s="1" t="str">
        <f>HYPERLINK("https://lynxcrm-apac--c.eu19.visual.force.com/0011i000001xmgZAAQ","Guardian Pharmacy - Great World City")</f>
        <v>Guardian Pharmacy - Great World City</v>
      </c>
      <c r="B1695" t="s">
        <v>3727</v>
      </c>
      <c r="C1695" t="s">
        <v>28</v>
      </c>
      <c r="D1695" t="s">
        <v>8</v>
      </c>
      <c r="E1695" t="s">
        <v>8</v>
      </c>
      <c r="F1695" t="s">
        <v>3728</v>
      </c>
      <c r="G1695" t="s">
        <v>3729</v>
      </c>
      <c r="H1695" t="s">
        <v>3729</v>
      </c>
      <c r="I1695" t="s">
        <v>3730</v>
      </c>
    </row>
    <row r="1696" spans="1:9" x14ac:dyDescent="0.25">
      <c r="A1696" s="1" t="str">
        <f>HYPERLINK("https://lynxcrm-apac--c.eu19.visual.force.com/0011i000001xmxYAAQ","Guardian Pharmacy - Heartland Malll")</f>
        <v>Guardian Pharmacy - Heartland Malll</v>
      </c>
      <c r="B1696" t="s">
        <v>3731</v>
      </c>
      <c r="C1696" t="s">
        <v>28</v>
      </c>
      <c r="D1696" t="s">
        <v>8</v>
      </c>
      <c r="E1696" t="s">
        <v>8</v>
      </c>
      <c r="F1696" t="s">
        <v>3732</v>
      </c>
      <c r="G1696" t="s">
        <v>3733</v>
      </c>
      <c r="H1696" t="s">
        <v>3733</v>
      </c>
      <c r="I1696" t="s">
        <v>3734</v>
      </c>
    </row>
    <row r="1697" spans="1:9" x14ac:dyDescent="0.25">
      <c r="A1697" s="1" t="str">
        <f>HYPERLINK("https://lynxcrm-apac--c.eu19.visual.force.com/0011i000001xmhYAAQ","Guardian Pharmacy - Holland")</f>
        <v>Guardian Pharmacy - Holland</v>
      </c>
      <c r="B1697" t="s">
        <v>3735</v>
      </c>
      <c r="C1697" t="s">
        <v>28</v>
      </c>
      <c r="D1697" t="s">
        <v>8</v>
      </c>
      <c r="E1697" t="s">
        <v>8</v>
      </c>
      <c r="F1697" t="s">
        <v>3736</v>
      </c>
      <c r="G1697" t="s">
        <v>3737</v>
      </c>
      <c r="H1697" t="s">
        <v>3737</v>
      </c>
      <c r="I1697" t="s">
        <v>3738</v>
      </c>
    </row>
    <row r="1698" spans="1:9" x14ac:dyDescent="0.25">
      <c r="A1698" s="1" t="str">
        <f>HYPERLINK("https://lynxcrm-apac--c.eu19.visual.force.com/0011i000001xnRbAAI","Guardian Pharmacy - JEM")</f>
        <v>Guardian Pharmacy - JEM</v>
      </c>
      <c r="B1698" t="s">
        <v>3739</v>
      </c>
      <c r="C1698" t="s">
        <v>28</v>
      </c>
      <c r="D1698" t="s">
        <v>8</v>
      </c>
      <c r="E1698" t="s">
        <v>8</v>
      </c>
      <c r="F1698" t="s">
        <v>3740</v>
      </c>
      <c r="G1698" t="s">
        <v>3741</v>
      </c>
      <c r="H1698" t="s">
        <v>3741</v>
      </c>
      <c r="I1698" t="s">
        <v>3742</v>
      </c>
    </row>
    <row r="1699" spans="1:9" x14ac:dyDescent="0.25">
      <c r="A1699" s="1" t="str">
        <f>HYPERLINK("https://lynxcrm-apac--c.eu19.visual.force.com/0011i000001xmgaAAA","Guardian Pharmacy - Jurong Point")</f>
        <v>Guardian Pharmacy - Jurong Point</v>
      </c>
      <c r="B1699" t="s">
        <v>3743</v>
      </c>
      <c r="C1699" t="s">
        <v>28</v>
      </c>
      <c r="D1699" t="s">
        <v>8</v>
      </c>
      <c r="E1699" t="s">
        <v>8</v>
      </c>
      <c r="F1699" t="s">
        <v>3744</v>
      </c>
      <c r="G1699" t="s">
        <v>3745</v>
      </c>
      <c r="H1699" t="s">
        <v>3745</v>
      </c>
      <c r="I1699" t="s">
        <v>1994</v>
      </c>
    </row>
    <row r="1700" spans="1:9" x14ac:dyDescent="0.25">
      <c r="A1700" s="1" t="str">
        <f>HYPERLINK("https://lynxcrm-apac--c.eu19.visual.force.com/0011i000001xn67AAA","Guardian Pharmacy - Lot 1")</f>
        <v>Guardian Pharmacy - Lot 1</v>
      </c>
      <c r="B1700" t="s">
        <v>3746</v>
      </c>
      <c r="C1700" t="s">
        <v>28</v>
      </c>
      <c r="D1700" t="s">
        <v>8</v>
      </c>
      <c r="E1700" t="s">
        <v>8</v>
      </c>
      <c r="F1700" t="s">
        <v>3747</v>
      </c>
      <c r="G1700" t="s">
        <v>3748</v>
      </c>
      <c r="H1700" t="s">
        <v>3748</v>
      </c>
      <c r="I1700" t="s">
        <v>3749</v>
      </c>
    </row>
    <row r="1701" spans="1:9" x14ac:dyDescent="0.25">
      <c r="A1701" s="1" t="str">
        <f>HYPERLINK("https://lynxcrm-apac--c.eu19.visual.force.com/0011i000001xnDuAAI","Guardian Pharmacy -Novena Hospital")</f>
        <v>Guardian Pharmacy -Novena Hospital</v>
      </c>
      <c r="B1701" t="s">
        <v>3750</v>
      </c>
      <c r="C1701" t="s">
        <v>28</v>
      </c>
      <c r="D1701" t="s">
        <v>8</v>
      </c>
      <c r="E1701" t="s">
        <v>8</v>
      </c>
      <c r="F1701" t="s">
        <v>3751</v>
      </c>
      <c r="G1701" t="s">
        <v>1838</v>
      </c>
      <c r="H1701" t="s">
        <v>1838</v>
      </c>
      <c r="I1701" t="s">
        <v>344</v>
      </c>
    </row>
    <row r="1702" spans="1:9" x14ac:dyDescent="0.25">
      <c r="A1702" s="1" t="str">
        <f>HYPERLINK("https://lynxcrm-apac--c.eu19.visual.force.com/0011i000001xmjpAAA","Guardian Pharmacy - Novena Square")</f>
        <v>Guardian Pharmacy - Novena Square</v>
      </c>
      <c r="B1702" t="s">
        <v>3752</v>
      </c>
      <c r="C1702" t="s">
        <v>28</v>
      </c>
      <c r="D1702" t="s">
        <v>8</v>
      </c>
      <c r="E1702" t="s">
        <v>8</v>
      </c>
      <c r="F1702" t="s">
        <v>3753</v>
      </c>
      <c r="G1702" t="s">
        <v>3754</v>
      </c>
      <c r="H1702" t="s">
        <v>3754</v>
      </c>
      <c r="I1702" t="s">
        <v>3755</v>
      </c>
    </row>
    <row r="1703" spans="1:9" x14ac:dyDescent="0.25">
      <c r="A1703" s="1" t="str">
        <f>HYPERLINK("https://lynxcrm-apac--c.eu19.visual.force.com/0011i000001xmjqAAA","Guardian Pharmacy - Paragon")</f>
        <v>Guardian Pharmacy - Paragon</v>
      </c>
      <c r="B1703" t="s">
        <v>3756</v>
      </c>
      <c r="C1703" t="s">
        <v>28</v>
      </c>
      <c r="D1703" t="s">
        <v>8</v>
      </c>
      <c r="E1703" t="s">
        <v>8</v>
      </c>
      <c r="F1703" t="s">
        <v>3757</v>
      </c>
      <c r="G1703" t="s">
        <v>3758</v>
      </c>
      <c r="H1703" t="s">
        <v>3758</v>
      </c>
      <c r="I1703" t="s">
        <v>85</v>
      </c>
    </row>
    <row r="1704" spans="1:9" x14ac:dyDescent="0.25">
      <c r="A1704" s="1" t="str">
        <f>HYPERLINK("https://lynxcrm-apac--c.eu19.visual.force.com/0011i000001xn6AAAQ","Guardian Pharmacy - Parkway Parade")</f>
        <v>Guardian Pharmacy - Parkway Parade</v>
      </c>
      <c r="B1704" t="s">
        <v>3759</v>
      </c>
      <c r="C1704" t="s">
        <v>28</v>
      </c>
      <c r="D1704" t="s">
        <v>8</v>
      </c>
      <c r="E1704" t="s">
        <v>8</v>
      </c>
      <c r="F1704" t="s">
        <v>3760</v>
      </c>
      <c r="G1704" t="s">
        <v>3761</v>
      </c>
      <c r="H1704" t="s">
        <v>3761</v>
      </c>
      <c r="I1704" t="s">
        <v>2357</v>
      </c>
    </row>
    <row r="1705" spans="1:9" x14ac:dyDescent="0.25">
      <c r="A1705" s="1" t="str">
        <f>HYPERLINK("https://lynxcrm-apac--c.eu19.visual.force.com/0011i000001xn6BAAQ","Guardian Pharmacy - Raffles City")</f>
        <v>Guardian Pharmacy - Raffles City</v>
      </c>
      <c r="B1705" t="s">
        <v>3762</v>
      </c>
      <c r="C1705" t="s">
        <v>28</v>
      </c>
      <c r="D1705" t="s">
        <v>8</v>
      </c>
      <c r="E1705" t="s">
        <v>8</v>
      </c>
      <c r="F1705" t="s">
        <v>3763</v>
      </c>
      <c r="G1705" t="s">
        <v>3764</v>
      </c>
      <c r="H1705" t="s">
        <v>3764</v>
      </c>
      <c r="I1705" t="s">
        <v>2904</v>
      </c>
    </row>
    <row r="1706" spans="1:9" x14ac:dyDescent="0.25">
      <c r="A1706" s="1" t="str">
        <f>HYPERLINK("https://lynxcrm-apac--c.eu19.visual.force.com/0011i000001xnLsAAI","Guardian Pharmacy - Serangoon Garden")</f>
        <v>Guardian Pharmacy - Serangoon Garden</v>
      </c>
      <c r="B1706" t="s">
        <v>3765</v>
      </c>
      <c r="C1706" t="s">
        <v>28</v>
      </c>
      <c r="D1706" t="s">
        <v>8</v>
      </c>
      <c r="E1706" t="s">
        <v>8</v>
      </c>
      <c r="F1706" t="s">
        <v>3766</v>
      </c>
      <c r="G1706" t="s">
        <v>3767</v>
      </c>
      <c r="H1706" t="s">
        <v>8</v>
      </c>
      <c r="I1706" t="s">
        <v>3768</v>
      </c>
    </row>
    <row r="1707" spans="1:9" x14ac:dyDescent="0.25">
      <c r="A1707" s="1" t="str">
        <f>HYPERLINK("https://lynxcrm-apac--c.eu19.visual.force.com/0011i000001xmjrAAA","Guardian Pharmacy - Sun Plaza")</f>
        <v>Guardian Pharmacy - Sun Plaza</v>
      </c>
      <c r="B1707" t="s">
        <v>3769</v>
      </c>
      <c r="C1707" t="s">
        <v>28</v>
      </c>
      <c r="D1707" t="s">
        <v>8</v>
      </c>
      <c r="E1707" t="s">
        <v>8</v>
      </c>
      <c r="F1707" t="s">
        <v>3770</v>
      </c>
      <c r="G1707" t="s">
        <v>3771</v>
      </c>
      <c r="H1707" t="s">
        <v>3771</v>
      </c>
      <c r="I1707" t="s">
        <v>3772</v>
      </c>
    </row>
    <row r="1708" spans="1:9" x14ac:dyDescent="0.25">
      <c r="A1708" s="1" t="str">
        <f>HYPERLINK("https://lynxcrm-apac--c.eu19.visual.force.com/0011i00000V8Y2tAAF","Guardian Pharmacy - Tampines 201E")</f>
        <v>Guardian Pharmacy - Tampines 201E</v>
      </c>
      <c r="B1708" t="s">
        <v>3773</v>
      </c>
      <c r="C1708" t="s">
        <v>28</v>
      </c>
      <c r="D1708" t="s">
        <v>8</v>
      </c>
      <c r="E1708" t="s">
        <v>8</v>
      </c>
      <c r="F1708" t="s">
        <v>3774</v>
      </c>
      <c r="G1708" t="s">
        <v>3775</v>
      </c>
      <c r="H1708" t="s">
        <v>8</v>
      </c>
      <c r="I1708" t="s">
        <v>3776</v>
      </c>
    </row>
    <row r="1709" spans="1:9" x14ac:dyDescent="0.25">
      <c r="A1709" s="1" t="str">
        <f>HYPERLINK("https://lynxcrm-apac--c.eu19.visual.force.com/0011i000001xn0tAAA","Guardian Pharmacy - Tampines HUB")</f>
        <v>Guardian Pharmacy - Tampines HUB</v>
      </c>
      <c r="B1709" t="s">
        <v>3777</v>
      </c>
      <c r="C1709" t="s">
        <v>28</v>
      </c>
      <c r="D1709" t="s">
        <v>8</v>
      </c>
      <c r="E1709" t="s">
        <v>8</v>
      </c>
      <c r="F1709" t="s">
        <v>3778</v>
      </c>
      <c r="G1709" t="s">
        <v>3779</v>
      </c>
      <c r="H1709" t="s">
        <v>3779</v>
      </c>
      <c r="I1709" t="s">
        <v>3780</v>
      </c>
    </row>
    <row r="1710" spans="1:9" x14ac:dyDescent="0.25">
      <c r="A1710" s="1" t="str">
        <f>HYPERLINK("https://lynxcrm-apac--c.eu19.visual.force.com/0011i000001xnLtAAI","Guardian Pharmacy - Tampines Mall")</f>
        <v>Guardian Pharmacy - Tampines Mall</v>
      </c>
      <c r="B1710" t="s">
        <v>3781</v>
      </c>
      <c r="C1710" t="s">
        <v>28</v>
      </c>
      <c r="D1710" t="s">
        <v>8</v>
      </c>
      <c r="E1710" t="s">
        <v>8</v>
      </c>
      <c r="F1710" t="s">
        <v>3782</v>
      </c>
      <c r="G1710" t="s">
        <v>3783</v>
      </c>
      <c r="H1710" t="s">
        <v>3783</v>
      </c>
      <c r="I1710" t="s">
        <v>3784</v>
      </c>
    </row>
    <row r="1711" spans="1:9" x14ac:dyDescent="0.25">
      <c r="A1711" s="1" t="str">
        <f>HYPERLINK("https://lynxcrm-apac--c.eu19.visual.force.com/0011i000001xn3cAAA","Guardian Pharmacy - Tanjong Pagar")</f>
        <v>Guardian Pharmacy - Tanjong Pagar</v>
      </c>
      <c r="B1711" t="s">
        <v>3785</v>
      </c>
      <c r="C1711" t="s">
        <v>10</v>
      </c>
      <c r="D1711" t="s">
        <v>8</v>
      </c>
      <c r="E1711" t="s">
        <v>8</v>
      </c>
      <c r="F1711" t="s">
        <v>3786</v>
      </c>
      <c r="G1711" t="s">
        <v>3787</v>
      </c>
      <c r="H1711" t="s">
        <v>3787</v>
      </c>
      <c r="I1711" t="s">
        <v>3788</v>
      </c>
    </row>
    <row r="1712" spans="1:9" x14ac:dyDescent="0.25">
      <c r="A1712" s="1" t="str">
        <f>HYPERLINK("https://lynxcrm-apac--c.eu19.visual.force.com/0011i000001xn6EAAQ","Guardian Pharmacy - Thomson Plaza")</f>
        <v>Guardian Pharmacy - Thomson Plaza</v>
      </c>
      <c r="B1712" t="s">
        <v>3789</v>
      </c>
      <c r="C1712" t="s">
        <v>28</v>
      </c>
      <c r="D1712" t="s">
        <v>8</v>
      </c>
      <c r="E1712" t="s">
        <v>8</v>
      </c>
      <c r="F1712" t="s">
        <v>3790</v>
      </c>
      <c r="G1712" t="s">
        <v>3791</v>
      </c>
      <c r="H1712" t="s">
        <v>3791</v>
      </c>
      <c r="I1712" t="s">
        <v>3792</v>
      </c>
    </row>
    <row r="1713" spans="1:9" x14ac:dyDescent="0.25">
      <c r="A1713" s="1" t="str">
        <f>HYPERLINK("https://lynxcrm-apac--c.eu19.visual.force.com/0011i000001xnLvAAI","Guardian Pharmacy - Tiong Bahru")</f>
        <v>Guardian Pharmacy - Tiong Bahru</v>
      </c>
      <c r="B1713" t="s">
        <v>3793</v>
      </c>
      <c r="C1713" t="s">
        <v>28</v>
      </c>
      <c r="D1713" t="s">
        <v>8</v>
      </c>
      <c r="E1713" t="s">
        <v>8</v>
      </c>
      <c r="F1713" t="s">
        <v>3794</v>
      </c>
      <c r="G1713" t="s">
        <v>3795</v>
      </c>
      <c r="H1713" t="s">
        <v>3796</v>
      </c>
      <c r="I1713" t="s">
        <v>3797</v>
      </c>
    </row>
    <row r="1714" spans="1:9" x14ac:dyDescent="0.25">
      <c r="A1714" s="1" t="str">
        <f>HYPERLINK("https://lynxcrm-apac--c.eu19.visual.force.com/0011i000001xnOGAAY","Guardian Pharmacy - Upper Changi")</f>
        <v>Guardian Pharmacy - Upper Changi</v>
      </c>
      <c r="B1714" t="s">
        <v>3798</v>
      </c>
      <c r="C1714" t="s">
        <v>28</v>
      </c>
      <c r="D1714" t="s">
        <v>8</v>
      </c>
      <c r="E1714" t="s">
        <v>8</v>
      </c>
      <c r="F1714" t="s">
        <v>3799</v>
      </c>
      <c r="G1714" t="s">
        <v>3800</v>
      </c>
      <c r="H1714" t="s">
        <v>3801</v>
      </c>
      <c r="I1714" t="s">
        <v>3697</v>
      </c>
    </row>
    <row r="1715" spans="1:9" x14ac:dyDescent="0.25">
      <c r="A1715" s="1" t="str">
        <f>HYPERLINK("https://lynxcrm-apac--c.eu19.visual.force.com/0011i000001xmhdAAA","Guardian Pharmacy - Vivo City")</f>
        <v>Guardian Pharmacy - Vivo City</v>
      </c>
      <c r="B1715" t="s">
        <v>3802</v>
      </c>
      <c r="C1715" t="s">
        <v>28</v>
      </c>
      <c r="D1715" t="s">
        <v>8</v>
      </c>
      <c r="E1715" t="s">
        <v>8</v>
      </c>
      <c r="F1715" t="s">
        <v>3803</v>
      </c>
      <c r="G1715" t="s">
        <v>3804</v>
      </c>
      <c r="H1715" t="s">
        <v>3804</v>
      </c>
      <c r="I1715" t="s">
        <v>3805</v>
      </c>
    </row>
    <row r="1716" spans="1:9" x14ac:dyDescent="0.25">
      <c r="A1716" s="1" t="str">
        <f>HYPERLINK("https://lynxcrm-apac--c.eu19.visual.force.com/0011i00000Q2bHOAAZ","Guardian Pharmacy - Whitesands")</f>
        <v>Guardian Pharmacy - Whitesands</v>
      </c>
      <c r="B1716" t="s">
        <v>3806</v>
      </c>
      <c r="C1716" t="s">
        <v>28</v>
      </c>
      <c r="D1716" t="s">
        <v>8</v>
      </c>
      <c r="E1716" t="s">
        <v>8</v>
      </c>
      <c r="F1716" t="s">
        <v>1880</v>
      </c>
      <c r="G1716" t="s">
        <v>3807</v>
      </c>
      <c r="H1716" t="s">
        <v>8</v>
      </c>
      <c r="I1716" t="s">
        <v>1883</v>
      </c>
    </row>
    <row r="1717" spans="1:9" x14ac:dyDescent="0.25">
      <c r="A1717" s="1" t="str">
        <f>HYPERLINK("https://lynxcrm-apac--c.eu19.visual.force.com/0011i000001xnJtAAI","Guardian Pharmacy - Yew Tee MRT")</f>
        <v>Guardian Pharmacy - Yew Tee MRT</v>
      </c>
      <c r="B1717" t="s">
        <v>3808</v>
      </c>
      <c r="C1717" t="s">
        <v>28</v>
      </c>
      <c r="D1717" t="s">
        <v>8</v>
      </c>
      <c r="E1717" t="s">
        <v>8</v>
      </c>
      <c r="F1717" t="s">
        <v>3809</v>
      </c>
      <c r="G1717" t="s">
        <v>3810</v>
      </c>
      <c r="H1717" t="s">
        <v>3810</v>
      </c>
      <c r="I1717" t="s">
        <v>3811</v>
      </c>
    </row>
    <row r="1718" spans="1:9" x14ac:dyDescent="0.25">
      <c r="A1718" s="1" t="str">
        <f>HYPERLINK("https://lynxcrm-apac--c.eu19.visual.force.com/0011i000001xohuAAA","Gubatayao, Ernalie")</f>
        <v>Gubatayao, Ernalie</v>
      </c>
      <c r="B1718" t="s">
        <v>3812</v>
      </c>
      <c r="C1718" t="s">
        <v>28</v>
      </c>
      <c r="D1718" t="s">
        <v>3813</v>
      </c>
      <c r="E1718" t="s">
        <v>8</v>
      </c>
      <c r="F1718" t="s">
        <v>679</v>
      </c>
      <c r="G1718" t="s">
        <v>113</v>
      </c>
      <c r="H1718" t="s">
        <v>682</v>
      </c>
      <c r="I1718" t="s">
        <v>115</v>
      </c>
    </row>
    <row r="1719" spans="1:9" x14ac:dyDescent="0.25">
      <c r="A1719" s="1" t="str">
        <f>HYPERLINK("https://lynxcrm-apac--c.eu19.visual.force.com/0011i000001xnkkAAA","Gudi, Alakananda")</f>
        <v>Gudi, Alakananda</v>
      </c>
      <c r="B1719" t="s">
        <v>3814</v>
      </c>
      <c r="C1719" t="s">
        <v>28</v>
      </c>
      <c r="D1719" t="s">
        <v>251</v>
      </c>
      <c r="E1719" t="s">
        <v>8</v>
      </c>
      <c r="F1719" t="s">
        <v>251</v>
      </c>
      <c r="G1719" t="s">
        <v>252</v>
      </c>
      <c r="H1719" t="s">
        <v>252</v>
      </c>
      <c r="I1719" t="s">
        <v>253</v>
      </c>
    </row>
    <row r="1720" spans="1:9" x14ac:dyDescent="0.25">
      <c r="A1720" s="1" t="str">
        <f>HYPERLINK("https://lynxcrm-apac--c.eu19.visual.force.com/0011i00000FI0LHAA1","Guo, Kenneth")</f>
        <v>Guo, Kenneth</v>
      </c>
      <c r="B1720" t="s">
        <v>3815</v>
      </c>
      <c r="C1720" t="s">
        <v>28</v>
      </c>
      <c r="D1720" t="s">
        <v>3816</v>
      </c>
      <c r="E1720" t="s">
        <v>8</v>
      </c>
      <c r="F1720" t="s">
        <v>3817</v>
      </c>
      <c r="G1720" t="s">
        <v>2021</v>
      </c>
      <c r="H1720" t="s">
        <v>8</v>
      </c>
      <c r="I1720" t="s">
        <v>344</v>
      </c>
    </row>
    <row r="1721" spans="1:9" x14ac:dyDescent="0.25">
      <c r="A1721" s="1" t="str">
        <f>HYPERLINK("https://lynxcrm-apac--c.eu19.visual.force.com/0011i000001xnorAAA","Guo, Wei Qiang Kenneth")</f>
        <v>Guo, Wei Qiang Kenneth</v>
      </c>
      <c r="B1721" t="s">
        <v>3818</v>
      </c>
      <c r="C1721" t="s">
        <v>28</v>
      </c>
      <c r="D1721" t="s">
        <v>1834</v>
      </c>
      <c r="E1721" t="s">
        <v>8</v>
      </c>
      <c r="F1721" t="s">
        <v>684</v>
      </c>
      <c r="G1721" t="s">
        <v>121</v>
      </c>
      <c r="H1721" t="s">
        <v>121</v>
      </c>
      <c r="I1721" t="s">
        <v>123</v>
      </c>
    </row>
    <row r="1722" spans="1:9" x14ac:dyDescent="0.25">
      <c r="A1722" s="1" t="str">
        <f>HYPERLINK("https://lynxcrm-apac--c.eu19.visual.force.com/0011i000001xnyNAAQ","Gupta, Aditya")</f>
        <v>Gupta, Aditya</v>
      </c>
      <c r="B1722" t="s">
        <v>3819</v>
      </c>
      <c r="C1722" t="s">
        <v>28</v>
      </c>
      <c r="D1722" t="s">
        <v>335</v>
      </c>
      <c r="E1722" t="s">
        <v>8</v>
      </c>
      <c r="F1722" t="s">
        <v>336</v>
      </c>
      <c r="G1722" t="s">
        <v>337</v>
      </c>
      <c r="H1722" t="s">
        <v>337</v>
      </c>
      <c r="I1722" t="s">
        <v>338</v>
      </c>
    </row>
    <row r="1723" spans="1:9" x14ac:dyDescent="0.25">
      <c r="A1723" s="1" t="str">
        <f>HYPERLINK("https://lynxcrm-apac--c.eu19.visual.force.com/0011i000001xnkmAAA","Gupta, Ajeet Kumar")</f>
        <v>Gupta, Ajeet Kumar</v>
      </c>
      <c r="B1723" t="s">
        <v>3820</v>
      </c>
      <c r="C1723" t="s">
        <v>28</v>
      </c>
      <c r="D1723" t="s">
        <v>3821</v>
      </c>
      <c r="E1723" t="s">
        <v>8</v>
      </c>
      <c r="F1723" t="s">
        <v>3822</v>
      </c>
      <c r="G1723" t="s">
        <v>3823</v>
      </c>
      <c r="H1723" t="s">
        <v>3823</v>
      </c>
      <c r="I1723" t="s">
        <v>3824</v>
      </c>
    </row>
    <row r="1724" spans="1:9" x14ac:dyDescent="0.25">
      <c r="A1724" s="1" t="str">
        <f>HYPERLINK("https://lynxcrm-apac--c.eu19.visual.force.com/0011i000001xo0kAAA","Gupta, Megha")</f>
        <v>Gupta, Megha</v>
      </c>
      <c r="B1724" t="s">
        <v>3825</v>
      </c>
      <c r="C1724" t="s">
        <v>28</v>
      </c>
      <c r="D1724" t="s">
        <v>1661</v>
      </c>
      <c r="E1724" t="s">
        <v>8</v>
      </c>
      <c r="F1724" t="s">
        <v>622</v>
      </c>
      <c r="G1724" t="s">
        <v>623</v>
      </c>
      <c r="H1724" t="s">
        <v>623</v>
      </c>
      <c r="I1724" t="s">
        <v>624</v>
      </c>
    </row>
    <row r="1725" spans="1:9" x14ac:dyDescent="0.25">
      <c r="A1725" s="1" t="str">
        <f>HYPERLINK("https://lynxcrm-apac--c.eu19.visual.force.com/0011i00000oVWY5AAO","Gutcare")</f>
        <v>Gutcare</v>
      </c>
      <c r="B1725" t="s">
        <v>3826</v>
      </c>
      <c r="C1725" t="s">
        <v>10</v>
      </c>
      <c r="D1725" t="s">
        <v>8</v>
      </c>
      <c r="E1725" t="s">
        <v>8</v>
      </c>
      <c r="F1725" t="s">
        <v>3827</v>
      </c>
      <c r="G1725" t="s">
        <v>3828</v>
      </c>
      <c r="H1725" t="s">
        <v>8</v>
      </c>
      <c r="I1725" t="s">
        <v>344</v>
      </c>
    </row>
    <row r="1726" spans="1:9" x14ac:dyDescent="0.25">
      <c r="A1726" s="1" t="str">
        <f>HYPERLINK("https://lynxcrm-apac--c.eu19.visual.force.com/0011i000001xn0FAAQ","Gutcare Digestive Liver Endoscopy Associates")</f>
        <v>Gutcare Digestive Liver Endoscopy Associates</v>
      </c>
      <c r="B1726" t="s">
        <v>3829</v>
      </c>
      <c r="C1726" t="s">
        <v>10</v>
      </c>
      <c r="D1726" t="s">
        <v>8</v>
      </c>
      <c r="E1726" t="s">
        <v>8</v>
      </c>
      <c r="F1726" t="s">
        <v>3830</v>
      </c>
      <c r="G1726" t="s">
        <v>3831</v>
      </c>
      <c r="H1726" t="s">
        <v>3831</v>
      </c>
      <c r="I1726" t="s">
        <v>344</v>
      </c>
    </row>
    <row r="1727" spans="1:9" x14ac:dyDescent="0.25">
      <c r="A1727" s="1" t="str">
        <f>HYPERLINK("https://lynxcrm-apac--c.eu19.visual.force.com/0011i000001xoWlAAI","Gwee, Kok Ann")</f>
        <v>Gwee, Kok Ann</v>
      </c>
      <c r="B1727" t="s">
        <v>3832</v>
      </c>
      <c r="C1727" t="s">
        <v>28</v>
      </c>
      <c r="D1727" t="s">
        <v>3833</v>
      </c>
      <c r="E1727" t="s">
        <v>8</v>
      </c>
      <c r="F1727" t="s">
        <v>469</v>
      </c>
      <c r="G1727" t="s">
        <v>3834</v>
      </c>
      <c r="H1727" t="s">
        <v>3835</v>
      </c>
      <c r="I1727" t="s">
        <v>466</v>
      </c>
    </row>
    <row r="1728" spans="1:9" x14ac:dyDescent="0.25">
      <c r="A1728" s="1" t="str">
        <f>HYPERLINK("https://lynxcrm-apac--c.eu19.visual.force.com/0011i000001xog9AAA","Gwee, Seau Min")</f>
        <v>Gwee, Seau Min</v>
      </c>
      <c r="B1728" t="s">
        <v>3836</v>
      </c>
      <c r="C1728" t="s">
        <v>28</v>
      </c>
      <c r="D1728" t="s">
        <v>3837</v>
      </c>
      <c r="E1728" t="s">
        <v>8</v>
      </c>
      <c r="F1728" t="s">
        <v>3838</v>
      </c>
      <c r="G1728" t="s">
        <v>3317</v>
      </c>
      <c r="H1728" t="s">
        <v>3317</v>
      </c>
      <c r="I1728" t="s">
        <v>3839</v>
      </c>
    </row>
    <row r="1729" spans="1:9" x14ac:dyDescent="0.25">
      <c r="A1729" s="1" t="str">
        <f>HYPERLINK("https://lynxcrm-apac--c.eu19.visual.force.com/0011i000001xmx2AAA","Gwee Endocrine &amp; Medical Centre")</f>
        <v>Gwee Endocrine &amp; Medical Centre</v>
      </c>
      <c r="B1729" t="s">
        <v>3840</v>
      </c>
      <c r="C1729" t="s">
        <v>10</v>
      </c>
      <c r="D1729" t="s">
        <v>8</v>
      </c>
      <c r="E1729" t="s">
        <v>8</v>
      </c>
      <c r="F1729" t="s">
        <v>3841</v>
      </c>
      <c r="G1729" t="s">
        <v>3842</v>
      </c>
      <c r="H1729" t="s">
        <v>3842</v>
      </c>
      <c r="I1729" t="s">
        <v>123</v>
      </c>
    </row>
    <row r="1730" spans="1:9" x14ac:dyDescent="0.25">
      <c r="A1730" s="1" t="str">
        <f>HYPERLINK("https://lynxcrm-apac--c.eu19.visual.force.com/0011i000001xn46AAA","GynaeMD Women's &amp; Rejuvenation Clinic")</f>
        <v>GynaeMD Women's &amp; Rejuvenation Clinic</v>
      </c>
      <c r="B1730" t="s">
        <v>3843</v>
      </c>
      <c r="C1730" t="s">
        <v>10</v>
      </c>
      <c r="D1730" t="s">
        <v>8</v>
      </c>
      <c r="E1730" t="s">
        <v>8</v>
      </c>
      <c r="F1730" t="s">
        <v>3844</v>
      </c>
      <c r="G1730" t="s">
        <v>3845</v>
      </c>
      <c r="H1730" t="s">
        <v>3846</v>
      </c>
      <c r="I1730" t="s">
        <v>51</v>
      </c>
    </row>
    <row r="1731" spans="1:9" x14ac:dyDescent="0.25">
      <c r="A1731" s="1" t="str">
        <f>HYPERLINK("https://lynxcrm-apac--c.eu19.visual.force.com/0011i000001xmw7AAA","Haematology Oncology Associates")</f>
        <v>Haematology Oncology Associates</v>
      </c>
      <c r="B1731" t="s">
        <v>3847</v>
      </c>
      <c r="C1731" t="s">
        <v>10</v>
      </c>
      <c r="D1731" t="s">
        <v>8</v>
      </c>
      <c r="E1731" t="s">
        <v>8</v>
      </c>
      <c r="F1731" t="s">
        <v>377</v>
      </c>
      <c r="G1731" t="s">
        <v>3848</v>
      </c>
      <c r="H1731" t="s">
        <v>3849</v>
      </c>
      <c r="I1731" t="s">
        <v>123</v>
      </c>
    </row>
    <row r="1732" spans="1:9" x14ac:dyDescent="0.25">
      <c r="A1732" s="1" t="str">
        <f>HYPERLINK("https://lynxcrm-apac--c.eu19.visual.force.com/0011i000001xoGDAAY","Hafidza, Bte Mohd Said")</f>
        <v>Hafidza, Bte Mohd Said</v>
      </c>
      <c r="B1732" t="s">
        <v>3850</v>
      </c>
      <c r="C1732" t="s">
        <v>28</v>
      </c>
      <c r="D1732" t="s">
        <v>3851</v>
      </c>
      <c r="E1732" t="s">
        <v>8</v>
      </c>
      <c r="F1732" t="s">
        <v>3852</v>
      </c>
      <c r="G1732" t="s">
        <v>3853</v>
      </c>
      <c r="H1732" t="s">
        <v>3853</v>
      </c>
      <c r="I1732" t="s">
        <v>3854</v>
      </c>
    </row>
    <row r="1733" spans="1:9" x14ac:dyDescent="0.25">
      <c r="A1733" s="1" t="str">
        <f>HYPERLINK("https://lynxcrm-apac--c.eu19.visual.force.com/0011i000001xmgCAAQ","Hafiz Clinic &amp; Surgery")</f>
        <v>Hafiz Clinic &amp; Surgery</v>
      </c>
      <c r="B1733" t="s">
        <v>3855</v>
      </c>
      <c r="C1733" t="s">
        <v>10</v>
      </c>
      <c r="D1733" t="s">
        <v>8</v>
      </c>
      <c r="E1733" t="s">
        <v>8</v>
      </c>
      <c r="F1733" t="s">
        <v>3856</v>
      </c>
      <c r="G1733" t="s">
        <v>1027</v>
      </c>
      <c r="H1733" t="s">
        <v>1027</v>
      </c>
      <c r="I1733" t="s">
        <v>3857</v>
      </c>
    </row>
    <row r="1734" spans="1:9" x14ac:dyDescent="0.25">
      <c r="A1734" s="1" t="str">
        <f>HYPERLINK("https://lynxcrm-apac--c.eu19.visual.force.com/0011i000001xnNWAAY","Haig Specialist Clinic")</f>
        <v>Haig Specialist Clinic</v>
      </c>
      <c r="B1734" t="s">
        <v>3858</v>
      </c>
      <c r="C1734" t="s">
        <v>10</v>
      </c>
      <c r="D1734" t="s">
        <v>8</v>
      </c>
      <c r="E1734" t="s">
        <v>8</v>
      </c>
      <c r="F1734" t="s">
        <v>3859</v>
      </c>
      <c r="G1734" t="s">
        <v>3859</v>
      </c>
      <c r="H1734" t="s">
        <v>8</v>
      </c>
      <c r="I1734" t="s">
        <v>3860</v>
      </c>
    </row>
    <row r="1735" spans="1:9" x14ac:dyDescent="0.25">
      <c r="A1735" s="1" t="str">
        <f>HYPERLINK("https://lynxcrm-apac--c.eu19.visual.force.com/0011i000001xmlUAAQ","Haig Specialist Medical Clinic Pte Ltd")</f>
        <v>Haig Specialist Medical Clinic Pte Ltd</v>
      </c>
      <c r="B1735" t="s">
        <v>3861</v>
      </c>
      <c r="C1735" t="s">
        <v>10</v>
      </c>
      <c r="D1735" t="s">
        <v>8</v>
      </c>
      <c r="E1735" t="s">
        <v>8</v>
      </c>
      <c r="F1735" t="s">
        <v>781</v>
      </c>
      <c r="G1735" t="s">
        <v>2773</v>
      </c>
      <c r="H1735" t="s">
        <v>2774</v>
      </c>
      <c r="I1735" t="s">
        <v>784</v>
      </c>
    </row>
    <row r="1736" spans="1:9" x14ac:dyDescent="0.25">
      <c r="A1736" s="1" t="str">
        <f>HYPERLINK("https://lynxcrm-apac--c.eu19.visual.force.com/0011i000001xmvvAAA","Halley Medical Clinic")</f>
        <v>Halley Medical Clinic</v>
      </c>
      <c r="B1736" t="s">
        <v>3862</v>
      </c>
      <c r="C1736" t="s">
        <v>10</v>
      </c>
      <c r="D1736" t="s">
        <v>8</v>
      </c>
      <c r="E1736" t="s">
        <v>8</v>
      </c>
      <c r="F1736" t="s">
        <v>3863</v>
      </c>
      <c r="G1736" t="s">
        <v>1348</v>
      </c>
      <c r="H1736" t="s">
        <v>1348</v>
      </c>
      <c r="I1736" t="s">
        <v>3864</v>
      </c>
    </row>
    <row r="1737" spans="1:9" x14ac:dyDescent="0.25">
      <c r="A1737" s="1" t="str">
        <f>HYPERLINK("https://lynxcrm-apac--c.eu19.visual.force.com/0011i000001xoluAAA","Hamid, Bin Ahmad")</f>
        <v>Hamid, Bin Ahmad</v>
      </c>
      <c r="B1737" t="s">
        <v>3865</v>
      </c>
      <c r="C1737" t="s">
        <v>28</v>
      </c>
      <c r="D1737" t="s">
        <v>3866</v>
      </c>
      <c r="E1737" t="s">
        <v>8</v>
      </c>
      <c r="F1737" t="s">
        <v>3867</v>
      </c>
      <c r="G1737" t="s">
        <v>3868</v>
      </c>
      <c r="H1737" t="s">
        <v>3869</v>
      </c>
      <c r="I1737" t="s">
        <v>3870</v>
      </c>
    </row>
    <row r="1738" spans="1:9" x14ac:dyDescent="0.25">
      <c r="A1738" s="1" t="str">
        <f>HYPERLINK("https://lynxcrm-apac--c.eu19.visual.force.com/0011i000001xoNOAAY","Han, C C Cordellia")</f>
        <v>Han, C C Cordellia</v>
      </c>
      <c r="B1738" t="s">
        <v>3871</v>
      </c>
      <c r="C1738" t="s">
        <v>28</v>
      </c>
      <c r="D1738" t="s">
        <v>228</v>
      </c>
      <c r="E1738" t="s">
        <v>8</v>
      </c>
      <c r="F1738" t="s">
        <v>2244</v>
      </c>
      <c r="G1738" t="s">
        <v>163</v>
      </c>
      <c r="H1738" t="s">
        <v>163</v>
      </c>
      <c r="I1738" t="s">
        <v>165</v>
      </c>
    </row>
    <row r="1739" spans="1:9" x14ac:dyDescent="0.25">
      <c r="A1739" s="1" t="str">
        <f>HYPERLINK("https://lynxcrm-apac--c.eu19.visual.force.com/0011i000001xoNOAAY","Han, C C Cordellia")</f>
        <v>Han, C C Cordellia</v>
      </c>
      <c r="B1739" t="s">
        <v>3871</v>
      </c>
      <c r="C1739" t="s">
        <v>28</v>
      </c>
      <c r="D1739" t="s">
        <v>164</v>
      </c>
      <c r="E1739" t="s">
        <v>8</v>
      </c>
      <c r="F1739" t="s">
        <v>163</v>
      </c>
      <c r="G1739" t="s">
        <v>228</v>
      </c>
      <c r="H1739" t="s">
        <v>228</v>
      </c>
      <c r="I1739" t="s">
        <v>165</v>
      </c>
    </row>
    <row r="1740" spans="1:9" x14ac:dyDescent="0.25">
      <c r="A1740" s="1" t="str">
        <f>HYPERLINK("https://lynxcrm-apac--c.eu19.visual.force.com/0011i000001xoNOAAY","Han, C C Cordellia")</f>
        <v>Han, C C Cordellia</v>
      </c>
      <c r="B1740" t="s">
        <v>3871</v>
      </c>
      <c r="C1740" t="s">
        <v>28</v>
      </c>
      <c r="D1740" t="s">
        <v>164</v>
      </c>
      <c r="E1740" t="s">
        <v>8</v>
      </c>
      <c r="F1740" t="s">
        <v>229</v>
      </c>
      <c r="G1740" t="s">
        <v>163</v>
      </c>
      <c r="H1740" t="s">
        <v>163</v>
      </c>
      <c r="I1740" t="s">
        <v>165</v>
      </c>
    </row>
    <row r="1741" spans="1:9" x14ac:dyDescent="0.25">
      <c r="A1741" s="1" t="str">
        <f>HYPERLINK("https://lynxcrm-apac--c.eu19.visual.force.com/0011i000007DbTsAAK","Han, Debra")</f>
        <v>Han, Debra</v>
      </c>
      <c r="B1741" t="s">
        <v>3872</v>
      </c>
      <c r="C1741" t="s">
        <v>28</v>
      </c>
      <c r="D1741" t="s">
        <v>1462</v>
      </c>
      <c r="E1741" t="s">
        <v>8</v>
      </c>
      <c r="F1741" t="s">
        <v>1463</v>
      </c>
      <c r="G1741" t="s">
        <v>1464</v>
      </c>
      <c r="H1741" t="s">
        <v>8</v>
      </c>
      <c r="I1741" t="s">
        <v>1465</v>
      </c>
    </row>
    <row r="1742" spans="1:9" x14ac:dyDescent="0.25">
      <c r="A1742" s="1" t="str">
        <f>HYPERLINK("https://lynxcrm-apac--c.eu19.visual.force.com/0011i000001xnzxAAA","Han, Sheena")</f>
        <v>Han, Sheena</v>
      </c>
      <c r="B1742" t="s">
        <v>3873</v>
      </c>
      <c r="C1742" t="s">
        <v>28</v>
      </c>
      <c r="D1742" t="s">
        <v>583</v>
      </c>
      <c r="E1742" t="s">
        <v>8</v>
      </c>
      <c r="F1742" t="s">
        <v>583</v>
      </c>
      <c r="G1742" t="s">
        <v>584</v>
      </c>
      <c r="H1742" t="s">
        <v>584</v>
      </c>
      <c r="I1742" t="s">
        <v>585</v>
      </c>
    </row>
    <row r="1743" spans="1:9" x14ac:dyDescent="0.25">
      <c r="A1743" s="1" t="str">
        <f>HYPERLINK("https://lynxcrm-apac--c.eu19.visual.force.com/0011i000001xo2GAAQ","Han, Su Yin Jane")</f>
        <v>Han, Su Yin Jane</v>
      </c>
      <c r="B1743" t="s">
        <v>3874</v>
      </c>
      <c r="C1743" t="s">
        <v>28</v>
      </c>
      <c r="D1743" t="s">
        <v>1661</v>
      </c>
      <c r="E1743" t="s">
        <v>8</v>
      </c>
      <c r="F1743" t="s">
        <v>622</v>
      </c>
      <c r="G1743" t="s">
        <v>623</v>
      </c>
      <c r="H1743" t="s">
        <v>623</v>
      </c>
      <c r="I1743" t="s">
        <v>624</v>
      </c>
    </row>
    <row r="1744" spans="1:9" x14ac:dyDescent="0.25">
      <c r="A1744" s="1" t="str">
        <f>HYPERLINK("https://lynxcrm-apac--c.eu19.visual.force.com/0011i00000vwapqAAA","Han, Whie Kwang")</f>
        <v>Han, Whie Kwang</v>
      </c>
      <c r="B1744" t="s">
        <v>3875</v>
      </c>
      <c r="C1744" t="s">
        <v>28</v>
      </c>
      <c r="D1744" t="s">
        <v>3876</v>
      </c>
      <c r="E1744" t="s">
        <v>8</v>
      </c>
      <c r="F1744" t="s">
        <v>2483</v>
      </c>
      <c r="G1744" t="s">
        <v>2484</v>
      </c>
      <c r="H1744" t="s">
        <v>8</v>
      </c>
      <c r="I1744" t="s">
        <v>2485</v>
      </c>
    </row>
    <row r="1745" spans="1:9" x14ac:dyDescent="0.25">
      <c r="A1745" s="1" t="str">
        <f>HYPERLINK("https://lynxcrm-apac--c.eu19.visual.force.com/0011i000001xolzAAA","Hangchi, Paul")</f>
        <v>Hangchi, Paul</v>
      </c>
      <c r="B1745" t="s">
        <v>3877</v>
      </c>
      <c r="C1745" t="s">
        <v>28</v>
      </c>
      <c r="D1745" t="s">
        <v>3878</v>
      </c>
      <c r="E1745" t="s">
        <v>8</v>
      </c>
      <c r="F1745" t="s">
        <v>3879</v>
      </c>
      <c r="G1745" t="s">
        <v>564</v>
      </c>
      <c r="H1745" t="s">
        <v>3880</v>
      </c>
      <c r="I1745" t="s">
        <v>3881</v>
      </c>
    </row>
    <row r="1746" spans="1:9" x14ac:dyDescent="0.25">
      <c r="A1746" s="1" t="str">
        <f>HYPERLINK("https://lynxcrm-apac--c.eu19.visual.force.com/0011i000001xnaAAAQ","Harmony Family Clinic")</f>
        <v>Harmony Family Clinic</v>
      </c>
      <c r="B1746" t="s">
        <v>3882</v>
      </c>
      <c r="C1746" t="s">
        <v>10</v>
      </c>
      <c r="D1746" t="s">
        <v>8</v>
      </c>
      <c r="E1746" t="s">
        <v>8</v>
      </c>
      <c r="F1746" t="s">
        <v>3883</v>
      </c>
      <c r="G1746" t="s">
        <v>3884</v>
      </c>
      <c r="H1746" t="s">
        <v>3884</v>
      </c>
      <c r="I1746" t="s">
        <v>3885</v>
      </c>
    </row>
    <row r="1747" spans="1:9" x14ac:dyDescent="0.25">
      <c r="A1747" s="1" t="str">
        <f>HYPERLINK("https://lynxcrm-apac--c.eu19.visual.force.com/0011i000001xoaWAAQ","Hartina, Hajireen Rajud")</f>
        <v>Hartina, Hajireen Rajud</v>
      </c>
      <c r="B1747" t="s">
        <v>3886</v>
      </c>
      <c r="C1747" t="s">
        <v>28</v>
      </c>
      <c r="D1747" t="s">
        <v>583</v>
      </c>
      <c r="E1747" t="s">
        <v>8</v>
      </c>
      <c r="F1747" t="s">
        <v>583</v>
      </c>
      <c r="G1747" t="s">
        <v>584</v>
      </c>
      <c r="H1747" t="s">
        <v>584</v>
      </c>
      <c r="I1747" t="s">
        <v>585</v>
      </c>
    </row>
    <row r="1748" spans="1:9" x14ac:dyDescent="0.25">
      <c r="A1748" s="1" t="str">
        <f>HYPERLINK("https://lynxcrm-apac--c.eu19.visual.force.com/0011i000001xoaWAAQ","Hartina, Hajireen Rajud")</f>
        <v>Hartina, Hajireen Rajud</v>
      </c>
      <c r="B1748" t="s">
        <v>3886</v>
      </c>
      <c r="C1748" t="s">
        <v>28</v>
      </c>
      <c r="D1748" t="s">
        <v>514</v>
      </c>
      <c r="E1748" t="s">
        <v>8</v>
      </c>
      <c r="F1748" t="s">
        <v>584</v>
      </c>
      <c r="G1748" t="s">
        <v>583</v>
      </c>
      <c r="H1748" t="s">
        <v>583</v>
      </c>
      <c r="I1748" t="s">
        <v>585</v>
      </c>
    </row>
    <row r="1749" spans="1:9" x14ac:dyDescent="0.25">
      <c r="A1749" s="1" t="str">
        <f>HYPERLINK("https://lynxcrm-apac--c.eu19.visual.force.com/0011i000007DNLPAA4","Haryati, Haryati")</f>
        <v>Haryati, Haryati</v>
      </c>
      <c r="B1749" t="s">
        <v>3887</v>
      </c>
      <c r="C1749" t="s">
        <v>28</v>
      </c>
      <c r="D1749" t="s">
        <v>709</v>
      </c>
      <c r="E1749" t="s">
        <v>8</v>
      </c>
      <c r="F1749" t="s">
        <v>710</v>
      </c>
      <c r="G1749" t="s">
        <v>135</v>
      </c>
      <c r="H1749" t="s">
        <v>135</v>
      </c>
      <c r="I1749" t="s">
        <v>711</v>
      </c>
    </row>
    <row r="1750" spans="1:9" x14ac:dyDescent="0.25">
      <c r="A1750" s="1" t="str">
        <f>HYPERLINK("https://lynxcrm-apac--c.eu19.visual.force.com/0011i000001xoTcAAI","Hasegawa, Noriko")</f>
        <v>Hasegawa, Noriko</v>
      </c>
      <c r="B1750" t="s">
        <v>3888</v>
      </c>
      <c r="C1750" t="s">
        <v>28</v>
      </c>
      <c r="D1750" t="s">
        <v>164</v>
      </c>
      <c r="E1750" t="s">
        <v>8</v>
      </c>
      <c r="F1750" t="s">
        <v>163</v>
      </c>
      <c r="G1750" t="s">
        <v>228</v>
      </c>
      <c r="H1750" t="s">
        <v>228</v>
      </c>
      <c r="I1750" t="s">
        <v>165</v>
      </c>
    </row>
    <row r="1751" spans="1:9" x14ac:dyDescent="0.25">
      <c r="A1751" s="1" t="str">
        <f>HYPERLINK("https://lynxcrm-apac--c.eu19.visual.force.com/0011i000001xoTcAAI","Hasegawa, Noriko")</f>
        <v>Hasegawa, Noriko</v>
      </c>
      <c r="B1751" t="s">
        <v>3888</v>
      </c>
      <c r="C1751" t="s">
        <v>28</v>
      </c>
      <c r="D1751" t="s">
        <v>164</v>
      </c>
      <c r="E1751" t="s">
        <v>8</v>
      </c>
      <c r="F1751" t="s">
        <v>229</v>
      </c>
      <c r="G1751" t="s">
        <v>163</v>
      </c>
      <c r="H1751" t="s">
        <v>163</v>
      </c>
      <c r="I1751" t="s">
        <v>165</v>
      </c>
    </row>
    <row r="1752" spans="1:9" x14ac:dyDescent="0.25">
      <c r="A1752" s="1" t="str">
        <f>HYPERLINK("https://lynxcrm-apac--c.eu19.visual.force.com/0011i000001xom6AAA","Hashim, Johan")</f>
        <v>Hashim, Johan</v>
      </c>
      <c r="B1752" t="s">
        <v>3889</v>
      </c>
      <c r="C1752" t="s">
        <v>28</v>
      </c>
      <c r="D1752" t="s">
        <v>21</v>
      </c>
      <c r="E1752" t="s">
        <v>8</v>
      </c>
      <c r="F1752" t="s">
        <v>699</v>
      </c>
      <c r="G1752" t="s">
        <v>699</v>
      </c>
      <c r="H1752" t="s">
        <v>8</v>
      </c>
      <c r="I1752" t="s">
        <v>22</v>
      </c>
    </row>
    <row r="1753" spans="1:9" x14ac:dyDescent="0.25">
      <c r="A1753" s="1" t="str">
        <f>HYPERLINK("https://lynxcrm-apac--c.eu19.visual.force.com/0011i000001xom6AAA","Hashim, Johan")</f>
        <v>Hashim, Johan</v>
      </c>
      <c r="B1753" t="s">
        <v>3889</v>
      </c>
      <c r="C1753" t="s">
        <v>28</v>
      </c>
      <c r="D1753" t="s">
        <v>3890</v>
      </c>
      <c r="E1753" t="s">
        <v>8</v>
      </c>
      <c r="F1753" t="s">
        <v>3890</v>
      </c>
      <c r="G1753" t="s">
        <v>21</v>
      </c>
      <c r="H1753" t="s">
        <v>21</v>
      </c>
      <c r="I1753" t="s">
        <v>22</v>
      </c>
    </row>
    <row r="1754" spans="1:9" x14ac:dyDescent="0.25">
      <c r="A1754" s="1" t="str">
        <f>HYPERLINK("https://lynxcrm-apac--c.eu19.visual.force.com/0011i00000S3HI9AAN","Hassan, Nor Hayati Binti")</f>
        <v>Hassan, Nor Hayati Binti</v>
      </c>
      <c r="B1754" t="s">
        <v>3891</v>
      </c>
      <c r="C1754" t="s">
        <v>28</v>
      </c>
      <c r="D1754" t="s">
        <v>147</v>
      </c>
      <c r="E1754" t="s">
        <v>8</v>
      </c>
      <c r="F1754" t="s">
        <v>147</v>
      </c>
      <c r="G1754" t="s">
        <v>148</v>
      </c>
      <c r="H1754" t="s">
        <v>148</v>
      </c>
      <c r="I1754" t="s">
        <v>149</v>
      </c>
    </row>
    <row r="1755" spans="1:9" x14ac:dyDescent="0.25">
      <c r="A1755" s="1" t="str">
        <f>HYPERLINK("https://lynxcrm-apac--c.eu19.visual.force.com/0011i000001xoZJAAY","Hau, Tah Wei David")</f>
        <v>Hau, Tah Wei David</v>
      </c>
      <c r="B1755" t="s">
        <v>3892</v>
      </c>
      <c r="C1755" t="s">
        <v>28</v>
      </c>
      <c r="D1755" t="s">
        <v>3837</v>
      </c>
      <c r="E1755" t="s">
        <v>8</v>
      </c>
      <c r="F1755" t="s">
        <v>3838</v>
      </c>
      <c r="G1755" t="s">
        <v>3317</v>
      </c>
      <c r="H1755" t="s">
        <v>3893</v>
      </c>
      <c r="I1755" t="s">
        <v>3839</v>
      </c>
    </row>
    <row r="1756" spans="1:9" x14ac:dyDescent="0.25">
      <c r="A1756" s="1" t="str">
        <f>HYPERLINK("https://lynxcrm-apac--c.eu19.visual.force.com/0011i000001xnZBAAY","Havelock Family Clinic")</f>
        <v>Havelock Family Clinic</v>
      </c>
      <c r="B1756" t="s">
        <v>3894</v>
      </c>
      <c r="C1756" t="s">
        <v>10</v>
      </c>
      <c r="D1756" t="s">
        <v>8</v>
      </c>
      <c r="E1756" t="s">
        <v>8</v>
      </c>
      <c r="F1756" t="s">
        <v>3895</v>
      </c>
      <c r="G1756" t="s">
        <v>3896</v>
      </c>
      <c r="H1756" t="s">
        <v>3896</v>
      </c>
      <c r="I1756" t="s">
        <v>3897</v>
      </c>
    </row>
    <row r="1757" spans="1:9" x14ac:dyDescent="0.25">
      <c r="A1757" s="1" t="str">
        <f>HYPERLINK("https://lynxcrm-apac--c.eu19.visual.force.com/0011i000001xoT2AAI","HCP Pte Ltd")</f>
        <v>HCP Pte Ltd</v>
      </c>
      <c r="B1757" t="s">
        <v>3898</v>
      </c>
      <c r="C1757" t="s">
        <v>28</v>
      </c>
      <c r="D1757" t="s">
        <v>3899</v>
      </c>
      <c r="E1757" t="s">
        <v>8</v>
      </c>
      <c r="F1757" t="s">
        <v>3899</v>
      </c>
      <c r="G1757" t="s">
        <v>3900</v>
      </c>
      <c r="H1757" t="s">
        <v>3901</v>
      </c>
      <c r="I1757" t="s">
        <v>3902</v>
      </c>
    </row>
    <row r="1758" spans="1:9" x14ac:dyDescent="0.25">
      <c r="A1758" s="1" t="str">
        <f>HYPERLINK("https://lynxcrm-apac--c.eu19.visual.force.com/0011i000001xnUBAAY","H C P Pte Ltd")</f>
        <v>H C P Pte Ltd</v>
      </c>
      <c r="B1758" t="s">
        <v>3903</v>
      </c>
      <c r="C1758" t="s">
        <v>28</v>
      </c>
      <c r="D1758" t="s">
        <v>8</v>
      </c>
      <c r="E1758" t="s">
        <v>8</v>
      </c>
      <c r="F1758" t="s">
        <v>3899</v>
      </c>
      <c r="G1758" t="s">
        <v>3900</v>
      </c>
      <c r="H1758" t="s">
        <v>3901</v>
      </c>
      <c r="I1758" t="s">
        <v>3902</v>
      </c>
    </row>
    <row r="1759" spans="1:9" x14ac:dyDescent="0.25">
      <c r="A1759" s="1" t="str">
        <f>HYPERLINK("https://lynxcrm-apac--c.eu19.visual.force.com/0011i000001xodQAAQ","Heah, Havold")</f>
        <v>Heah, Havold</v>
      </c>
      <c r="B1759" t="s">
        <v>3904</v>
      </c>
      <c r="C1759" t="s">
        <v>28</v>
      </c>
      <c r="D1759" t="s">
        <v>251</v>
      </c>
      <c r="E1759" t="s">
        <v>8</v>
      </c>
      <c r="F1759" t="s">
        <v>251</v>
      </c>
      <c r="G1759" t="s">
        <v>252</v>
      </c>
      <c r="H1759" t="s">
        <v>252</v>
      </c>
      <c r="I1759" t="s">
        <v>253</v>
      </c>
    </row>
    <row r="1760" spans="1:9" x14ac:dyDescent="0.25">
      <c r="A1760" s="1" t="str">
        <f>HYPERLINK("https://lynxcrm-apac--c.eu19.visual.force.com/0011i000001xodQAAQ","Heah, Havold")</f>
        <v>Heah, Havold</v>
      </c>
      <c r="B1760" t="s">
        <v>3904</v>
      </c>
      <c r="C1760" t="s">
        <v>28</v>
      </c>
      <c r="D1760" t="s">
        <v>251</v>
      </c>
      <c r="E1760" t="s">
        <v>8</v>
      </c>
      <c r="F1760" t="s">
        <v>3905</v>
      </c>
      <c r="G1760" t="s">
        <v>252</v>
      </c>
      <c r="H1760" t="s">
        <v>858</v>
      </c>
      <c r="I1760" t="s">
        <v>253</v>
      </c>
    </row>
    <row r="1761" spans="1:9" x14ac:dyDescent="0.25">
      <c r="A1761" s="1" t="str">
        <f>HYPERLINK("https://lynxcrm-apac--c.eu19.visual.force.com/0011i000001xoJDAAY","Heah, Sieu Min")</f>
        <v>Heah, Sieu Min</v>
      </c>
      <c r="B1761" t="s">
        <v>3906</v>
      </c>
      <c r="C1761" t="s">
        <v>28</v>
      </c>
      <c r="D1761" t="s">
        <v>3907</v>
      </c>
      <c r="E1761" t="s">
        <v>8</v>
      </c>
      <c r="F1761" t="s">
        <v>377</v>
      </c>
      <c r="G1761" t="s">
        <v>1506</v>
      </c>
      <c r="H1761" t="s">
        <v>3908</v>
      </c>
      <c r="I1761" t="s">
        <v>123</v>
      </c>
    </row>
    <row r="1762" spans="1:9" x14ac:dyDescent="0.25">
      <c r="A1762" s="1" t="str">
        <f>HYPERLINK("https://lynxcrm-apac--c.eu19.visual.force.com/0011i000001xotDAAQ","Heah, Sieu Min (2)")</f>
        <v>Heah, Sieu Min (2)</v>
      </c>
      <c r="B1762" t="s">
        <v>3909</v>
      </c>
      <c r="C1762" t="s">
        <v>28</v>
      </c>
      <c r="D1762" t="s">
        <v>3910</v>
      </c>
      <c r="E1762" t="s">
        <v>8</v>
      </c>
      <c r="F1762" t="s">
        <v>3911</v>
      </c>
      <c r="G1762" t="s">
        <v>3911</v>
      </c>
      <c r="H1762" t="s">
        <v>8</v>
      </c>
      <c r="I1762" t="s">
        <v>3912</v>
      </c>
    </row>
    <row r="1763" spans="1:9" x14ac:dyDescent="0.25">
      <c r="A1763" s="1" t="str">
        <f>HYPERLINK("https://lynxcrm-apac--c.eu19.visual.force.com/0011i000001xmxbAAA","Heah Colorectal Endoscopy And Piles Centre")</f>
        <v>Heah Colorectal Endoscopy And Piles Centre</v>
      </c>
      <c r="B1763" t="s">
        <v>3913</v>
      </c>
      <c r="C1763" t="s">
        <v>10</v>
      </c>
      <c r="D1763" t="s">
        <v>8</v>
      </c>
      <c r="E1763" t="s">
        <v>8</v>
      </c>
      <c r="F1763" t="s">
        <v>377</v>
      </c>
      <c r="G1763" t="s">
        <v>1506</v>
      </c>
      <c r="H1763" t="s">
        <v>3908</v>
      </c>
      <c r="I1763" t="s">
        <v>123</v>
      </c>
    </row>
    <row r="1764" spans="1:9" x14ac:dyDescent="0.25">
      <c r="A1764" s="1" t="str">
        <f>HYPERLINK("https://lynxcrm-apac--c.eu19.visual.force.com/0011i000001xnHNAAY","Healthcare (Railmail) Pte Ltd")</f>
        <v>Healthcare (Railmail) Pte Ltd</v>
      </c>
      <c r="B1764" t="s">
        <v>3914</v>
      </c>
      <c r="C1764" t="s">
        <v>10</v>
      </c>
      <c r="D1764" t="s">
        <v>8</v>
      </c>
      <c r="E1764" t="s">
        <v>8</v>
      </c>
      <c r="F1764" t="s">
        <v>3915</v>
      </c>
      <c r="G1764" t="s">
        <v>3915</v>
      </c>
      <c r="H1764" t="s">
        <v>8</v>
      </c>
      <c r="I1764" t="s">
        <v>3916</v>
      </c>
    </row>
    <row r="1765" spans="1:9" x14ac:dyDescent="0.25">
      <c r="A1765" s="1" t="str">
        <f>HYPERLINK("https://lynxcrm-apac--c.eu19.visual.force.com/0011i000001xmdBAAQ","Healthcare Clinic &amp; Surgery")</f>
        <v>Healthcare Clinic &amp; Surgery</v>
      </c>
      <c r="B1765" t="s">
        <v>3917</v>
      </c>
      <c r="C1765" t="s">
        <v>10</v>
      </c>
      <c r="D1765" t="s">
        <v>8</v>
      </c>
      <c r="E1765" t="s">
        <v>8</v>
      </c>
      <c r="F1765" t="s">
        <v>3918</v>
      </c>
      <c r="G1765" t="s">
        <v>3919</v>
      </c>
      <c r="H1765" t="s">
        <v>3919</v>
      </c>
      <c r="I1765" t="s">
        <v>3920</v>
      </c>
    </row>
    <row r="1766" spans="1:9" x14ac:dyDescent="0.25">
      <c r="A1766" s="1" t="str">
        <f>HYPERLINK("https://lynxcrm-apac--c.eu19.visual.force.com/0011i000001xmz5AAA","Healthcare Medical Centre")</f>
        <v>Healthcare Medical Centre</v>
      </c>
      <c r="B1766" t="s">
        <v>3921</v>
      </c>
      <c r="C1766" t="s">
        <v>10</v>
      </c>
      <c r="D1766" t="s">
        <v>8</v>
      </c>
      <c r="E1766" t="s">
        <v>8</v>
      </c>
      <c r="F1766" t="s">
        <v>2993</v>
      </c>
      <c r="G1766" t="s">
        <v>3922</v>
      </c>
      <c r="H1766" t="s">
        <v>3923</v>
      </c>
      <c r="I1766" t="s">
        <v>2996</v>
      </c>
    </row>
    <row r="1767" spans="1:9" x14ac:dyDescent="0.25">
      <c r="A1767" s="1" t="str">
        <f>HYPERLINK("https://lynxcrm-apac--c.eu19.visual.force.com/0011i000001xmoXAAQ","Healthline Family Clinic &amp; Surgery")</f>
        <v>Healthline Family Clinic &amp; Surgery</v>
      </c>
      <c r="B1767" t="s">
        <v>3924</v>
      </c>
      <c r="C1767" t="s">
        <v>10</v>
      </c>
      <c r="D1767" t="s">
        <v>8</v>
      </c>
      <c r="E1767" t="s">
        <v>8</v>
      </c>
      <c r="F1767" t="s">
        <v>3925</v>
      </c>
      <c r="G1767" t="s">
        <v>3926</v>
      </c>
      <c r="H1767" t="s">
        <v>3926</v>
      </c>
      <c r="I1767" t="s">
        <v>3927</v>
      </c>
    </row>
    <row r="1768" spans="1:9" x14ac:dyDescent="0.25">
      <c r="A1768" s="1" t="str">
        <f>HYPERLINK("https://lynxcrm-apac--c.eu19.visual.force.com/0011i000001xn6eAAA","Healthline Family Clinic &amp; Surgery")</f>
        <v>Healthline Family Clinic &amp; Surgery</v>
      </c>
      <c r="B1768" t="s">
        <v>3928</v>
      </c>
      <c r="C1768" t="s">
        <v>10</v>
      </c>
      <c r="D1768" t="s">
        <v>8</v>
      </c>
      <c r="E1768" t="s">
        <v>8</v>
      </c>
      <c r="F1768" t="s">
        <v>1371</v>
      </c>
      <c r="G1768" t="s">
        <v>3272</v>
      </c>
      <c r="H1768" t="s">
        <v>3273</v>
      </c>
      <c r="I1768" t="s">
        <v>1373</v>
      </c>
    </row>
    <row r="1769" spans="1:9" x14ac:dyDescent="0.25">
      <c r="A1769" s="1" t="str">
        <f>HYPERLINK("https://lynxcrm-apac--c.eu19.visual.force.com/0011i000001xmnNAAQ","Healthline Family Clinic &amp; Surgery")</f>
        <v>Healthline Family Clinic &amp; Surgery</v>
      </c>
      <c r="B1769" t="s">
        <v>3929</v>
      </c>
      <c r="C1769" t="s">
        <v>10</v>
      </c>
      <c r="D1769" t="s">
        <v>8</v>
      </c>
      <c r="E1769" t="s">
        <v>8</v>
      </c>
      <c r="F1769" t="s">
        <v>1371</v>
      </c>
      <c r="G1769" t="s">
        <v>3272</v>
      </c>
      <c r="H1769" t="s">
        <v>3273</v>
      </c>
      <c r="I1769" t="s">
        <v>1373</v>
      </c>
    </row>
    <row r="1770" spans="1:9" x14ac:dyDescent="0.25">
      <c r="A1770" s="1" t="str">
        <f>HYPERLINK("https://lynxcrm-apac--c.eu19.visual.force.com/0011i000001xnPLAAY","Healthline Family Clinic &amp; Surgery")</f>
        <v>Healthline Family Clinic &amp; Surgery</v>
      </c>
      <c r="B1770" t="s">
        <v>3930</v>
      </c>
      <c r="C1770" t="s">
        <v>10</v>
      </c>
      <c r="D1770" t="s">
        <v>8</v>
      </c>
      <c r="E1770" t="s">
        <v>8</v>
      </c>
      <c r="F1770" t="s">
        <v>3925</v>
      </c>
      <c r="G1770" t="s">
        <v>3926</v>
      </c>
      <c r="H1770" t="s">
        <v>3926</v>
      </c>
      <c r="I1770" t="s">
        <v>3927</v>
      </c>
    </row>
    <row r="1771" spans="1:9" x14ac:dyDescent="0.25">
      <c r="A1771" s="1" t="str">
        <f>HYPERLINK("https://lynxcrm-apac--c.eu19.visual.force.com/0011i000001xmxBAAQ","Healthlink Family Clinic")</f>
        <v>Healthlink Family Clinic</v>
      </c>
      <c r="B1771" t="s">
        <v>3931</v>
      </c>
      <c r="C1771" t="s">
        <v>10</v>
      </c>
      <c r="D1771" t="s">
        <v>8</v>
      </c>
      <c r="E1771" t="s">
        <v>8</v>
      </c>
      <c r="F1771" t="s">
        <v>3932</v>
      </c>
      <c r="G1771" t="s">
        <v>3933</v>
      </c>
      <c r="H1771" t="s">
        <v>3934</v>
      </c>
      <c r="I1771" t="s">
        <v>3935</v>
      </c>
    </row>
    <row r="1772" spans="1:9" x14ac:dyDescent="0.25">
      <c r="A1772" s="1" t="str">
        <f>HYPERLINK("https://lynxcrm-apac--c.eu19.visual.force.com/0011i000001xmxFAAQ","Healthlink Family Clinic &amp; Surgery")</f>
        <v>Healthlink Family Clinic &amp; Surgery</v>
      </c>
      <c r="B1772" t="s">
        <v>3936</v>
      </c>
      <c r="C1772" t="s">
        <v>10</v>
      </c>
      <c r="D1772" t="s">
        <v>8</v>
      </c>
      <c r="E1772" t="s">
        <v>8</v>
      </c>
      <c r="F1772" t="s">
        <v>3937</v>
      </c>
      <c r="G1772" t="s">
        <v>178</v>
      </c>
      <c r="H1772" t="s">
        <v>3938</v>
      </c>
      <c r="I1772" t="s">
        <v>1892</v>
      </c>
    </row>
    <row r="1773" spans="1:9" x14ac:dyDescent="0.25">
      <c r="A1773" s="1" t="str">
        <f>HYPERLINK("https://lynxcrm-apac--c.eu19.visual.force.com/0011i000001xmxEAAQ","Healthlink Family Clinic &amp; Surgery")</f>
        <v>Healthlink Family Clinic &amp; Surgery</v>
      </c>
      <c r="B1773" t="s">
        <v>3939</v>
      </c>
      <c r="C1773" t="s">
        <v>10</v>
      </c>
      <c r="D1773" t="s">
        <v>8</v>
      </c>
      <c r="E1773" t="s">
        <v>8</v>
      </c>
      <c r="F1773" t="s">
        <v>3937</v>
      </c>
      <c r="G1773" t="s">
        <v>178</v>
      </c>
      <c r="H1773" t="s">
        <v>3938</v>
      </c>
      <c r="I1773" t="s">
        <v>1892</v>
      </c>
    </row>
    <row r="1774" spans="1:9" x14ac:dyDescent="0.25">
      <c r="A1774" s="1" t="str">
        <f>HYPERLINK("https://lynxcrm-apac--c.eu19.visual.force.com/0011i000001xnJXAAY","Healthmark Family Clinic")</f>
        <v>Healthmark Family Clinic</v>
      </c>
      <c r="B1774" t="s">
        <v>3940</v>
      </c>
      <c r="C1774" t="s">
        <v>10</v>
      </c>
      <c r="D1774" t="s">
        <v>8</v>
      </c>
      <c r="E1774" t="s">
        <v>8</v>
      </c>
      <c r="F1774" t="s">
        <v>1636</v>
      </c>
      <c r="G1774" t="s">
        <v>1637</v>
      </c>
      <c r="H1774" t="s">
        <v>1637</v>
      </c>
      <c r="I1774" t="s">
        <v>1638</v>
      </c>
    </row>
    <row r="1775" spans="1:9" x14ac:dyDescent="0.25">
      <c r="A1775" s="1" t="str">
        <f>HYPERLINK("https://lynxcrm-apac--c.eu19.visual.force.com/0011i00000EgdEUAAZ","Healthmark Medical Clinic Punggol")</f>
        <v>Healthmark Medical Clinic Punggol</v>
      </c>
      <c r="B1775" t="s">
        <v>3941</v>
      </c>
      <c r="C1775" t="s">
        <v>10</v>
      </c>
      <c r="D1775" t="s">
        <v>8</v>
      </c>
      <c r="E1775" t="s">
        <v>8</v>
      </c>
      <c r="F1775" t="s">
        <v>3942</v>
      </c>
      <c r="G1775" t="s">
        <v>8</v>
      </c>
      <c r="H1775" t="s">
        <v>8</v>
      </c>
      <c r="I1775" t="s">
        <v>3943</v>
      </c>
    </row>
    <row r="1776" spans="1:9" x14ac:dyDescent="0.25">
      <c r="A1776" s="1" t="str">
        <f>HYPERLINK("https://lynxcrm-apac--c.eu19.visual.force.com/0011i000001xmbFAAQ","Health Matters The Family Practice")</f>
        <v>Health Matters The Family Practice</v>
      </c>
      <c r="B1776" t="s">
        <v>3944</v>
      </c>
      <c r="C1776" t="s">
        <v>10</v>
      </c>
      <c r="D1776" t="s">
        <v>8</v>
      </c>
      <c r="E1776" t="s">
        <v>8</v>
      </c>
      <c r="F1776" t="s">
        <v>3945</v>
      </c>
      <c r="G1776" t="s">
        <v>3946</v>
      </c>
      <c r="H1776" t="s">
        <v>3946</v>
      </c>
      <c r="I1776" t="s">
        <v>3947</v>
      </c>
    </row>
    <row r="1777" spans="1:9" x14ac:dyDescent="0.25">
      <c r="A1777" s="1" t="str">
        <f>HYPERLINK("https://lynxcrm-apac--c.eu19.visual.force.com/0011i000007FFhAAAW","Healthmed Family Clinic Bukit Panjang")</f>
        <v>Healthmed Family Clinic Bukit Panjang</v>
      </c>
      <c r="B1777" t="s">
        <v>3948</v>
      </c>
      <c r="C1777" t="s">
        <v>10</v>
      </c>
      <c r="D1777" t="s">
        <v>8</v>
      </c>
      <c r="E1777" t="s">
        <v>8</v>
      </c>
      <c r="F1777" t="s">
        <v>3949</v>
      </c>
      <c r="G1777" t="s">
        <v>3950</v>
      </c>
      <c r="H1777" t="s">
        <v>8</v>
      </c>
      <c r="I1777" t="s">
        <v>3951</v>
      </c>
    </row>
    <row r="1778" spans="1:9" x14ac:dyDescent="0.25">
      <c r="A1778" s="1" t="str">
        <f>HYPERLINK("https://lynxcrm-apac--c.eu19.visual.force.com/0011i000001xn2VAAQ","Health Partnership Medical Centre")</f>
        <v>Health Partnership Medical Centre</v>
      </c>
      <c r="B1778" t="s">
        <v>3952</v>
      </c>
      <c r="C1778" t="s">
        <v>10</v>
      </c>
      <c r="D1778" t="s">
        <v>8</v>
      </c>
      <c r="E1778" t="s">
        <v>8</v>
      </c>
      <c r="F1778" t="s">
        <v>1652</v>
      </c>
      <c r="G1778" t="s">
        <v>1653</v>
      </c>
      <c r="H1778" t="s">
        <v>1653</v>
      </c>
      <c r="I1778" t="s">
        <v>1654</v>
      </c>
    </row>
    <row r="1779" spans="1:9" x14ac:dyDescent="0.25">
      <c r="A1779" s="1" t="str">
        <f>HYPERLINK("https://lynxcrm-apac--c.eu19.visual.force.com/0011i000001xmuBAAQ","Health Partners Medical Clinic")</f>
        <v>Health Partners Medical Clinic</v>
      </c>
      <c r="B1779" t="s">
        <v>3953</v>
      </c>
      <c r="C1779" t="s">
        <v>10</v>
      </c>
      <c r="D1779" t="s">
        <v>8</v>
      </c>
      <c r="E1779" t="s">
        <v>8</v>
      </c>
      <c r="F1779" t="s">
        <v>3954</v>
      </c>
      <c r="G1779" t="s">
        <v>3955</v>
      </c>
      <c r="H1779" t="s">
        <v>3956</v>
      </c>
      <c r="I1779" t="s">
        <v>3957</v>
      </c>
    </row>
    <row r="1780" spans="1:9" x14ac:dyDescent="0.25">
      <c r="A1780" s="1" t="str">
        <f>HYPERLINK("https://lynxcrm-apac--c.eu19.visual.force.com/0011i000001xnD7AAI","Healthpath Medical Clinic &amp; Surgery")</f>
        <v>Healthpath Medical Clinic &amp; Surgery</v>
      </c>
      <c r="B1780" t="s">
        <v>3958</v>
      </c>
      <c r="C1780" t="s">
        <v>10</v>
      </c>
      <c r="D1780" t="s">
        <v>8</v>
      </c>
      <c r="E1780" t="s">
        <v>8</v>
      </c>
      <c r="F1780" t="s">
        <v>3959</v>
      </c>
      <c r="G1780" t="s">
        <v>3683</v>
      </c>
      <c r="H1780" t="s">
        <v>3683</v>
      </c>
      <c r="I1780" t="s">
        <v>3960</v>
      </c>
    </row>
    <row r="1781" spans="1:9" x14ac:dyDescent="0.25">
      <c r="A1781" s="1" t="str">
        <f>HYPERLINK("https://lynxcrm-apac--c.eu19.visual.force.com/0011i000001xmbjAAA","Healthplus Clinic &amp; Surgery")</f>
        <v>Healthplus Clinic &amp; Surgery</v>
      </c>
      <c r="B1781" t="s">
        <v>3961</v>
      </c>
      <c r="C1781" t="s">
        <v>10</v>
      </c>
      <c r="D1781" t="s">
        <v>8</v>
      </c>
      <c r="E1781" t="s">
        <v>8</v>
      </c>
      <c r="F1781" t="s">
        <v>791</v>
      </c>
      <c r="G1781" t="s">
        <v>3962</v>
      </c>
      <c r="H1781" t="s">
        <v>3963</v>
      </c>
      <c r="I1781" t="s">
        <v>794</v>
      </c>
    </row>
    <row r="1782" spans="1:9" x14ac:dyDescent="0.25">
      <c r="A1782" s="1" t="str">
        <f>HYPERLINK("https://lynxcrm-apac--c.eu19.visual.force.com/0011i000001xnCtAAI","Healthpoint Family Clinic")</f>
        <v>Healthpoint Family Clinic</v>
      </c>
      <c r="B1782" t="s">
        <v>3964</v>
      </c>
      <c r="C1782" t="s">
        <v>10</v>
      </c>
      <c r="D1782" t="s">
        <v>8</v>
      </c>
      <c r="E1782" t="s">
        <v>8</v>
      </c>
      <c r="F1782" t="s">
        <v>3965</v>
      </c>
      <c r="G1782" t="s">
        <v>3966</v>
      </c>
      <c r="H1782" t="s">
        <v>3966</v>
      </c>
      <c r="I1782" t="s">
        <v>3967</v>
      </c>
    </row>
    <row r="1783" spans="1:9" x14ac:dyDescent="0.25">
      <c r="A1783" s="1" t="str">
        <f>HYPERLINK("https://lynxcrm-apac--c.eu19.visual.force.com/0011i000001xnCtAAI","Healthpoint Family Clinic")</f>
        <v>Healthpoint Family Clinic</v>
      </c>
      <c r="B1783" t="s">
        <v>3964</v>
      </c>
      <c r="C1783" t="s">
        <v>10</v>
      </c>
      <c r="D1783" t="s">
        <v>8</v>
      </c>
      <c r="E1783" t="s">
        <v>8</v>
      </c>
      <c r="F1783" t="s">
        <v>3968</v>
      </c>
      <c r="G1783" t="s">
        <v>3966</v>
      </c>
      <c r="H1783" t="s">
        <v>3969</v>
      </c>
      <c r="I1783" t="s">
        <v>3967</v>
      </c>
    </row>
    <row r="1784" spans="1:9" x14ac:dyDescent="0.25">
      <c r="A1784" s="1" t="str">
        <f>HYPERLINK("https://lynxcrm-apac--c.eu19.visual.force.com/0011i000001xmtrAAA","Health Screening Centre")</f>
        <v>Health Screening Centre</v>
      </c>
      <c r="B1784" t="s">
        <v>3970</v>
      </c>
      <c r="C1784" t="s">
        <v>10</v>
      </c>
      <c r="D1784" t="s">
        <v>8</v>
      </c>
      <c r="E1784" t="s">
        <v>8</v>
      </c>
      <c r="F1784" t="s">
        <v>252</v>
      </c>
      <c r="G1784" t="s">
        <v>251</v>
      </c>
      <c r="H1784" t="s">
        <v>251</v>
      </c>
      <c r="I1784" t="s">
        <v>253</v>
      </c>
    </row>
    <row r="1785" spans="1:9" x14ac:dyDescent="0.25">
      <c r="A1785" s="1" t="str">
        <f>HYPERLINK("https://lynxcrm-apac--c.eu19.visual.force.com/0011i000001xnajAAA","Health Screening Centre")</f>
        <v>Health Screening Centre</v>
      </c>
      <c r="B1785" t="s">
        <v>3971</v>
      </c>
      <c r="C1785" t="s">
        <v>10</v>
      </c>
      <c r="D1785" t="s">
        <v>8</v>
      </c>
      <c r="E1785" t="s">
        <v>8</v>
      </c>
      <c r="F1785" t="s">
        <v>252</v>
      </c>
      <c r="G1785" t="s">
        <v>251</v>
      </c>
      <c r="H1785" t="s">
        <v>251</v>
      </c>
      <c r="I1785" t="s">
        <v>253</v>
      </c>
    </row>
    <row r="1786" spans="1:9" x14ac:dyDescent="0.25">
      <c r="A1786" s="1" t="str">
        <f>HYPERLINK("https://lynxcrm-apac--c.eu19.visual.force.com/0011i000001xnMJAAY","Healthsense Pte Ltd")</f>
        <v>Healthsense Pte Ltd</v>
      </c>
      <c r="B1786" t="s">
        <v>3972</v>
      </c>
      <c r="C1786" t="s">
        <v>10</v>
      </c>
      <c r="D1786" t="s">
        <v>8</v>
      </c>
      <c r="E1786" t="s">
        <v>8</v>
      </c>
      <c r="F1786" t="s">
        <v>317</v>
      </c>
      <c r="G1786" t="s">
        <v>3973</v>
      </c>
      <c r="H1786" t="s">
        <v>3973</v>
      </c>
      <c r="I1786" t="s">
        <v>85</v>
      </c>
    </row>
    <row r="1787" spans="1:9" x14ac:dyDescent="0.25">
      <c r="A1787" s="1" t="str">
        <f>HYPERLINK("https://lynxcrm-apac--c.eu19.visual.force.com/0011i000001xn2AAAQ","HealthSense Specialist Clinic")</f>
        <v>HealthSense Specialist Clinic</v>
      </c>
      <c r="B1787" t="s">
        <v>3974</v>
      </c>
      <c r="C1787" t="s">
        <v>10</v>
      </c>
      <c r="D1787" t="s">
        <v>8</v>
      </c>
      <c r="E1787" t="s">
        <v>8</v>
      </c>
      <c r="F1787" t="s">
        <v>317</v>
      </c>
      <c r="G1787" t="s">
        <v>3975</v>
      </c>
      <c r="H1787" t="s">
        <v>1320</v>
      </c>
      <c r="I1787" t="s">
        <v>85</v>
      </c>
    </row>
    <row r="1788" spans="1:9" x14ac:dyDescent="0.25">
      <c r="A1788" s="1" t="str">
        <f>HYPERLINK("https://lynxcrm-apac--c.eu19.visual.force.com/0011i000001xmrZAAQ","Healthspring Family Clinic &amp; Surgery")</f>
        <v>Healthspring Family Clinic &amp; Surgery</v>
      </c>
      <c r="B1788" t="s">
        <v>3976</v>
      </c>
      <c r="C1788" t="s">
        <v>10</v>
      </c>
      <c r="D1788" t="s">
        <v>8</v>
      </c>
      <c r="E1788" t="s">
        <v>8</v>
      </c>
      <c r="F1788" t="s">
        <v>1356</v>
      </c>
      <c r="G1788" t="s">
        <v>1357</v>
      </c>
      <c r="H1788" t="s">
        <v>1357</v>
      </c>
      <c r="I1788" t="s">
        <v>527</v>
      </c>
    </row>
    <row r="1789" spans="1:9" x14ac:dyDescent="0.25">
      <c r="A1789" s="1" t="str">
        <f>HYPERLINK("https://lynxcrm-apac--c.eu19.visual.force.com/0011i000001xmvRAAQ","HealthTrends Family Clinic")</f>
        <v>HealthTrends Family Clinic</v>
      </c>
      <c r="B1789" t="s">
        <v>3977</v>
      </c>
      <c r="C1789" t="s">
        <v>10</v>
      </c>
      <c r="D1789" t="s">
        <v>8</v>
      </c>
      <c r="E1789" t="s">
        <v>8</v>
      </c>
      <c r="F1789" t="s">
        <v>2263</v>
      </c>
      <c r="G1789" t="s">
        <v>2339</v>
      </c>
      <c r="H1789" t="s">
        <v>2339</v>
      </c>
      <c r="I1789" t="s">
        <v>2266</v>
      </c>
    </row>
    <row r="1790" spans="1:9" x14ac:dyDescent="0.25">
      <c r="A1790" s="1" t="str">
        <f>HYPERLINK("https://lynxcrm-apac--c.eu19.visual.force.com/0011i000001xmzlAAA","Healthway (Picton) Medical Clinic")</f>
        <v>Healthway (Picton) Medical Clinic</v>
      </c>
      <c r="B1790" t="s">
        <v>3978</v>
      </c>
      <c r="C1790" t="s">
        <v>10</v>
      </c>
      <c r="D1790" t="s">
        <v>8</v>
      </c>
      <c r="E1790" t="s">
        <v>8</v>
      </c>
      <c r="F1790" t="s">
        <v>3979</v>
      </c>
      <c r="G1790" t="s">
        <v>3980</v>
      </c>
      <c r="H1790" t="s">
        <v>3980</v>
      </c>
      <c r="I1790" t="s">
        <v>3981</v>
      </c>
    </row>
    <row r="1791" spans="1:9" x14ac:dyDescent="0.25">
      <c r="A1791" s="1" t="str">
        <f>HYPERLINK("https://lynxcrm-apac--c.eu19.visual.force.com/0011i000001xml5AAA","Healthway (Silver Cross) Medical Centre")</f>
        <v>Healthway (Silver Cross) Medical Centre</v>
      </c>
      <c r="B1791" t="s">
        <v>3982</v>
      </c>
      <c r="C1791" t="s">
        <v>10</v>
      </c>
      <c r="D1791" t="s">
        <v>8</v>
      </c>
      <c r="E1791" t="s">
        <v>8</v>
      </c>
      <c r="F1791" t="s">
        <v>3983</v>
      </c>
      <c r="G1791" t="s">
        <v>3983</v>
      </c>
      <c r="H1791" t="s">
        <v>8</v>
      </c>
      <c r="I1791" t="s">
        <v>3984</v>
      </c>
    </row>
    <row r="1792" spans="1:9" x14ac:dyDescent="0.25">
      <c r="A1792" s="1" t="str">
        <f>HYPERLINK("https://lynxcrm-apac--c.eu19.visual.force.com/0011i000001xmsRAAQ","Healthway (Silver Cross) Medical Group")</f>
        <v>Healthway (Silver Cross) Medical Group</v>
      </c>
      <c r="B1792" t="s">
        <v>3985</v>
      </c>
      <c r="C1792" t="s">
        <v>10</v>
      </c>
      <c r="D1792" t="s">
        <v>8</v>
      </c>
      <c r="E1792" t="s">
        <v>8</v>
      </c>
      <c r="F1792" t="s">
        <v>1013</v>
      </c>
      <c r="G1792" t="s">
        <v>1013</v>
      </c>
      <c r="H1792" t="s">
        <v>8</v>
      </c>
      <c r="I1792" t="s">
        <v>1014</v>
      </c>
    </row>
    <row r="1793" spans="1:9" x14ac:dyDescent="0.25">
      <c r="A1793" s="1" t="str">
        <f>HYPERLINK("https://lynxcrm-apac--c.eu19.visual.force.com/0011i000001xn0IAAQ","Healthway (Silver Cross Family Clinic)")</f>
        <v>Healthway (Silver Cross Family Clinic)</v>
      </c>
      <c r="B1793" t="s">
        <v>3986</v>
      </c>
      <c r="C1793" t="s">
        <v>10</v>
      </c>
      <c r="D1793" t="s">
        <v>8</v>
      </c>
      <c r="E1793" t="s">
        <v>8</v>
      </c>
      <c r="F1793" t="s">
        <v>1013</v>
      </c>
      <c r="G1793" t="s">
        <v>1013</v>
      </c>
      <c r="H1793" t="s">
        <v>8</v>
      </c>
      <c r="I1793" t="s">
        <v>1014</v>
      </c>
    </row>
    <row r="1794" spans="1:9" x14ac:dyDescent="0.25">
      <c r="A1794" s="1" t="str">
        <f>HYPERLINK("https://lynxcrm-apac--c.eu19.visual.force.com/0011i000001xmpWAAQ","Healthway (Silver Cross Family Clinic)")</f>
        <v>Healthway (Silver Cross Family Clinic)</v>
      </c>
      <c r="B1794" t="s">
        <v>3987</v>
      </c>
      <c r="C1794" t="s">
        <v>10</v>
      </c>
      <c r="D1794" t="s">
        <v>8</v>
      </c>
      <c r="E1794" t="s">
        <v>8</v>
      </c>
      <c r="F1794" t="s">
        <v>1013</v>
      </c>
      <c r="G1794" t="s">
        <v>1013</v>
      </c>
      <c r="H1794" t="s">
        <v>8</v>
      </c>
      <c r="I1794" t="s">
        <v>1014</v>
      </c>
    </row>
    <row r="1795" spans="1:9" x14ac:dyDescent="0.25">
      <c r="A1795" s="1" t="str">
        <f>HYPERLINK("https://lynxcrm-apac--c.eu19.visual.force.com/0011i000001xmgpAAA","Healthway AMK Clinic")</f>
        <v>Healthway AMK Clinic</v>
      </c>
      <c r="B1795" t="s">
        <v>3988</v>
      </c>
      <c r="C1795" t="s">
        <v>10</v>
      </c>
      <c r="D1795" t="s">
        <v>8</v>
      </c>
      <c r="E1795" t="s">
        <v>8</v>
      </c>
      <c r="F1795" t="s">
        <v>1822</v>
      </c>
      <c r="G1795" t="s">
        <v>1823</v>
      </c>
      <c r="H1795" t="s">
        <v>1823</v>
      </c>
      <c r="I1795" t="s">
        <v>1824</v>
      </c>
    </row>
    <row r="1796" spans="1:9" x14ac:dyDescent="0.25">
      <c r="A1796" s="1" t="str">
        <f>HYPERLINK("https://lynxcrm-apac--c.eu19.visual.force.com/0011i000001xnNSAAY","Healthway AMK Clinic")</f>
        <v>Healthway AMK Clinic</v>
      </c>
      <c r="B1796" t="s">
        <v>3989</v>
      </c>
      <c r="C1796" t="s">
        <v>10</v>
      </c>
      <c r="D1796" t="s">
        <v>8</v>
      </c>
      <c r="E1796" t="s">
        <v>8</v>
      </c>
      <c r="F1796" t="s">
        <v>1822</v>
      </c>
      <c r="G1796" t="s">
        <v>1823</v>
      </c>
      <c r="H1796" t="s">
        <v>1823</v>
      </c>
      <c r="I1796" t="s">
        <v>1824</v>
      </c>
    </row>
    <row r="1797" spans="1:9" x14ac:dyDescent="0.25">
      <c r="A1797" s="1" t="str">
        <f>HYPERLINK("https://lynxcrm-apac--c.eu19.visual.force.com/0011i000001xnMjAAI","Healthway Hougang Central Clinic")</f>
        <v>Healthway Hougang Central Clinic</v>
      </c>
      <c r="B1797" t="s">
        <v>3990</v>
      </c>
      <c r="C1797" t="s">
        <v>10</v>
      </c>
      <c r="D1797" t="s">
        <v>8</v>
      </c>
      <c r="E1797" t="s">
        <v>8</v>
      </c>
      <c r="F1797" t="s">
        <v>3991</v>
      </c>
      <c r="G1797" t="s">
        <v>3992</v>
      </c>
      <c r="H1797" t="s">
        <v>3992</v>
      </c>
      <c r="I1797" t="s">
        <v>3993</v>
      </c>
    </row>
    <row r="1798" spans="1:9" x14ac:dyDescent="0.25">
      <c r="A1798" s="1" t="str">
        <f>HYPERLINK("https://lynxcrm-apac--c.eu19.visual.force.com/0011i000001xnFlAAI","Healthway Jurong West Clinic")</f>
        <v>Healthway Jurong West Clinic</v>
      </c>
      <c r="B1798" t="s">
        <v>3994</v>
      </c>
      <c r="C1798" t="s">
        <v>10</v>
      </c>
      <c r="D1798" t="s">
        <v>8</v>
      </c>
      <c r="E1798" t="s">
        <v>8</v>
      </c>
      <c r="F1798" t="s">
        <v>3995</v>
      </c>
      <c r="G1798" t="s">
        <v>3996</v>
      </c>
      <c r="H1798" t="s">
        <v>3996</v>
      </c>
      <c r="I1798" t="s">
        <v>3997</v>
      </c>
    </row>
    <row r="1799" spans="1:9" x14ac:dyDescent="0.25">
      <c r="A1799" s="1" t="str">
        <f>HYPERLINK("https://lynxcrm-apac--c.eu19.visual.force.com/0011i000001xnCvAAI","Healthway Medial Group")</f>
        <v>Healthway Medial Group</v>
      </c>
      <c r="B1799" t="s">
        <v>3998</v>
      </c>
      <c r="C1799" t="s">
        <v>10</v>
      </c>
      <c r="D1799" t="s">
        <v>8</v>
      </c>
      <c r="E1799" t="s">
        <v>8</v>
      </c>
      <c r="F1799" t="s">
        <v>3999</v>
      </c>
      <c r="G1799" t="s">
        <v>4000</v>
      </c>
      <c r="H1799" t="s">
        <v>4001</v>
      </c>
      <c r="I1799" t="s">
        <v>4002</v>
      </c>
    </row>
    <row r="1800" spans="1:9" x14ac:dyDescent="0.25">
      <c r="A1800" s="1" t="str">
        <f>HYPERLINK("https://lynxcrm-apac--c.eu19.visual.force.com/0011i000001xnJFAAY","Healthway Medical (Lengkong Tiga)")</f>
        <v>Healthway Medical (Lengkong Tiga)</v>
      </c>
      <c r="B1800" t="s">
        <v>4003</v>
      </c>
      <c r="C1800" t="s">
        <v>10</v>
      </c>
      <c r="D1800" t="s">
        <v>8</v>
      </c>
      <c r="E1800" t="s">
        <v>8</v>
      </c>
      <c r="F1800" t="s">
        <v>2225</v>
      </c>
      <c r="G1800" t="s">
        <v>2226</v>
      </c>
      <c r="H1800" t="s">
        <v>2226</v>
      </c>
      <c r="I1800" t="s">
        <v>2227</v>
      </c>
    </row>
    <row r="1801" spans="1:9" x14ac:dyDescent="0.25">
      <c r="A1801" s="1" t="str">
        <f>HYPERLINK("https://lynxcrm-apac--c.eu19.visual.force.com/0011i000001xnd4AAA","Healthway Medical Bedok North")</f>
        <v>Healthway Medical Bedok North</v>
      </c>
      <c r="B1801" t="s">
        <v>4004</v>
      </c>
      <c r="C1801" t="s">
        <v>10</v>
      </c>
      <c r="D1801" t="s">
        <v>8</v>
      </c>
      <c r="E1801" t="s">
        <v>8</v>
      </c>
      <c r="F1801" t="s">
        <v>4005</v>
      </c>
      <c r="G1801" t="s">
        <v>833</v>
      </c>
      <c r="H1801" t="s">
        <v>833</v>
      </c>
      <c r="I1801" t="s">
        <v>834</v>
      </c>
    </row>
    <row r="1802" spans="1:9" x14ac:dyDescent="0.25">
      <c r="A1802" s="1" t="str">
        <f>HYPERLINK("https://lynxcrm-apac--c.eu19.visual.force.com/0011i000001xmzdAAA","Healthway Medical Clinic")</f>
        <v>Healthway Medical Clinic</v>
      </c>
      <c r="B1802" t="s">
        <v>4006</v>
      </c>
      <c r="C1802" t="s">
        <v>10</v>
      </c>
      <c r="D1802" t="s">
        <v>8</v>
      </c>
      <c r="E1802" t="s">
        <v>8</v>
      </c>
      <c r="F1802" t="s">
        <v>1334</v>
      </c>
      <c r="G1802" t="s">
        <v>1335</v>
      </c>
      <c r="H1802" t="s">
        <v>1335</v>
      </c>
      <c r="I1802" t="s">
        <v>1336</v>
      </c>
    </row>
    <row r="1803" spans="1:9" x14ac:dyDescent="0.25">
      <c r="A1803" s="1" t="str">
        <f>HYPERLINK("https://lynxcrm-apac--c.eu19.visual.force.com/0011i000001xnJEAAY","Healthway Medical Clinic")</f>
        <v>Healthway Medical Clinic</v>
      </c>
      <c r="B1803" t="s">
        <v>4007</v>
      </c>
      <c r="C1803" t="s">
        <v>10</v>
      </c>
      <c r="D1803" t="s">
        <v>8</v>
      </c>
      <c r="E1803" t="s">
        <v>8</v>
      </c>
      <c r="F1803" t="s">
        <v>4008</v>
      </c>
      <c r="G1803" t="s">
        <v>4009</v>
      </c>
      <c r="H1803" t="s">
        <v>4009</v>
      </c>
      <c r="I1803" t="s">
        <v>3755</v>
      </c>
    </row>
    <row r="1804" spans="1:9" x14ac:dyDescent="0.25">
      <c r="A1804" s="1" t="str">
        <f>HYPERLINK("https://lynxcrm-apac--c.eu19.visual.force.com/0011i000001xnJjAAI","Healthway Medical Clinic")</f>
        <v>Healthway Medical Clinic</v>
      </c>
      <c r="B1804" t="s">
        <v>4010</v>
      </c>
      <c r="C1804" t="s">
        <v>10</v>
      </c>
      <c r="D1804" t="s">
        <v>8</v>
      </c>
      <c r="E1804" t="s">
        <v>8</v>
      </c>
      <c r="F1804" t="s">
        <v>4011</v>
      </c>
      <c r="G1804" t="s">
        <v>4012</v>
      </c>
      <c r="H1804" t="s">
        <v>4012</v>
      </c>
      <c r="I1804" t="s">
        <v>4013</v>
      </c>
    </row>
    <row r="1805" spans="1:9" x14ac:dyDescent="0.25">
      <c r="A1805" s="1" t="str">
        <f>HYPERLINK("https://lynxcrm-apac--c.eu19.visual.force.com/0011i000001xnI7AAI","Healthway Medical Clinic")</f>
        <v>Healthway Medical Clinic</v>
      </c>
      <c r="B1805" t="s">
        <v>4014</v>
      </c>
      <c r="C1805" t="s">
        <v>10</v>
      </c>
      <c r="D1805" t="s">
        <v>8</v>
      </c>
      <c r="E1805" t="s">
        <v>8</v>
      </c>
      <c r="F1805" t="s">
        <v>4015</v>
      </c>
      <c r="G1805" t="s">
        <v>1637</v>
      </c>
      <c r="H1805" t="s">
        <v>1637</v>
      </c>
      <c r="I1805" t="s">
        <v>4016</v>
      </c>
    </row>
    <row r="1806" spans="1:9" x14ac:dyDescent="0.25">
      <c r="A1806" s="1" t="str">
        <f>HYPERLINK("https://lynxcrm-apac--c.eu19.visual.force.com/0011i000001xmfwAAA","Healthway Medical Clinic")</f>
        <v>Healthway Medical Clinic</v>
      </c>
      <c r="B1806" t="s">
        <v>4017</v>
      </c>
      <c r="C1806" t="s">
        <v>10</v>
      </c>
      <c r="D1806" t="s">
        <v>8</v>
      </c>
      <c r="E1806" t="s">
        <v>8</v>
      </c>
      <c r="F1806" t="s">
        <v>2225</v>
      </c>
      <c r="G1806" t="s">
        <v>2226</v>
      </c>
      <c r="H1806" t="s">
        <v>2226</v>
      </c>
      <c r="I1806" t="s">
        <v>2227</v>
      </c>
    </row>
    <row r="1807" spans="1:9" x14ac:dyDescent="0.25">
      <c r="A1807" s="1" t="str">
        <f>HYPERLINK("https://lynxcrm-apac--c.eu19.visual.force.com/0011i000001xmzbAAA","Healthway Medical Clinic")</f>
        <v>Healthway Medical Clinic</v>
      </c>
      <c r="B1807" t="s">
        <v>4018</v>
      </c>
      <c r="C1807" t="s">
        <v>10</v>
      </c>
      <c r="D1807" t="s">
        <v>8</v>
      </c>
      <c r="E1807" t="s">
        <v>8</v>
      </c>
      <c r="F1807" t="s">
        <v>4019</v>
      </c>
      <c r="G1807" t="s">
        <v>1774</v>
      </c>
      <c r="H1807" t="s">
        <v>1774</v>
      </c>
      <c r="I1807" t="s">
        <v>4020</v>
      </c>
    </row>
    <row r="1808" spans="1:9" x14ac:dyDescent="0.25">
      <c r="A1808" s="1" t="str">
        <f>HYPERLINK("https://lynxcrm-apac--c.eu19.visual.force.com/0011i000001xn00AAA","Healthway Medical Clinic")</f>
        <v>Healthway Medical Clinic</v>
      </c>
      <c r="B1808" t="s">
        <v>4021</v>
      </c>
      <c r="C1808" t="s">
        <v>10</v>
      </c>
      <c r="D1808" t="s">
        <v>8</v>
      </c>
      <c r="E1808" t="s">
        <v>8</v>
      </c>
      <c r="F1808" t="s">
        <v>4022</v>
      </c>
      <c r="G1808" t="s">
        <v>4023</v>
      </c>
      <c r="H1808" t="s">
        <v>4023</v>
      </c>
      <c r="I1808" t="s">
        <v>1649</v>
      </c>
    </row>
    <row r="1809" spans="1:9" x14ac:dyDescent="0.25">
      <c r="A1809" s="1" t="str">
        <f>HYPERLINK("https://lynxcrm-apac--c.eu19.visual.force.com/0011i000001xnIeAAI","Healthway Medical Clinic")</f>
        <v>Healthway Medical Clinic</v>
      </c>
      <c r="B1809" t="s">
        <v>4024</v>
      </c>
      <c r="C1809" t="s">
        <v>10</v>
      </c>
      <c r="D1809" t="s">
        <v>8</v>
      </c>
      <c r="E1809" t="s">
        <v>8</v>
      </c>
      <c r="F1809" t="s">
        <v>4025</v>
      </c>
      <c r="G1809" t="s">
        <v>4026</v>
      </c>
      <c r="H1809" t="s">
        <v>4026</v>
      </c>
      <c r="I1809" t="s">
        <v>581</v>
      </c>
    </row>
    <row r="1810" spans="1:9" x14ac:dyDescent="0.25">
      <c r="A1810" s="1" t="str">
        <f>HYPERLINK("https://lynxcrm-apac--c.eu19.visual.force.com/0011i000001xmvYAAQ","Healthway Medical Clinic")</f>
        <v>Healthway Medical Clinic</v>
      </c>
      <c r="B1810" t="s">
        <v>4027</v>
      </c>
      <c r="C1810" t="s">
        <v>10</v>
      </c>
      <c r="D1810" t="s">
        <v>8</v>
      </c>
      <c r="E1810" t="s">
        <v>8</v>
      </c>
      <c r="F1810" t="s">
        <v>4028</v>
      </c>
      <c r="G1810" t="s">
        <v>4029</v>
      </c>
      <c r="H1810" t="s">
        <v>4029</v>
      </c>
      <c r="I1810" t="s">
        <v>2193</v>
      </c>
    </row>
    <row r="1811" spans="1:9" x14ac:dyDescent="0.25">
      <c r="A1811" s="1" t="str">
        <f>HYPERLINK("https://lynxcrm-apac--c.eu19.visual.force.com/0011i000001xmzyAAA","Healthway Medical Clinic")</f>
        <v>Healthway Medical Clinic</v>
      </c>
      <c r="B1811" t="s">
        <v>4030</v>
      </c>
      <c r="C1811" t="s">
        <v>10</v>
      </c>
      <c r="D1811" t="s">
        <v>8</v>
      </c>
      <c r="E1811" t="s">
        <v>8</v>
      </c>
      <c r="F1811" t="s">
        <v>4031</v>
      </c>
      <c r="G1811" t="s">
        <v>4032</v>
      </c>
      <c r="H1811" t="s">
        <v>4032</v>
      </c>
      <c r="I1811" t="s">
        <v>4033</v>
      </c>
    </row>
    <row r="1812" spans="1:9" x14ac:dyDescent="0.25">
      <c r="A1812" s="1" t="str">
        <f>HYPERLINK("https://lynxcrm-apac--c.eu19.visual.force.com/0011i000001xnG0AAI","Healthway Medical Clinic")</f>
        <v>Healthway Medical Clinic</v>
      </c>
      <c r="B1812" t="s">
        <v>4034</v>
      </c>
      <c r="C1812" t="s">
        <v>10</v>
      </c>
      <c r="D1812" t="s">
        <v>8</v>
      </c>
      <c r="E1812" t="s">
        <v>8</v>
      </c>
      <c r="F1812" t="s">
        <v>4025</v>
      </c>
      <c r="G1812" t="s">
        <v>4026</v>
      </c>
      <c r="H1812" t="s">
        <v>4026</v>
      </c>
      <c r="I1812" t="s">
        <v>581</v>
      </c>
    </row>
    <row r="1813" spans="1:9" x14ac:dyDescent="0.25">
      <c r="A1813" s="1" t="str">
        <f>HYPERLINK("https://lynxcrm-apac--c.eu19.visual.force.com/0011i000001xnGMAAY","Healthway Medical Clinic")</f>
        <v>Healthway Medical Clinic</v>
      </c>
      <c r="B1813" t="s">
        <v>4035</v>
      </c>
      <c r="C1813" t="s">
        <v>10</v>
      </c>
      <c r="D1813" t="s">
        <v>8</v>
      </c>
      <c r="E1813" t="s">
        <v>8</v>
      </c>
      <c r="F1813" t="s">
        <v>4036</v>
      </c>
      <c r="G1813" t="s">
        <v>4037</v>
      </c>
      <c r="H1813" t="s">
        <v>4037</v>
      </c>
      <c r="I1813" t="s">
        <v>4038</v>
      </c>
    </row>
    <row r="1814" spans="1:9" x14ac:dyDescent="0.25">
      <c r="A1814" s="1" t="str">
        <f>HYPERLINK("https://lynxcrm-apac--c.eu19.visual.force.com/0011i000001xnJiAAI","Healthway Medical Clinic (My Family Doctor)")</f>
        <v>Healthway Medical Clinic (My Family Doctor)</v>
      </c>
      <c r="B1814" t="s">
        <v>4039</v>
      </c>
      <c r="C1814" t="s">
        <v>10</v>
      </c>
      <c r="D1814" t="s">
        <v>8</v>
      </c>
      <c r="E1814" t="s">
        <v>8</v>
      </c>
      <c r="F1814" t="s">
        <v>2010</v>
      </c>
      <c r="G1814" t="s">
        <v>2011</v>
      </c>
      <c r="H1814" t="s">
        <v>2011</v>
      </c>
      <c r="I1814" t="s">
        <v>2013</v>
      </c>
    </row>
    <row r="1815" spans="1:9" x14ac:dyDescent="0.25">
      <c r="A1815" s="1" t="str">
        <f>HYPERLINK("https://lynxcrm-apac--c.eu19.visual.force.com/0011i000001xmzxAAA","Healthway Medical Clinic (S'pore Family Cl &amp; Surg)")</f>
        <v>Healthway Medical Clinic (S'pore Family Cl &amp; Surg)</v>
      </c>
      <c r="B1815" t="s">
        <v>4040</v>
      </c>
      <c r="C1815" t="s">
        <v>10</v>
      </c>
      <c r="D1815" t="s">
        <v>8</v>
      </c>
      <c r="E1815" t="s">
        <v>8</v>
      </c>
      <c r="F1815" t="s">
        <v>4041</v>
      </c>
      <c r="G1815" t="s">
        <v>4042</v>
      </c>
      <c r="H1815" t="s">
        <v>4042</v>
      </c>
      <c r="I1815" t="s">
        <v>4043</v>
      </c>
    </row>
    <row r="1816" spans="1:9" x14ac:dyDescent="0.25">
      <c r="A1816" s="1" t="str">
        <f>HYPERLINK("https://lynxcrm-apac--c.eu19.visual.force.com/0011i000001xn8EAAQ","Healthway Medical Group")</f>
        <v>Healthway Medical Group</v>
      </c>
      <c r="B1816" t="s">
        <v>4044</v>
      </c>
      <c r="C1816" t="s">
        <v>10</v>
      </c>
      <c r="D1816" t="s">
        <v>8</v>
      </c>
      <c r="E1816" t="s">
        <v>8</v>
      </c>
      <c r="F1816" t="s">
        <v>4005</v>
      </c>
      <c r="G1816" t="s">
        <v>833</v>
      </c>
      <c r="H1816" t="s">
        <v>833</v>
      </c>
      <c r="I1816" t="s">
        <v>834</v>
      </c>
    </row>
    <row r="1817" spans="1:9" x14ac:dyDescent="0.25">
      <c r="A1817" s="1" t="str">
        <f>HYPERLINK("https://lynxcrm-apac--c.eu19.visual.force.com/0011i000001xnHSAAY","Healthway Medical Group")</f>
        <v>Healthway Medical Group</v>
      </c>
      <c r="B1817" t="s">
        <v>4045</v>
      </c>
      <c r="C1817" t="s">
        <v>10</v>
      </c>
      <c r="D1817" t="s">
        <v>8</v>
      </c>
      <c r="E1817" t="s">
        <v>8</v>
      </c>
      <c r="F1817" t="s">
        <v>4046</v>
      </c>
      <c r="G1817" t="s">
        <v>4047</v>
      </c>
      <c r="H1817" t="s">
        <v>4047</v>
      </c>
      <c r="I1817" t="s">
        <v>4048</v>
      </c>
    </row>
    <row r="1818" spans="1:9" x14ac:dyDescent="0.25">
      <c r="A1818" s="1" t="str">
        <f>HYPERLINK("https://lynxcrm-apac--c.eu19.visual.force.com/0011i000001xnIxAAI","Healthway Medical Group")</f>
        <v>Healthway Medical Group</v>
      </c>
      <c r="B1818" t="s">
        <v>4049</v>
      </c>
      <c r="C1818" t="s">
        <v>10</v>
      </c>
      <c r="D1818" t="s">
        <v>8</v>
      </c>
      <c r="E1818" t="s">
        <v>8</v>
      </c>
      <c r="F1818" t="s">
        <v>938</v>
      </c>
      <c r="G1818" t="s">
        <v>939</v>
      </c>
      <c r="H1818" t="s">
        <v>939</v>
      </c>
      <c r="I1818" t="s">
        <v>940</v>
      </c>
    </row>
    <row r="1819" spans="1:9" x14ac:dyDescent="0.25">
      <c r="A1819" s="1" t="str">
        <f>HYPERLINK("https://lynxcrm-apac--c.eu19.visual.force.com/0011i000001xnLJAAY","Healthway Medical Group")</f>
        <v>Healthway Medical Group</v>
      </c>
      <c r="B1819" t="s">
        <v>4050</v>
      </c>
      <c r="C1819" t="s">
        <v>10</v>
      </c>
      <c r="D1819" t="s">
        <v>8</v>
      </c>
      <c r="E1819" t="s">
        <v>8</v>
      </c>
      <c r="F1819" t="s">
        <v>4051</v>
      </c>
      <c r="G1819" t="s">
        <v>1515</v>
      </c>
      <c r="H1819" t="s">
        <v>1515</v>
      </c>
      <c r="I1819" t="s">
        <v>4052</v>
      </c>
    </row>
    <row r="1820" spans="1:9" x14ac:dyDescent="0.25">
      <c r="A1820" s="1" t="str">
        <f>HYPERLINK("https://lynxcrm-apac--c.eu19.visual.force.com/0011i000001xmgbAAA","Healthway Medical Group")</f>
        <v>Healthway Medical Group</v>
      </c>
      <c r="B1820" t="s">
        <v>4053</v>
      </c>
      <c r="C1820" t="s">
        <v>10</v>
      </c>
      <c r="D1820" t="s">
        <v>8</v>
      </c>
      <c r="E1820" t="s">
        <v>8</v>
      </c>
      <c r="F1820" t="s">
        <v>4054</v>
      </c>
      <c r="G1820" t="s">
        <v>4047</v>
      </c>
      <c r="H1820" t="s">
        <v>4047</v>
      </c>
      <c r="I1820" t="s">
        <v>4048</v>
      </c>
    </row>
    <row r="1821" spans="1:9" x14ac:dyDescent="0.25">
      <c r="A1821" s="1" t="str">
        <f>HYPERLINK("https://lynxcrm-apac--c.eu19.visual.force.com/0011i000001xmoqAAA","Healthway Medical Group")</f>
        <v>Healthway Medical Group</v>
      </c>
      <c r="B1821" t="s">
        <v>4055</v>
      </c>
      <c r="C1821" t="s">
        <v>10</v>
      </c>
      <c r="D1821" t="s">
        <v>8</v>
      </c>
      <c r="E1821" t="s">
        <v>8</v>
      </c>
      <c r="F1821" t="s">
        <v>4056</v>
      </c>
      <c r="G1821" t="s">
        <v>3429</v>
      </c>
      <c r="H1821" t="s">
        <v>3429</v>
      </c>
      <c r="I1821" t="s">
        <v>4057</v>
      </c>
    </row>
    <row r="1822" spans="1:9" x14ac:dyDescent="0.25">
      <c r="A1822" s="1" t="str">
        <f>HYPERLINK("https://lynxcrm-apac--c.eu19.visual.force.com/0011i000001xnLNAAY","Healthway Medical Group")</f>
        <v>Healthway Medical Group</v>
      </c>
      <c r="B1822" t="s">
        <v>4058</v>
      </c>
      <c r="C1822" t="s">
        <v>10</v>
      </c>
      <c r="D1822" t="s">
        <v>8</v>
      </c>
      <c r="E1822" t="s">
        <v>8</v>
      </c>
      <c r="F1822" t="s">
        <v>191</v>
      </c>
      <c r="G1822" t="s">
        <v>2223</v>
      </c>
      <c r="H1822" t="s">
        <v>2223</v>
      </c>
      <c r="I1822" t="s">
        <v>193</v>
      </c>
    </row>
    <row r="1823" spans="1:9" x14ac:dyDescent="0.25">
      <c r="A1823" s="1" t="str">
        <f>HYPERLINK("https://lynxcrm-apac--c.eu19.visual.force.com/0011i000001xmsfAAA","Healthway Medical Group")</f>
        <v>Healthway Medical Group</v>
      </c>
      <c r="B1823" t="s">
        <v>4059</v>
      </c>
      <c r="C1823" t="s">
        <v>10</v>
      </c>
      <c r="D1823" t="s">
        <v>8</v>
      </c>
      <c r="E1823" t="s">
        <v>8</v>
      </c>
      <c r="F1823" t="s">
        <v>4060</v>
      </c>
      <c r="G1823" t="s">
        <v>2829</v>
      </c>
      <c r="H1823" t="s">
        <v>2829</v>
      </c>
      <c r="I1823" t="s">
        <v>4061</v>
      </c>
    </row>
    <row r="1824" spans="1:9" x14ac:dyDescent="0.25">
      <c r="A1824" s="1" t="str">
        <f>HYPERLINK("https://lynxcrm-apac--c.eu19.visual.force.com/0011i000001xnRhAAI","Healthway Medical Group")</f>
        <v>Healthway Medical Group</v>
      </c>
      <c r="B1824" t="s">
        <v>4062</v>
      </c>
      <c r="C1824" t="s">
        <v>10</v>
      </c>
      <c r="D1824" t="s">
        <v>8</v>
      </c>
      <c r="E1824" t="s">
        <v>8</v>
      </c>
      <c r="F1824" t="s">
        <v>4063</v>
      </c>
      <c r="G1824" t="s">
        <v>4064</v>
      </c>
      <c r="H1824" t="s">
        <v>4064</v>
      </c>
      <c r="I1824" t="s">
        <v>4065</v>
      </c>
    </row>
    <row r="1825" spans="1:9" x14ac:dyDescent="0.25">
      <c r="A1825" s="1" t="str">
        <f>HYPERLINK("https://lynxcrm-apac--c.eu19.visual.force.com/0011i000001xmb0AAA","Healthway Medical Group")</f>
        <v>Healthway Medical Group</v>
      </c>
      <c r="B1825" t="s">
        <v>4066</v>
      </c>
      <c r="C1825" t="s">
        <v>10</v>
      </c>
      <c r="D1825" t="s">
        <v>8</v>
      </c>
      <c r="E1825" t="s">
        <v>8</v>
      </c>
      <c r="F1825" t="s">
        <v>3991</v>
      </c>
      <c r="G1825" t="s">
        <v>4067</v>
      </c>
      <c r="H1825" t="s">
        <v>4067</v>
      </c>
      <c r="I1825" t="s">
        <v>3993</v>
      </c>
    </row>
    <row r="1826" spans="1:9" x14ac:dyDescent="0.25">
      <c r="A1826" s="1" t="str">
        <f>HYPERLINK("https://lynxcrm-apac--c.eu19.visual.force.com/0011i000001xn3CAAQ","Healthway Medical Group")</f>
        <v>Healthway Medical Group</v>
      </c>
      <c r="B1826" t="s">
        <v>4068</v>
      </c>
      <c r="C1826" t="s">
        <v>10</v>
      </c>
      <c r="D1826" t="s">
        <v>8</v>
      </c>
      <c r="E1826" t="s">
        <v>8</v>
      </c>
      <c r="F1826" t="s">
        <v>4069</v>
      </c>
      <c r="G1826" t="s">
        <v>4070</v>
      </c>
      <c r="H1826" t="s">
        <v>4070</v>
      </c>
      <c r="I1826" t="s">
        <v>4071</v>
      </c>
    </row>
    <row r="1827" spans="1:9" x14ac:dyDescent="0.25">
      <c r="A1827" s="1" t="str">
        <f>HYPERLINK("https://lynxcrm-apac--c.eu19.visual.force.com/0011i000001xnAgAAI","Healthway Medical Group")</f>
        <v>Healthway Medical Group</v>
      </c>
      <c r="B1827" t="s">
        <v>4072</v>
      </c>
      <c r="C1827" t="s">
        <v>10</v>
      </c>
      <c r="D1827" t="s">
        <v>8</v>
      </c>
      <c r="E1827" t="s">
        <v>8</v>
      </c>
      <c r="F1827" t="s">
        <v>1013</v>
      </c>
      <c r="G1827" t="s">
        <v>1013</v>
      </c>
      <c r="H1827" t="s">
        <v>8</v>
      </c>
      <c r="I1827" t="s">
        <v>1014</v>
      </c>
    </row>
    <row r="1828" spans="1:9" x14ac:dyDescent="0.25">
      <c r="A1828" s="1" t="str">
        <f>HYPERLINK("https://lynxcrm-apac--c.eu19.visual.force.com/0011i000001xnLOAAY","Healthway Medical Group")</f>
        <v>Healthway Medical Group</v>
      </c>
      <c r="B1828" t="s">
        <v>4073</v>
      </c>
      <c r="C1828" t="s">
        <v>10</v>
      </c>
      <c r="D1828" t="s">
        <v>8</v>
      </c>
      <c r="E1828" t="s">
        <v>8</v>
      </c>
      <c r="F1828" t="s">
        <v>1334</v>
      </c>
      <c r="G1828" t="s">
        <v>1335</v>
      </c>
      <c r="H1828" t="s">
        <v>1335</v>
      </c>
      <c r="I1828" t="s">
        <v>1336</v>
      </c>
    </row>
    <row r="1829" spans="1:9" x14ac:dyDescent="0.25">
      <c r="A1829" s="1" t="str">
        <f>HYPERLINK("https://lynxcrm-apac--c.eu19.visual.force.com/0011i000001xmb1AAA","Healthway Medical Group")</f>
        <v>Healthway Medical Group</v>
      </c>
      <c r="B1829" t="s">
        <v>4074</v>
      </c>
      <c r="C1829" t="s">
        <v>10</v>
      </c>
      <c r="D1829" t="s">
        <v>8</v>
      </c>
      <c r="E1829" t="s">
        <v>8</v>
      </c>
      <c r="F1829" t="s">
        <v>1822</v>
      </c>
      <c r="G1829" t="s">
        <v>1823</v>
      </c>
      <c r="H1829" t="s">
        <v>1823</v>
      </c>
      <c r="I1829" t="s">
        <v>1824</v>
      </c>
    </row>
    <row r="1830" spans="1:9" x14ac:dyDescent="0.25">
      <c r="A1830" s="1" t="str">
        <f>HYPERLINK("https://lynxcrm-apac--c.eu19.visual.force.com/0011i000001xmj7AAA","Healthway Medical Group")</f>
        <v>Healthway Medical Group</v>
      </c>
      <c r="B1830" t="s">
        <v>4075</v>
      </c>
      <c r="C1830" t="s">
        <v>10</v>
      </c>
      <c r="D1830" t="s">
        <v>8</v>
      </c>
      <c r="E1830" t="s">
        <v>8</v>
      </c>
      <c r="F1830" t="s">
        <v>4076</v>
      </c>
      <c r="G1830" t="s">
        <v>4077</v>
      </c>
      <c r="H1830" t="s">
        <v>4077</v>
      </c>
      <c r="I1830" t="s">
        <v>4078</v>
      </c>
    </row>
    <row r="1831" spans="1:9" x14ac:dyDescent="0.25">
      <c r="A1831" s="1" t="str">
        <f>HYPERLINK("https://lynxcrm-apac--c.eu19.visual.force.com/0011i000001xn5DAAQ","Healthway Medical Group")</f>
        <v>Healthway Medical Group</v>
      </c>
      <c r="B1831" t="s">
        <v>4079</v>
      </c>
      <c r="C1831" t="s">
        <v>10</v>
      </c>
      <c r="D1831" t="s">
        <v>8</v>
      </c>
      <c r="E1831" t="s">
        <v>8</v>
      </c>
      <c r="F1831" t="s">
        <v>4080</v>
      </c>
      <c r="G1831" t="s">
        <v>4081</v>
      </c>
      <c r="H1831" t="s">
        <v>4081</v>
      </c>
      <c r="I1831" t="s">
        <v>4082</v>
      </c>
    </row>
    <row r="1832" spans="1:9" x14ac:dyDescent="0.25">
      <c r="A1832" s="1" t="str">
        <f>HYPERLINK("https://lynxcrm-apac--c.eu19.visual.force.com/0011i000001xnAfAAI","Healthway Medical Group")</f>
        <v>Healthway Medical Group</v>
      </c>
      <c r="B1832" t="s">
        <v>4083</v>
      </c>
      <c r="C1832" t="s">
        <v>10</v>
      </c>
      <c r="D1832" t="s">
        <v>8</v>
      </c>
      <c r="E1832" t="s">
        <v>8</v>
      </c>
      <c r="F1832" t="s">
        <v>191</v>
      </c>
      <c r="G1832" t="s">
        <v>2223</v>
      </c>
      <c r="H1832" t="s">
        <v>2223</v>
      </c>
      <c r="I1832" t="s">
        <v>193</v>
      </c>
    </row>
    <row r="1833" spans="1:9" x14ac:dyDescent="0.25">
      <c r="A1833" s="1" t="str">
        <f>HYPERLINK("https://lynxcrm-apac--c.eu19.visual.force.com/0011i000001xnO7AAI","Healthway Medical Group")</f>
        <v>Healthway Medical Group</v>
      </c>
      <c r="B1833" t="s">
        <v>4084</v>
      </c>
      <c r="C1833" t="s">
        <v>10</v>
      </c>
      <c r="D1833" t="s">
        <v>8</v>
      </c>
      <c r="E1833" t="s">
        <v>8</v>
      </c>
      <c r="F1833" t="s">
        <v>4085</v>
      </c>
      <c r="G1833" t="s">
        <v>4086</v>
      </c>
      <c r="H1833" t="s">
        <v>4086</v>
      </c>
      <c r="I1833" t="s">
        <v>834</v>
      </c>
    </row>
    <row r="1834" spans="1:9" x14ac:dyDescent="0.25">
      <c r="A1834" s="1" t="str">
        <f>HYPERLINK("https://lynxcrm-apac--c.eu19.visual.force.com/0011i000001xnRjAAI","Healthway Medical Group")</f>
        <v>Healthway Medical Group</v>
      </c>
      <c r="B1834" t="s">
        <v>4087</v>
      </c>
      <c r="C1834" t="s">
        <v>10</v>
      </c>
      <c r="D1834" t="s">
        <v>8</v>
      </c>
      <c r="E1834" t="s">
        <v>8</v>
      </c>
      <c r="F1834" t="s">
        <v>4088</v>
      </c>
      <c r="G1834" t="s">
        <v>4089</v>
      </c>
      <c r="H1834" t="s">
        <v>4089</v>
      </c>
      <c r="I1834" t="s">
        <v>193</v>
      </c>
    </row>
    <row r="1835" spans="1:9" x14ac:dyDescent="0.25">
      <c r="A1835" s="1" t="str">
        <f>HYPERLINK("https://lynxcrm-apac--c.eu19.visual.force.com/0011i000001xnRrAAI","Healthway Medical Group")</f>
        <v>Healthway Medical Group</v>
      </c>
      <c r="B1835" t="s">
        <v>4090</v>
      </c>
      <c r="C1835" t="s">
        <v>10</v>
      </c>
      <c r="D1835" t="s">
        <v>8</v>
      </c>
      <c r="E1835" t="s">
        <v>8</v>
      </c>
      <c r="F1835" t="s">
        <v>4091</v>
      </c>
      <c r="G1835" t="s">
        <v>4092</v>
      </c>
      <c r="H1835" t="s">
        <v>4092</v>
      </c>
      <c r="I1835" t="s">
        <v>4093</v>
      </c>
    </row>
    <row r="1836" spans="1:9" x14ac:dyDescent="0.25">
      <c r="A1836" s="1" t="str">
        <f>HYPERLINK("https://lynxcrm-apac--c.eu19.visual.force.com/0011i000001xnXQAAY","Healthway Medical Group")</f>
        <v>Healthway Medical Group</v>
      </c>
      <c r="B1836" t="s">
        <v>4094</v>
      </c>
      <c r="C1836" t="s">
        <v>10</v>
      </c>
      <c r="D1836" t="s">
        <v>8</v>
      </c>
      <c r="E1836" t="s">
        <v>8</v>
      </c>
      <c r="F1836" t="s">
        <v>4095</v>
      </c>
      <c r="G1836" t="s">
        <v>4096</v>
      </c>
      <c r="H1836" t="s">
        <v>4096</v>
      </c>
      <c r="I1836" t="s">
        <v>4097</v>
      </c>
    </row>
    <row r="1837" spans="1:9" x14ac:dyDescent="0.25">
      <c r="A1837" s="1" t="str">
        <f>HYPERLINK("https://lynxcrm-apac--c.eu19.visual.force.com/0011i000001xmqsAAA","Healthway Medical Group Pte Ltd (Woodlands)")</f>
        <v>Healthway Medical Group Pte Ltd (Woodlands)</v>
      </c>
      <c r="B1837" t="s">
        <v>4098</v>
      </c>
      <c r="C1837" t="s">
        <v>10</v>
      </c>
      <c r="D1837" t="s">
        <v>8</v>
      </c>
      <c r="E1837" t="s">
        <v>8</v>
      </c>
      <c r="F1837" t="s">
        <v>4099</v>
      </c>
      <c r="G1837" t="s">
        <v>985</v>
      </c>
      <c r="H1837" t="s">
        <v>985</v>
      </c>
      <c r="I1837" t="s">
        <v>4100</v>
      </c>
    </row>
    <row r="1838" spans="1:9" x14ac:dyDescent="0.25">
      <c r="A1838" s="1" t="str">
        <f>HYPERLINK("https://lynxcrm-apac--c.eu19.visual.force.com/0011i000001xmnOAAQ","Healthway Sunshine Family Clinic")</f>
        <v>Healthway Sunshine Family Clinic</v>
      </c>
      <c r="B1838" t="s">
        <v>4101</v>
      </c>
      <c r="C1838" t="s">
        <v>10</v>
      </c>
      <c r="D1838" t="s">
        <v>8</v>
      </c>
      <c r="E1838" t="s">
        <v>8</v>
      </c>
      <c r="F1838" t="s">
        <v>2384</v>
      </c>
      <c r="G1838" t="s">
        <v>4102</v>
      </c>
      <c r="H1838" t="s">
        <v>4103</v>
      </c>
      <c r="I1838" t="s">
        <v>2387</v>
      </c>
    </row>
    <row r="1839" spans="1:9" x14ac:dyDescent="0.25">
      <c r="A1839" s="1" t="str">
        <f>HYPERLINK("https://lynxcrm-apac--c.eu19.visual.force.com/0011i000001xmu1AAA","Healthway Sunshine Family Clinic")</f>
        <v>Healthway Sunshine Family Clinic</v>
      </c>
      <c r="B1839" t="s">
        <v>4104</v>
      </c>
      <c r="C1839" t="s">
        <v>10</v>
      </c>
      <c r="D1839" t="s">
        <v>8</v>
      </c>
      <c r="E1839" t="s">
        <v>8</v>
      </c>
      <c r="F1839" t="s">
        <v>2384</v>
      </c>
      <c r="G1839" t="s">
        <v>4102</v>
      </c>
      <c r="H1839" t="s">
        <v>4103</v>
      </c>
      <c r="I1839" t="s">
        <v>2387</v>
      </c>
    </row>
    <row r="1840" spans="1:9" x14ac:dyDescent="0.25">
      <c r="A1840" s="1" t="str">
        <f>HYPERLINK("https://lynxcrm-apac--c.eu19.visual.force.com/0011i000001xnFQAAY","Healthway Tampines Clinic")</f>
        <v>Healthway Tampines Clinic</v>
      </c>
      <c r="B1840" t="s">
        <v>4105</v>
      </c>
      <c r="C1840" t="s">
        <v>10</v>
      </c>
      <c r="D1840" t="s">
        <v>8</v>
      </c>
      <c r="E1840" t="s">
        <v>8</v>
      </c>
      <c r="F1840" t="s">
        <v>4106</v>
      </c>
      <c r="G1840" t="s">
        <v>2300</v>
      </c>
      <c r="H1840" t="s">
        <v>2300</v>
      </c>
      <c r="I1840" t="s">
        <v>4107</v>
      </c>
    </row>
    <row r="1841" spans="1:9" x14ac:dyDescent="0.25">
      <c r="A1841" s="1" t="str">
        <f>HYPERLINK("https://lynxcrm-apac--c.eu19.visual.force.com/0011i000001xmhGAAQ","Healthway West Coast Clinic")</f>
        <v>Healthway West Coast Clinic</v>
      </c>
      <c r="B1841" t="s">
        <v>4108</v>
      </c>
      <c r="C1841" t="s">
        <v>10</v>
      </c>
      <c r="D1841" t="s">
        <v>8</v>
      </c>
      <c r="E1841" t="s">
        <v>8</v>
      </c>
      <c r="F1841" t="s">
        <v>4109</v>
      </c>
      <c r="G1841" t="s">
        <v>525</v>
      </c>
      <c r="H1841" t="s">
        <v>525</v>
      </c>
      <c r="I1841" t="s">
        <v>3177</v>
      </c>
    </row>
    <row r="1842" spans="1:9" x14ac:dyDescent="0.25">
      <c r="A1842" s="1" t="str">
        <f>HYPERLINK("https://lynxcrm-apac--c.eu19.visual.force.com/0011i000001xnHQAAY","Healthwerkz Medical Centre")</f>
        <v>Healthwerkz Medical Centre</v>
      </c>
      <c r="B1842" t="s">
        <v>4110</v>
      </c>
      <c r="C1842" t="s">
        <v>10</v>
      </c>
      <c r="D1842" t="s">
        <v>8</v>
      </c>
      <c r="E1842" t="s">
        <v>8</v>
      </c>
      <c r="F1842" t="s">
        <v>4111</v>
      </c>
      <c r="G1842" t="s">
        <v>4112</v>
      </c>
      <c r="H1842" t="s">
        <v>4112</v>
      </c>
      <c r="I1842" t="s">
        <v>410</v>
      </c>
    </row>
    <row r="1843" spans="1:9" x14ac:dyDescent="0.25">
      <c r="A1843" s="1" t="str">
        <f>HYPERLINK("https://lynxcrm-apac--c.eu19.visual.force.com/0011i000001xnZfAAI","Healthwise Medical Clinic &amp; Surg")</f>
        <v>Healthwise Medical Clinic &amp; Surg</v>
      </c>
      <c r="B1843" t="s">
        <v>4113</v>
      </c>
      <c r="C1843" t="s">
        <v>10</v>
      </c>
      <c r="D1843" t="s">
        <v>8</v>
      </c>
      <c r="E1843" t="s">
        <v>8</v>
      </c>
      <c r="F1843" t="s">
        <v>4114</v>
      </c>
      <c r="G1843" t="s">
        <v>2829</v>
      </c>
      <c r="H1843" t="s">
        <v>2829</v>
      </c>
      <c r="I1843" t="s">
        <v>4115</v>
      </c>
    </row>
    <row r="1844" spans="1:9" x14ac:dyDescent="0.25">
      <c r="A1844" s="1" t="str">
        <f>HYPERLINK("https://lynxcrm-apac--c.eu19.visual.force.com/0011i000001xmrmAAA","Healthy Glow Men &amp; Women's Cl")</f>
        <v>Healthy Glow Men &amp; Women's Cl</v>
      </c>
      <c r="B1844" t="s">
        <v>4116</v>
      </c>
      <c r="C1844" t="s">
        <v>10</v>
      </c>
      <c r="D1844" t="s">
        <v>8</v>
      </c>
      <c r="E1844" t="s">
        <v>8</v>
      </c>
      <c r="F1844" t="s">
        <v>317</v>
      </c>
      <c r="G1844" t="s">
        <v>2480</v>
      </c>
      <c r="H1844" t="s">
        <v>2480</v>
      </c>
      <c r="I1844" t="s">
        <v>85</v>
      </c>
    </row>
    <row r="1845" spans="1:9" x14ac:dyDescent="0.25">
      <c r="A1845" s="1" t="str">
        <f>HYPERLINK("https://lynxcrm-apac--c.eu19.visual.force.com/0011i00000X6YRMAA3","Healthy Heart Specialist Centre")</f>
        <v>Healthy Heart Specialist Centre</v>
      </c>
      <c r="B1845" t="s">
        <v>4117</v>
      </c>
      <c r="C1845" t="s">
        <v>10</v>
      </c>
      <c r="D1845" t="s">
        <v>8</v>
      </c>
      <c r="E1845" t="s">
        <v>8</v>
      </c>
      <c r="F1845" t="s">
        <v>4118</v>
      </c>
      <c r="G1845" t="s">
        <v>4119</v>
      </c>
      <c r="H1845" t="s">
        <v>8</v>
      </c>
      <c r="I1845" t="s">
        <v>4120</v>
      </c>
    </row>
    <row r="1846" spans="1:9" x14ac:dyDescent="0.25">
      <c r="A1846" s="1" t="str">
        <f>HYPERLINK("https://lynxcrm-apac--c.eu19.visual.force.com/0011i000001xmosAAA","Heart Consultants Pte Ltd")</f>
        <v>Heart Consultants Pte Ltd</v>
      </c>
      <c r="B1846" t="s">
        <v>4121</v>
      </c>
      <c r="C1846" t="s">
        <v>10</v>
      </c>
      <c r="D1846" t="s">
        <v>8</v>
      </c>
      <c r="E1846" t="s">
        <v>8</v>
      </c>
      <c r="F1846" t="s">
        <v>203</v>
      </c>
      <c r="G1846" t="s">
        <v>4122</v>
      </c>
      <c r="H1846" t="s">
        <v>202</v>
      </c>
      <c r="I1846" t="s">
        <v>4123</v>
      </c>
    </row>
    <row r="1847" spans="1:9" x14ac:dyDescent="0.25">
      <c r="A1847" s="1" t="str">
        <f>HYPERLINK("https://lynxcrm-apac--c.eu19.visual.force.com/0011i000001xnAnAAI","Heartland Family Clinic")</f>
        <v>Heartland Family Clinic</v>
      </c>
      <c r="B1847" t="s">
        <v>4124</v>
      </c>
      <c r="C1847" t="s">
        <v>10</v>
      </c>
      <c r="D1847" t="s">
        <v>8</v>
      </c>
      <c r="E1847" t="s">
        <v>8</v>
      </c>
      <c r="F1847" t="s">
        <v>4125</v>
      </c>
      <c r="G1847" t="s">
        <v>4126</v>
      </c>
      <c r="H1847" t="s">
        <v>4126</v>
      </c>
      <c r="I1847" t="s">
        <v>4127</v>
      </c>
    </row>
    <row r="1848" spans="1:9" x14ac:dyDescent="0.25">
      <c r="A1848" s="1" t="str">
        <f>HYPERLINK("https://lynxcrm-apac--c.eu19.visual.force.com/0011i000001xoeVAAQ","Hee, Hwan Tak")</f>
        <v>Hee, Hwan Tak</v>
      </c>
      <c r="B1848" t="s">
        <v>4128</v>
      </c>
      <c r="C1848" t="s">
        <v>28</v>
      </c>
      <c r="D1848" t="s">
        <v>4129</v>
      </c>
      <c r="E1848" t="s">
        <v>8</v>
      </c>
      <c r="F1848" t="s">
        <v>4130</v>
      </c>
      <c r="G1848" t="s">
        <v>121</v>
      </c>
      <c r="H1848" t="s">
        <v>121</v>
      </c>
      <c r="I1848" t="s">
        <v>123</v>
      </c>
    </row>
    <row r="1849" spans="1:9" x14ac:dyDescent="0.25">
      <c r="A1849" s="1" t="str">
        <f>HYPERLINK("https://lynxcrm-apac--c.eu19.visual.force.com/0011i000001xnAWAAY","Helathway Medical Clinic")</f>
        <v>Helathway Medical Clinic</v>
      </c>
      <c r="B1849" t="s">
        <v>4131</v>
      </c>
      <c r="C1849" t="s">
        <v>10</v>
      </c>
      <c r="D1849" t="s">
        <v>8</v>
      </c>
      <c r="E1849" t="s">
        <v>8</v>
      </c>
      <c r="F1849" t="s">
        <v>4132</v>
      </c>
      <c r="G1849" t="s">
        <v>4133</v>
      </c>
      <c r="H1849" t="s">
        <v>4133</v>
      </c>
      <c r="I1849" t="s">
        <v>4038</v>
      </c>
    </row>
    <row r="1850" spans="1:9" x14ac:dyDescent="0.25">
      <c r="A1850" s="1" t="str">
        <f>HYPERLINK("https://lynxcrm-apac--c.eu19.visual.force.com/0011i000001xnBgAAI","Henderson Clinic &amp; Surgery")</f>
        <v>Henderson Clinic &amp; Surgery</v>
      </c>
      <c r="B1850" t="s">
        <v>4134</v>
      </c>
      <c r="C1850" t="s">
        <v>10</v>
      </c>
      <c r="D1850" t="s">
        <v>8</v>
      </c>
      <c r="E1850" t="s">
        <v>8</v>
      </c>
      <c r="F1850" t="s">
        <v>4135</v>
      </c>
      <c r="G1850" t="s">
        <v>4136</v>
      </c>
      <c r="H1850" t="s">
        <v>4136</v>
      </c>
      <c r="I1850" t="s">
        <v>4137</v>
      </c>
    </row>
    <row r="1851" spans="1:9" x14ac:dyDescent="0.25">
      <c r="A1851" s="1" t="str">
        <f>HYPERLINK("https://lynxcrm-apac--c.eu19.visual.force.com/0011i000001xomDAAQ","Heng, Anthony")</f>
        <v>Heng, Anthony</v>
      </c>
      <c r="B1851" t="s">
        <v>4138</v>
      </c>
      <c r="C1851" t="s">
        <v>28</v>
      </c>
      <c r="D1851" t="s">
        <v>4139</v>
      </c>
      <c r="E1851" t="s">
        <v>8</v>
      </c>
      <c r="F1851" t="s">
        <v>69</v>
      </c>
      <c r="G1851" t="s">
        <v>648</v>
      </c>
      <c r="H1851" t="s">
        <v>649</v>
      </c>
      <c r="I1851" t="s">
        <v>67</v>
      </c>
    </row>
    <row r="1852" spans="1:9" x14ac:dyDescent="0.25">
      <c r="A1852" s="1" t="str">
        <f>HYPERLINK("https://lynxcrm-apac--c.eu19.visual.force.com/0011i000001xoL0AAI","Heng, Audrey")</f>
        <v>Heng, Audrey</v>
      </c>
      <c r="B1852" t="s">
        <v>4140</v>
      </c>
      <c r="C1852" t="s">
        <v>28</v>
      </c>
      <c r="D1852" t="s">
        <v>4141</v>
      </c>
      <c r="E1852" t="s">
        <v>8</v>
      </c>
      <c r="F1852" t="s">
        <v>4142</v>
      </c>
      <c r="G1852" t="s">
        <v>4143</v>
      </c>
      <c r="H1852" t="s">
        <v>4143</v>
      </c>
      <c r="I1852" t="s">
        <v>4144</v>
      </c>
    </row>
    <row r="1853" spans="1:9" x14ac:dyDescent="0.25">
      <c r="A1853" s="1" t="str">
        <f>HYPERLINK("https://lynxcrm-apac--c.eu19.visual.force.com/0011i000001xomFAAQ","Heng, Boon Liat Brian")</f>
        <v>Heng, Boon Liat Brian</v>
      </c>
      <c r="B1853" t="s">
        <v>4145</v>
      </c>
      <c r="C1853" t="s">
        <v>28</v>
      </c>
      <c r="D1853" t="s">
        <v>4146</v>
      </c>
      <c r="E1853" t="s">
        <v>8</v>
      </c>
      <c r="F1853" t="s">
        <v>4147</v>
      </c>
      <c r="G1853" t="s">
        <v>4148</v>
      </c>
      <c r="H1853" t="s">
        <v>4149</v>
      </c>
      <c r="I1853" t="s">
        <v>4150</v>
      </c>
    </row>
    <row r="1854" spans="1:9" x14ac:dyDescent="0.25">
      <c r="A1854" s="1" t="str">
        <f>HYPERLINK("https://lynxcrm-apac--c.eu19.visual.force.com/0011i000001xomLAAQ","Heng, Chin Ngor Doris")</f>
        <v>Heng, Chin Ngor Doris</v>
      </c>
      <c r="B1854" t="s">
        <v>4151</v>
      </c>
      <c r="C1854" t="s">
        <v>28</v>
      </c>
      <c r="D1854" t="s">
        <v>4152</v>
      </c>
      <c r="E1854" t="s">
        <v>8</v>
      </c>
      <c r="F1854" t="s">
        <v>4153</v>
      </c>
      <c r="G1854" t="s">
        <v>2226</v>
      </c>
      <c r="H1854" t="s">
        <v>4154</v>
      </c>
      <c r="I1854" t="s">
        <v>4155</v>
      </c>
    </row>
    <row r="1855" spans="1:9" x14ac:dyDescent="0.25">
      <c r="A1855" s="1" t="str">
        <f>HYPERLINK("https://lynxcrm-apac--c.eu19.visual.force.com/0011i000001xnz8AAA","Heng, Chin Tiong")</f>
        <v>Heng, Chin Tiong</v>
      </c>
      <c r="B1855" t="s">
        <v>4156</v>
      </c>
      <c r="C1855" t="s">
        <v>28</v>
      </c>
      <c r="D1855" t="s">
        <v>261</v>
      </c>
      <c r="E1855" t="s">
        <v>8</v>
      </c>
      <c r="F1855" t="s">
        <v>261</v>
      </c>
      <c r="G1855" t="s">
        <v>347</v>
      </c>
      <c r="H1855" t="s">
        <v>347</v>
      </c>
      <c r="I1855" t="s">
        <v>260</v>
      </c>
    </row>
    <row r="1856" spans="1:9" x14ac:dyDescent="0.25">
      <c r="A1856" s="1" t="str">
        <f>HYPERLINK("https://lynxcrm-apac--c.eu19.visual.force.com/0011i000001xnz8AAA","Heng, Chin Tiong")</f>
        <v>Heng, Chin Tiong</v>
      </c>
      <c r="B1856" t="s">
        <v>4156</v>
      </c>
      <c r="C1856" t="s">
        <v>28</v>
      </c>
      <c r="D1856" t="s">
        <v>1242</v>
      </c>
      <c r="E1856" t="s">
        <v>8</v>
      </c>
      <c r="F1856" t="s">
        <v>258</v>
      </c>
      <c r="G1856" t="s">
        <v>261</v>
      </c>
      <c r="H1856" t="s">
        <v>261</v>
      </c>
      <c r="I1856" t="s">
        <v>260</v>
      </c>
    </row>
    <row r="1857" spans="1:9" x14ac:dyDescent="0.25">
      <c r="A1857" s="1" t="str">
        <f>HYPERLINK("https://lynxcrm-apac--c.eu19.visual.force.com/0011i000001xnz9AAA","Heng, Kim Boon")</f>
        <v>Heng, Kim Boon</v>
      </c>
      <c r="B1857" t="s">
        <v>4157</v>
      </c>
      <c r="C1857" t="s">
        <v>28</v>
      </c>
      <c r="D1857" t="s">
        <v>4158</v>
      </c>
      <c r="E1857" t="s">
        <v>8</v>
      </c>
      <c r="F1857" t="s">
        <v>4159</v>
      </c>
      <c r="G1857" t="s">
        <v>2979</v>
      </c>
      <c r="H1857" t="s">
        <v>2979</v>
      </c>
      <c r="I1857" t="s">
        <v>4160</v>
      </c>
    </row>
    <row r="1858" spans="1:9" x14ac:dyDescent="0.25">
      <c r="A1858" s="1" t="str">
        <f>HYPERLINK("https://lynxcrm-apac--c.eu19.visual.force.com/0011i000001xoKQAAY","Heng, Kuo Leng John")</f>
        <v>Heng, Kuo Leng John</v>
      </c>
      <c r="B1858" t="s">
        <v>4161</v>
      </c>
      <c r="C1858" t="s">
        <v>28</v>
      </c>
      <c r="D1858" t="s">
        <v>4162</v>
      </c>
      <c r="E1858" t="s">
        <v>8</v>
      </c>
      <c r="F1858" t="s">
        <v>3217</v>
      </c>
      <c r="G1858" t="s">
        <v>1521</v>
      </c>
      <c r="H1858" t="s">
        <v>1521</v>
      </c>
      <c r="I1858" t="s">
        <v>3218</v>
      </c>
    </row>
    <row r="1859" spans="1:9" x14ac:dyDescent="0.25">
      <c r="A1859" s="1" t="str">
        <f>HYPERLINK("https://lynxcrm-apac--c.eu19.visual.force.com/0011i000001xomSAAQ","Heng, Lee Kwang")</f>
        <v>Heng, Lee Kwang</v>
      </c>
      <c r="B1859" t="s">
        <v>4163</v>
      </c>
      <c r="C1859" t="s">
        <v>28</v>
      </c>
      <c r="D1859" t="s">
        <v>4164</v>
      </c>
      <c r="E1859" t="s">
        <v>8</v>
      </c>
      <c r="F1859" t="s">
        <v>377</v>
      </c>
      <c r="G1859" t="s">
        <v>4165</v>
      </c>
      <c r="H1859" t="s">
        <v>4165</v>
      </c>
      <c r="I1859" t="s">
        <v>123</v>
      </c>
    </row>
    <row r="1860" spans="1:9" x14ac:dyDescent="0.25">
      <c r="A1860" s="1" t="str">
        <f>HYPERLINK("https://lynxcrm-apac--c.eu19.visual.force.com/0011i000001xomXAAQ","Heng, Tung Lan")</f>
        <v>Heng, Tung Lan</v>
      </c>
      <c r="B1860" t="s">
        <v>4166</v>
      </c>
      <c r="C1860" t="s">
        <v>28</v>
      </c>
      <c r="D1860" t="s">
        <v>4167</v>
      </c>
      <c r="E1860" t="s">
        <v>8</v>
      </c>
      <c r="F1860" t="s">
        <v>781</v>
      </c>
      <c r="G1860" t="s">
        <v>4168</v>
      </c>
      <c r="H1860" t="s">
        <v>4168</v>
      </c>
      <c r="I1860" t="s">
        <v>784</v>
      </c>
    </row>
    <row r="1861" spans="1:9" x14ac:dyDescent="0.25">
      <c r="A1861" s="1" t="str">
        <f>HYPERLINK("https://lynxcrm-apac--c.eu19.visual.force.com/0011i00000S3HIxAAN","Heng, Yan Shan")</f>
        <v>Heng, Yan Shan</v>
      </c>
      <c r="B1861" t="s">
        <v>4169</v>
      </c>
      <c r="C1861" t="s">
        <v>28</v>
      </c>
      <c r="D1861" t="s">
        <v>147</v>
      </c>
      <c r="E1861" t="s">
        <v>8</v>
      </c>
      <c r="F1861" t="s">
        <v>147</v>
      </c>
      <c r="G1861" t="s">
        <v>148</v>
      </c>
      <c r="H1861" t="s">
        <v>148</v>
      </c>
      <c r="I1861" t="s">
        <v>149</v>
      </c>
    </row>
    <row r="1862" spans="1:9" x14ac:dyDescent="0.25">
      <c r="A1862" s="1" t="str">
        <f>HYPERLINK("https://lynxcrm-apac--c.eu19.visual.force.com/0011i000001xokbAAA","Heng, Yan Shan")</f>
        <v>Heng, Yan Shan</v>
      </c>
      <c r="B1862" t="s">
        <v>4170</v>
      </c>
      <c r="C1862" t="s">
        <v>28</v>
      </c>
      <c r="D1862" t="s">
        <v>148</v>
      </c>
      <c r="E1862" t="s">
        <v>8</v>
      </c>
      <c r="F1862" t="s">
        <v>736</v>
      </c>
      <c r="G1862" t="s">
        <v>736</v>
      </c>
      <c r="H1862" t="s">
        <v>8</v>
      </c>
      <c r="I1862" t="s">
        <v>149</v>
      </c>
    </row>
    <row r="1863" spans="1:9" x14ac:dyDescent="0.25">
      <c r="A1863" s="1" t="str">
        <f>HYPERLINK("https://lynxcrm-apac--c.eu19.visual.force.com/0011i000001xmkyAAA","Heng Clinic &amp; Surgery")</f>
        <v>Heng Clinic &amp; Surgery</v>
      </c>
      <c r="B1863" t="s">
        <v>4171</v>
      </c>
      <c r="C1863" t="s">
        <v>10</v>
      </c>
      <c r="D1863" t="s">
        <v>8</v>
      </c>
      <c r="E1863" t="s">
        <v>8</v>
      </c>
      <c r="F1863" t="s">
        <v>4172</v>
      </c>
      <c r="G1863" t="s">
        <v>4173</v>
      </c>
      <c r="H1863" t="s">
        <v>4173</v>
      </c>
      <c r="I1863" t="s">
        <v>4174</v>
      </c>
    </row>
    <row r="1864" spans="1:9" x14ac:dyDescent="0.25">
      <c r="A1864" s="1" t="str">
        <f>HYPERLINK("https://lynxcrm-apac--c.eu19.visual.force.com/0011i000001xnKaAAI","Heng Eye Clinic &amp; Surgery")</f>
        <v>Heng Eye Clinic &amp; Surgery</v>
      </c>
      <c r="B1864" t="s">
        <v>4175</v>
      </c>
      <c r="C1864" t="s">
        <v>10</v>
      </c>
      <c r="D1864" t="s">
        <v>8</v>
      </c>
      <c r="E1864" t="s">
        <v>8</v>
      </c>
      <c r="F1864" t="s">
        <v>69</v>
      </c>
      <c r="G1864" t="s">
        <v>4176</v>
      </c>
      <c r="H1864" t="s">
        <v>4177</v>
      </c>
      <c r="I1864" t="s">
        <v>67</v>
      </c>
    </row>
    <row r="1865" spans="1:9" x14ac:dyDescent="0.25">
      <c r="A1865" s="1" t="str">
        <f>HYPERLINK("https://lynxcrm-apac--c.eu19.visual.force.com/0011i000001xmz4AAA","Heng Eye Clinic &amp; Surgery")</f>
        <v>Heng Eye Clinic &amp; Surgery</v>
      </c>
      <c r="B1865" t="s">
        <v>4178</v>
      </c>
      <c r="C1865" t="s">
        <v>10</v>
      </c>
      <c r="D1865" t="s">
        <v>8</v>
      </c>
      <c r="E1865" t="s">
        <v>8</v>
      </c>
      <c r="F1865" t="s">
        <v>377</v>
      </c>
      <c r="G1865" t="s">
        <v>4165</v>
      </c>
      <c r="H1865" t="s">
        <v>4165</v>
      </c>
      <c r="I1865" t="s">
        <v>123</v>
      </c>
    </row>
    <row r="1866" spans="1:9" x14ac:dyDescent="0.25">
      <c r="A1866" s="1" t="str">
        <f>HYPERLINK("https://lynxcrm-apac--c.eu19.visual.force.com/0011i000001xoqwAAA","Hew, Wei Yen")</f>
        <v>Hew, Wei Yen</v>
      </c>
      <c r="B1866" t="s">
        <v>4179</v>
      </c>
      <c r="C1866" t="s">
        <v>28</v>
      </c>
      <c r="D1866" t="s">
        <v>4180</v>
      </c>
      <c r="E1866" t="s">
        <v>8</v>
      </c>
      <c r="F1866" t="s">
        <v>4181</v>
      </c>
      <c r="G1866" t="s">
        <v>4182</v>
      </c>
      <c r="H1866" t="s">
        <v>4182</v>
      </c>
      <c r="I1866" t="s">
        <v>4183</v>
      </c>
    </row>
    <row r="1867" spans="1:9" x14ac:dyDescent="0.25">
      <c r="A1867" s="1" t="str">
        <f>HYPERLINK("https://lynxcrm-apac--c.eu19.visual.force.com/0011i000001xoKhAAI","Hiak, Tai Soon")</f>
        <v>Hiak, Tai Soon</v>
      </c>
      <c r="B1867" t="s">
        <v>4184</v>
      </c>
      <c r="C1867" t="s">
        <v>28</v>
      </c>
      <c r="D1867" t="s">
        <v>4185</v>
      </c>
      <c r="E1867" t="s">
        <v>8</v>
      </c>
      <c r="F1867" t="s">
        <v>4186</v>
      </c>
      <c r="G1867" t="s">
        <v>4187</v>
      </c>
      <c r="H1867" t="s">
        <v>4188</v>
      </c>
      <c r="I1867" t="s">
        <v>4189</v>
      </c>
    </row>
    <row r="1868" spans="1:9" x14ac:dyDescent="0.25">
      <c r="A1868" s="1" t="str">
        <f>HYPERLINK("https://lynxcrm-apac--c.eu19.visual.force.com/0011i000001xomZAAQ","Hii, Hoi Chin Joachim")</f>
        <v>Hii, Hoi Chin Joachim</v>
      </c>
      <c r="B1868" t="s">
        <v>4190</v>
      </c>
      <c r="C1868" t="s">
        <v>28</v>
      </c>
      <c r="D1868" t="s">
        <v>4191</v>
      </c>
      <c r="E1868" t="s">
        <v>8</v>
      </c>
      <c r="F1868" t="s">
        <v>191</v>
      </c>
      <c r="G1868" t="s">
        <v>4192</v>
      </c>
      <c r="H1868" t="s">
        <v>4193</v>
      </c>
      <c r="I1868" t="s">
        <v>193</v>
      </c>
    </row>
    <row r="1869" spans="1:9" x14ac:dyDescent="0.25">
      <c r="A1869" s="1" t="str">
        <f>HYPERLINK("https://lynxcrm-apac--c.eu19.visual.force.com/0011i000001xml7AAA","Hii Women's Clinic")</f>
        <v>Hii Women's Clinic</v>
      </c>
      <c r="B1869" t="s">
        <v>4194</v>
      </c>
      <c r="C1869" t="s">
        <v>10</v>
      </c>
      <c r="D1869" t="s">
        <v>8</v>
      </c>
      <c r="E1869" t="s">
        <v>8</v>
      </c>
      <c r="F1869" t="s">
        <v>191</v>
      </c>
      <c r="G1869" t="s">
        <v>4192</v>
      </c>
      <c r="H1869" t="s">
        <v>4193</v>
      </c>
      <c r="I1869" t="s">
        <v>193</v>
      </c>
    </row>
    <row r="1870" spans="1:9" x14ac:dyDescent="0.25">
      <c r="A1870" s="1" t="str">
        <f>HYPERLINK("https://lynxcrm-apac--c.eu19.visual.force.com/0011i000001xmdFAAQ","Hill Spring Medical")</f>
        <v>Hill Spring Medical</v>
      </c>
      <c r="B1870" t="s">
        <v>4195</v>
      </c>
      <c r="C1870" t="s">
        <v>10</v>
      </c>
      <c r="D1870" t="s">
        <v>8</v>
      </c>
      <c r="E1870" t="s">
        <v>8</v>
      </c>
      <c r="F1870" t="s">
        <v>4196</v>
      </c>
      <c r="G1870" t="s">
        <v>4196</v>
      </c>
      <c r="H1870" t="s">
        <v>8</v>
      </c>
      <c r="I1870" t="s">
        <v>4197</v>
      </c>
    </row>
    <row r="1871" spans="1:9" x14ac:dyDescent="0.25">
      <c r="A1871" s="1" t="str">
        <f>HYPERLINK("https://lynxcrm-apac--c.eu19.visual.force.com/0011i000001xoZ0AAI","Hiroshi, Hashiguchi")</f>
        <v>Hiroshi, Hashiguchi</v>
      </c>
      <c r="B1871" t="s">
        <v>4198</v>
      </c>
      <c r="C1871" t="s">
        <v>28</v>
      </c>
      <c r="D1871" t="s">
        <v>4199</v>
      </c>
      <c r="E1871" t="s">
        <v>8</v>
      </c>
      <c r="F1871" t="s">
        <v>417</v>
      </c>
      <c r="G1871" t="s">
        <v>4200</v>
      </c>
      <c r="H1871" t="s">
        <v>4201</v>
      </c>
      <c r="I1871" t="s">
        <v>887</v>
      </c>
    </row>
    <row r="1872" spans="1:9" x14ac:dyDescent="0.25">
      <c r="A1872" s="1" t="str">
        <f>HYPERLINK("https://lynxcrm-apac--c.eu19.visual.force.com/0011i000001xnEcAAI","Hisemann Medical Clinic")</f>
        <v>Hisemann Medical Clinic</v>
      </c>
      <c r="B1872" t="s">
        <v>4202</v>
      </c>
      <c r="C1872" t="s">
        <v>10</v>
      </c>
      <c r="D1872" t="s">
        <v>8</v>
      </c>
      <c r="E1872" t="s">
        <v>8</v>
      </c>
      <c r="F1872" t="s">
        <v>1441</v>
      </c>
      <c r="G1872" t="s">
        <v>1442</v>
      </c>
      <c r="H1872" t="s">
        <v>1442</v>
      </c>
      <c r="I1872" t="s">
        <v>1444</v>
      </c>
    </row>
    <row r="1873" spans="1:9" x14ac:dyDescent="0.25">
      <c r="A1873" s="1" t="str">
        <f>HYPERLINK("https://lynxcrm-apac--c.eu19.visual.force.com/0011i000001xnYmAAI","HK Family Clinic &amp; Surgery")</f>
        <v>HK Family Clinic &amp; Surgery</v>
      </c>
      <c r="B1873" t="s">
        <v>4203</v>
      </c>
      <c r="C1873" t="s">
        <v>10</v>
      </c>
      <c r="D1873" t="s">
        <v>8</v>
      </c>
      <c r="E1873" t="s">
        <v>8</v>
      </c>
      <c r="F1873" t="s">
        <v>4204</v>
      </c>
      <c r="G1873" t="s">
        <v>4187</v>
      </c>
      <c r="H1873" t="s">
        <v>4187</v>
      </c>
      <c r="I1873" t="s">
        <v>4189</v>
      </c>
    </row>
    <row r="1874" spans="1:9" x14ac:dyDescent="0.25">
      <c r="A1874" s="1" t="str">
        <f>HYPERLINK("https://lynxcrm-apac--c.eu19.visual.force.com/0011i000001xnYnAAI","HK Family Clinic And Surgery")</f>
        <v>HK Family Clinic And Surgery</v>
      </c>
      <c r="B1874" t="s">
        <v>4205</v>
      </c>
      <c r="C1874" t="s">
        <v>10</v>
      </c>
      <c r="D1874" t="s">
        <v>8</v>
      </c>
      <c r="E1874" t="s">
        <v>8</v>
      </c>
      <c r="F1874" t="s">
        <v>4186</v>
      </c>
      <c r="G1874" t="s">
        <v>4187</v>
      </c>
      <c r="H1874" t="s">
        <v>4188</v>
      </c>
      <c r="I1874" t="s">
        <v>4189</v>
      </c>
    </row>
    <row r="1875" spans="1:9" x14ac:dyDescent="0.25">
      <c r="A1875" s="1" t="str">
        <f>HYPERLINK("https://lynxcrm-apac--c.eu19.visual.force.com/0011i000001xnIdAAI","HL Family (Bedok) Clinic &amp; Surgery")</f>
        <v>HL Family (Bedok) Clinic &amp; Surgery</v>
      </c>
      <c r="B1875" t="s">
        <v>4206</v>
      </c>
      <c r="C1875" t="s">
        <v>10</v>
      </c>
      <c r="D1875" t="s">
        <v>8</v>
      </c>
      <c r="E1875" t="s">
        <v>8</v>
      </c>
      <c r="F1875" t="s">
        <v>4207</v>
      </c>
      <c r="G1875" t="s">
        <v>4208</v>
      </c>
      <c r="H1875" t="s">
        <v>4208</v>
      </c>
      <c r="I1875" t="s">
        <v>4209</v>
      </c>
    </row>
    <row r="1876" spans="1:9" x14ac:dyDescent="0.25">
      <c r="A1876" s="1" t="str">
        <f>HYPERLINK("https://lynxcrm-apac--c.eu19.visual.force.com/0011i000001xnYAAAY","HL Kong Medical Oncology Centre")</f>
        <v>HL Kong Medical Oncology Centre</v>
      </c>
      <c r="B1876" t="s">
        <v>4210</v>
      </c>
      <c r="C1876" t="s">
        <v>10</v>
      </c>
      <c r="D1876" t="s">
        <v>8</v>
      </c>
      <c r="E1876" t="s">
        <v>8</v>
      </c>
      <c r="F1876" t="s">
        <v>4211</v>
      </c>
      <c r="G1876" t="s">
        <v>121</v>
      </c>
      <c r="H1876" t="s">
        <v>121</v>
      </c>
      <c r="I1876" t="s">
        <v>123</v>
      </c>
    </row>
    <row r="1877" spans="1:9" x14ac:dyDescent="0.25">
      <c r="A1877" s="1" t="str">
        <f>HYPERLINK("https://lynxcrm-apac--c.eu19.visual.force.com/0011i000001xombAAA","Ho, Ah Hoo Steven")</f>
        <v>Ho, Ah Hoo Steven</v>
      </c>
      <c r="B1877" t="s">
        <v>4212</v>
      </c>
      <c r="C1877" t="s">
        <v>28</v>
      </c>
      <c r="D1877" t="s">
        <v>4213</v>
      </c>
      <c r="E1877" t="s">
        <v>8</v>
      </c>
      <c r="F1877" t="s">
        <v>1086</v>
      </c>
      <c r="G1877" t="s">
        <v>3482</v>
      </c>
      <c r="H1877" t="s">
        <v>3482</v>
      </c>
      <c r="I1877" t="s">
        <v>1089</v>
      </c>
    </row>
    <row r="1878" spans="1:9" x14ac:dyDescent="0.25">
      <c r="A1878" s="1" t="str">
        <f>HYPERLINK("https://lynxcrm-apac--c.eu19.visual.force.com/0011i000001xoQuAAI","Ho, Chee Khun")</f>
        <v>Ho, Chee Khun</v>
      </c>
      <c r="B1878" t="s">
        <v>4214</v>
      </c>
      <c r="C1878" t="s">
        <v>28</v>
      </c>
      <c r="D1878" t="s">
        <v>4215</v>
      </c>
      <c r="E1878" t="s">
        <v>8</v>
      </c>
      <c r="F1878" t="s">
        <v>4216</v>
      </c>
      <c r="G1878" t="s">
        <v>388</v>
      </c>
      <c r="H1878" t="s">
        <v>4217</v>
      </c>
      <c r="I1878" t="s">
        <v>123</v>
      </c>
    </row>
    <row r="1879" spans="1:9" x14ac:dyDescent="0.25">
      <c r="A1879" s="1" t="str">
        <f>HYPERLINK("https://lynxcrm-apac--c.eu19.visual.force.com/0011i000001xomfAAA","Ho, Cheong Hock")</f>
        <v>Ho, Cheong Hock</v>
      </c>
      <c r="B1879" t="s">
        <v>4218</v>
      </c>
      <c r="C1879" t="s">
        <v>28</v>
      </c>
      <c r="D1879" t="s">
        <v>4219</v>
      </c>
      <c r="E1879" t="s">
        <v>8</v>
      </c>
      <c r="F1879" t="s">
        <v>4220</v>
      </c>
      <c r="G1879" t="s">
        <v>4221</v>
      </c>
      <c r="H1879" t="s">
        <v>4222</v>
      </c>
      <c r="I1879" t="s">
        <v>4223</v>
      </c>
    </row>
    <row r="1880" spans="1:9" x14ac:dyDescent="0.25">
      <c r="A1880" s="1" t="str">
        <f>HYPERLINK("https://lynxcrm-apac--c.eu19.visual.force.com/0011i000001xoEDAAY","Ho, Chih Wei Sally")</f>
        <v>Ho, Chih Wei Sally</v>
      </c>
      <c r="B1880" t="s">
        <v>4224</v>
      </c>
      <c r="C1880" t="s">
        <v>28</v>
      </c>
      <c r="D1880" t="s">
        <v>928</v>
      </c>
      <c r="E1880" t="s">
        <v>8</v>
      </c>
      <c r="F1880" t="s">
        <v>753</v>
      </c>
      <c r="G1880" t="s">
        <v>929</v>
      </c>
      <c r="H1880" t="s">
        <v>139</v>
      </c>
      <c r="I1880" t="s">
        <v>137</v>
      </c>
    </row>
    <row r="1881" spans="1:9" x14ac:dyDescent="0.25">
      <c r="A1881" s="1" t="str">
        <f>HYPERLINK("https://lynxcrm-apac--c.eu19.visual.force.com/0011i000001xoKgAAI","Ho, Chok Chan Alan")</f>
        <v>Ho, Chok Chan Alan</v>
      </c>
      <c r="B1881" t="s">
        <v>4225</v>
      </c>
      <c r="C1881" t="s">
        <v>28</v>
      </c>
      <c r="D1881" t="s">
        <v>4226</v>
      </c>
      <c r="E1881" t="s">
        <v>8</v>
      </c>
      <c r="F1881" t="s">
        <v>4227</v>
      </c>
      <c r="G1881" t="s">
        <v>4227</v>
      </c>
      <c r="H1881" t="s">
        <v>4228</v>
      </c>
      <c r="I1881" t="s">
        <v>4229</v>
      </c>
    </row>
    <row r="1882" spans="1:9" x14ac:dyDescent="0.25">
      <c r="A1882" s="1" t="str">
        <f t="shared" ref="A1882:A1887" si="14">HYPERLINK("https://lynxcrm-apac--c.eu19.visual.force.com/0011i000001xo9pAAA","Ho, Chun Hong Joel")</f>
        <v>Ho, Chun Hong Joel</v>
      </c>
      <c r="B1882" t="s">
        <v>4230</v>
      </c>
      <c r="C1882" t="s">
        <v>28</v>
      </c>
      <c r="D1882" t="s">
        <v>501</v>
      </c>
      <c r="E1882" t="s">
        <v>8</v>
      </c>
      <c r="F1882" t="s">
        <v>501</v>
      </c>
      <c r="G1882" t="s">
        <v>502</v>
      </c>
      <c r="H1882" t="s">
        <v>502</v>
      </c>
      <c r="I1882" t="s">
        <v>506</v>
      </c>
    </row>
    <row r="1883" spans="1:9" x14ac:dyDescent="0.25">
      <c r="A1883" s="1" t="str">
        <f t="shared" si="14"/>
        <v>Ho, Chun Hong Joel</v>
      </c>
      <c r="B1883" t="s">
        <v>4230</v>
      </c>
      <c r="C1883" t="s">
        <v>28</v>
      </c>
      <c r="D1883" t="s">
        <v>501</v>
      </c>
      <c r="E1883" t="s">
        <v>8</v>
      </c>
      <c r="F1883" t="s">
        <v>502</v>
      </c>
      <c r="G1883" t="s">
        <v>502</v>
      </c>
      <c r="H1883" t="s">
        <v>503</v>
      </c>
      <c r="I1883" t="s">
        <v>504</v>
      </c>
    </row>
    <row r="1884" spans="1:9" x14ac:dyDescent="0.25">
      <c r="A1884" s="1" t="str">
        <f t="shared" si="14"/>
        <v>Ho, Chun Hong Joel</v>
      </c>
      <c r="B1884" t="s">
        <v>4230</v>
      </c>
      <c r="C1884" t="s">
        <v>28</v>
      </c>
      <c r="D1884" t="s">
        <v>501</v>
      </c>
      <c r="E1884" t="s">
        <v>8</v>
      </c>
      <c r="F1884" t="s">
        <v>246</v>
      </c>
      <c r="G1884" t="s">
        <v>502</v>
      </c>
      <c r="H1884" t="s">
        <v>503</v>
      </c>
      <c r="I1884" t="s">
        <v>504</v>
      </c>
    </row>
    <row r="1885" spans="1:9" x14ac:dyDescent="0.25">
      <c r="A1885" s="1" t="str">
        <f t="shared" si="14"/>
        <v>Ho, Chun Hong Joel</v>
      </c>
      <c r="B1885" t="s">
        <v>4230</v>
      </c>
      <c r="C1885" t="s">
        <v>28</v>
      </c>
      <c r="D1885" t="s">
        <v>501</v>
      </c>
      <c r="E1885" t="s">
        <v>8</v>
      </c>
      <c r="F1885" t="s">
        <v>246</v>
      </c>
      <c r="G1885" t="s">
        <v>502</v>
      </c>
      <c r="H1885" t="s">
        <v>503</v>
      </c>
      <c r="I1885" t="s">
        <v>505</v>
      </c>
    </row>
    <row r="1886" spans="1:9" x14ac:dyDescent="0.25">
      <c r="A1886" s="1" t="str">
        <f t="shared" si="14"/>
        <v>Ho, Chun Hong Joel</v>
      </c>
      <c r="B1886" t="s">
        <v>4230</v>
      </c>
      <c r="C1886" t="s">
        <v>28</v>
      </c>
      <c r="D1886" t="s">
        <v>501</v>
      </c>
      <c r="E1886" t="s">
        <v>8</v>
      </c>
      <c r="F1886" t="s">
        <v>234</v>
      </c>
      <c r="G1886" t="s">
        <v>502</v>
      </c>
      <c r="H1886" t="s">
        <v>503</v>
      </c>
      <c r="I1886" t="s">
        <v>504</v>
      </c>
    </row>
    <row r="1887" spans="1:9" x14ac:dyDescent="0.25">
      <c r="A1887" s="1" t="str">
        <f t="shared" si="14"/>
        <v>Ho, Chun Hong Joel</v>
      </c>
      <c r="B1887" t="s">
        <v>4230</v>
      </c>
      <c r="C1887" t="s">
        <v>28</v>
      </c>
      <c r="D1887" t="s">
        <v>501</v>
      </c>
      <c r="E1887" t="s">
        <v>8</v>
      </c>
      <c r="F1887" t="s">
        <v>359</v>
      </c>
      <c r="G1887" t="s">
        <v>502</v>
      </c>
      <c r="H1887" t="s">
        <v>503</v>
      </c>
      <c r="I1887" t="s">
        <v>506</v>
      </c>
    </row>
    <row r="1888" spans="1:9" x14ac:dyDescent="0.25">
      <c r="A1888" s="1" t="str">
        <f>HYPERLINK("https://lynxcrm-apac--c.eu19.visual.force.com/0011i000001xoM9AAI","Ho, Chun Man Roger")</f>
        <v>Ho, Chun Man Roger</v>
      </c>
      <c r="B1888" t="s">
        <v>4231</v>
      </c>
      <c r="C1888" t="s">
        <v>28</v>
      </c>
      <c r="D1888" t="s">
        <v>429</v>
      </c>
      <c r="E1888" t="s">
        <v>8</v>
      </c>
      <c r="F1888" t="s">
        <v>445</v>
      </c>
      <c r="G1888" t="s">
        <v>428</v>
      </c>
      <c r="H1888" t="s">
        <v>428</v>
      </c>
      <c r="I1888" t="s">
        <v>430</v>
      </c>
    </row>
    <row r="1889" spans="1:9" x14ac:dyDescent="0.25">
      <c r="A1889" s="1" t="str">
        <f>HYPERLINK("https://lynxcrm-apac--c.eu19.visual.force.com/0011i000001xoM9AAI","Ho, Chun Man Roger")</f>
        <v>Ho, Chun Man Roger</v>
      </c>
      <c r="B1889" t="s">
        <v>4231</v>
      </c>
      <c r="C1889" t="s">
        <v>28</v>
      </c>
      <c r="D1889" t="s">
        <v>429</v>
      </c>
      <c r="E1889" t="s">
        <v>8</v>
      </c>
      <c r="F1889" t="s">
        <v>444</v>
      </c>
      <c r="G1889" t="s">
        <v>444</v>
      </c>
      <c r="H1889" t="s">
        <v>8</v>
      </c>
      <c r="I1889" t="s">
        <v>430</v>
      </c>
    </row>
    <row r="1890" spans="1:9" x14ac:dyDescent="0.25">
      <c r="A1890" s="1" t="str">
        <f>HYPERLINK("https://lynxcrm-apac--c.eu19.visual.force.com/0011i000001xoM9AAI","Ho, Chun Man Roger")</f>
        <v>Ho, Chun Man Roger</v>
      </c>
      <c r="B1890" t="s">
        <v>4231</v>
      </c>
      <c r="C1890" t="s">
        <v>28</v>
      </c>
      <c r="D1890" t="s">
        <v>429</v>
      </c>
      <c r="E1890" t="s">
        <v>8</v>
      </c>
      <c r="F1890" t="s">
        <v>429</v>
      </c>
      <c r="G1890" t="s">
        <v>428</v>
      </c>
      <c r="H1890" t="s">
        <v>428</v>
      </c>
      <c r="I1890" t="s">
        <v>430</v>
      </c>
    </row>
    <row r="1891" spans="1:9" x14ac:dyDescent="0.25">
      <c r="A1891" s="1" t="str">
        <f>HYPERLINK("https://lynxcrm-apac--c.eu19.visual.force.com/0011i000001xoM9AAI","Ho, Chun Man Roger")</f>
        <v>Ho, Chun Man Roger</v>
      </c>
      <c r="B1891" t="s">
        <v>4231</v>
      </c>
      <c r="C1891" t="s">
        <v>28</v>
      </c>
      <c r="D1891" t="s">
        <v>429</v>
      </c>
      <c r="E1891" t="s">
        <v>8</v>
      </c>
      <c r="F1891" t="s">
        <v>444</v>
      </c>
      <c r="G1891" t="s">
        <v>444</v>
      </c>
      <c r="H1891" t="s">
        <v>8</v>
      </c>
      <c r="I1891" t="s">
        <v>8</v>
      </c>
    </row>
    <row r="1892" spans="1:9" x14ac:dyDescent="0.25">
      <c r="A1892" s="1" t="str">
        <f>HYPERLINK("https://lynxcrm-apac--c.eu19.visual.force.com/0011i000001xnzkAAA","Ho, Eric")</f>
        <v>Ho, Eric</v>
      </c>
      <c r="B1892" t="s">
        <v>4232</v>
      </c>
      <c r="C1892" t="s">
        <v>28</v>
      </c>
      <c r="D1892" t="s">
        <v>4233</v>
      </c>
      <c r="E1892" t="s">
        <v>8</v>
      </c>
      <c r="F1892" t="s">
        <v>1188</v>
      </c>
      <c r="G1892" t="s">
        <v>4234</v>
      </c>
      <c r="H1892" t="s">
        <v>4235</v>
      </c>
      <c r="I1892" t="s">
        <v>1191</v>
      </c>
    </row>
    <row r="1893" spans="1:9" x14ac:dyDescent="0.25">
      <c r="A1893" s="1" t="str">
        <f>HYPERLINK("https://lynxcrm-apac--c.eu19.visual.force.com/0011i000001xoJaAAI","Ho, Gay Hui")</f>
        <v>Ho, Gay Hui</v>
      </c>
      <c r="B1893" t="s">
        <v>4236</v>
      </c>
      <c r="C1893" t="s">
        <v>28</v>
      </c>
      <c r="D1893" t="s">
        <v>1242</v>
      </c>
      <c r="E1893" t="s">
        <v>8</v>
      </c>
      <c r="F1893" t="s">
        <v>252</v>
      </c>
      <c r="G1893" t="s">
        <v>251</v>
      </c>
      <c r="H1893" t="s">
        <v>251</v>
      </c>
      <c r="I1893" t="s">
        <v>253</v>
      </c>
    </row>
    <row r="1894" spans="1:9" x14ac:dyDescent="0.25">
      <c r="A1894" s="1" t="str">
        <f>HYPERLINK("https://lynxcrm-apac--c.eu19.visual.force.com/0011i000001xoJaAAI","Ho, Gay Hui")</f>
        <v>Ho, Gay Hui</v>
      </c>
      <c r="B1894" t="s">
        <v>4236</v>
      </c>
      <c r="C1894" t="s">
        <v>28</v>
      </c>
      <c r="D1894" t="s">
        <v>251</v>
      </c>
      <c r="E1894" t="s">
        <v>8</v>
      </c>
      <c r="F1894" t="s">
        <v>251</v>
      </c>
      <c r="G1894" t="s">
        <v>252</v>
      </c>
      <c r="H1894" t="s">
        <v>252</v>
      </c>
      <c r="I1894" t="s">
        <v>253</v>
      </c>
    </row>
    <row r="1895" spans="1:9" x14ac:dyDescent="0.25">
      <c r="A1895" s="1" t="str">
        <f>HYPERLINK("https://lynxcrm-apac--c.eu19.visual.force.com/0011i000001xomkAAA","Ho, Hang Chen")</f>
        <v>Ho, Hang Chen</v>
      </c>
      <c r="B1895" t="s">
        <v>4237</v>
      </c>
      <c r="C1895" t="s">
        <v>28</v>
      </c>
      <c r="D1895" t="s">
        <v>4238</v>
      </c>
      <c r="E1895" t="s">
        <v>8</v>
      </c>
      <c r="F1895" t="s">
        <v>4239</v>
      </c>
      <c r="G1895" t="s">
        <v>4239</v>
      </c>
      <c r="H1895" t="s">
        <v>4240</v>
      </c>
      <c r="I1895" t="s">
        <v>4241</v>
      </c>
    </row>
    <row r="1896" spans="1:9" x14ac:dyDescent="0.25">
      <c r="A1896" s="1" t="str">
        <f>HYPERLINK("https://lynxcrm-apac--c.eu19.visual.force.com/0011i000001xosZAAQ","Ho, Hua Sze")</f>
        <v>Ho, Hua Sze</v>
      </c>
      <c r="B1896" t="s">
        <v>4242</v>
      </c>
      <c r="C1896" t="s">
        <v>28</v>
      </c>
      <c r="D1896" t="s">
        <v>4243</v>
      </c>
      <c r="E1896" t="s">
        <v>8</v>
      </c>
      <c r="F1896" t="s">
        <v>2934</v>
      </c>
      <c r="G1896" t="s">
        <v>2935</v>
      </c>
      <c r="H1896" t="s">
        <v>2935</v>
      </c>
      <c r="I1896" t="s">
        <v>2936</v>
      </c>
    </row>
    <row r="1897" spans="1:9" x14ac:dyDescent="0.25">
      <c r="A1897" s="1" t="str">
        <f>HYPERLINK("https://lynxcrm-apac--c.eu19.visual.force.com/0011i000001xoHOAAY","Ho, Jee Meng")</f>
        <v>Ho, Jee Meng</v>
      </c>
      <c r="B1897" t="s">
        <v>4244</v>
      </c>
      <c r="C1897" t="s">
        <v>28</v>
      </c>
      <c r="D1897" t="s">
        <v>4245</v>
      </c>
      <c r="E1897" t="s">
        <v>8</v>
      </c>
      <c r="F1897" t="s">
        <v>3954</v>
      </c>
      <c r="G1897" t="s">
        <v>3955</v>
      </c>
      <c r="H1897" t="s">
        <v>3956</v>
      </c>
      <c r="I1897" t="s">
        <v>3957</v>
      </c>
    </row>
    <row r="1898" spans="1:9" x14ac:dyDescent="0.25">
      <c r="A1898" s="1" t="str">
        <f>HYPERLINK("https://lynxcrm-apac--c.eu19.visual.force.com/0011i000001xos0AAA","Ho, Jien Sze")</f>
        <v>Ho, Jien Sze</v>
      </c>
      <c r="B1898" t="s">
        <v>4246</v>
      </c>
      <c r="C1898" t="s">
        <v>28</v>
      </c>
      <c r="D1898" t="s">
        <v>449</v>
      </c>
      <c r="E1898" t="s">
        <v>8</v>
      </c>
      <c r="F1898" t="s">
        <v>450</v>
      </c>
      <c r="G1898" t="s">
        <v>449</v>
      </c>
      <c r="H1898" t="s">
        <v>449</v>
      </c>
      <c r="I1898" t="s">
        <v>451</v>
      </c>
    </row>
    <row r="1899" spans="1:9" x14ac:dyDescent="0.25">
      <c r="A1899" s="1" t="str">
        <f>HYPERLINK("https://lynxcrm-apac--c.eu19.visual.force.com/0011i000001xos0AAA","Ho, Jien Sze")</f>
        <v>Ho, Jien Sze</v>
      </c>
      <c r="B1899" t="s">
        <v>4246</v>
      </c>
      <c r="C1899" t="s">
        <v>28</v>
      </c>
      <c r="D1899" t="s">
        <v>449</v>
      </c>
      <c r="E1899" t="s">
        <v>8</v>
      </c>
      <c r="F1899" t="s">
        <v>234</v>
      </c>
      <c r="G1899" t="s">
        <v>452</v>
      </c>
      <c r="H1899" t="s">
        <v>453</v>
      </c>
      <c r="I1899" t="s">
        <v>454</v>
      </c>
    </row>
    <row r="1900" spans="1:9" x14ac:dyDescent="0.25">
      <c r="A1900" s="1" t="str">
        <f>HYPERLINK("https://lynxcrm-apac--c.eu19.visual.force.com/0011i00000Xf1HHAAZ","Ho, Jing Shan")</f>
        <v>Ho, Jing Shan</v>
      </c>
      <c r="B1900" t="s">
        <v>4247</v>
      </c>
      <c r="C1900" t="s">
        <v>28</v>
      </c>
      <c r="D1900" t="s">
        <v>429</v>
      </c>
      <c r="E1900" t="s">
        <v>8</v>
      </c>
      <c r="F1900" t="s">
        <v>594</v>
      </c>
      <c r="G1900" t="s">
        <v>595</v>
      </c>
      <c r="H1900" t="s">
        <v>8</v>
      </c>
      <c r="I1900" t="s">
        <v>596</v>
      </c>
    </row>
    <row r="1901" spans="1:9" x14ac:dyDescent="0.25">
      <c r="A1901" s="1" t="str">
        <f>HYPERLINK("https://lynxcrm-apac--c.eu19.visual.force.com/0011i000001xoKvAAI","Ho, Kah Ling")</f>
        <v>Ho, Kah Ling</v>
      </c>
      <c r="B1901" t="s">
        <v>4248</v>
      </c>
      <c r="C1901" t="s">
        <v>28</v>
      </c>
      <c r="D1901" t="s">
        <v>1930</v>
      </c>
      <c r="E1901" t="s">
        <v>8</v>
      </c>
      <c r="F1901" t="s">
        <v>360</v>
      </c>
      <c r="G1901" t="s">
        <v>1253</v>
      </c>
      <c r="H1901" t="s">
        <v>1253</v>
      </c>
      <c r="I1901" t="s">
        <v>362</v>
      </c>
    </row>
    <row r="1902" spans="1:9" x14ac:dyDescent="0.25">
      <c r="A1902" s="1" t="str">
        <f>HYPERLINK("https://lynxcrm-apac--c.eu19.visual.force.com/0011i000001xomxAAA","Ho, Kok Kee")</f>
        <v>Ho, Kok Kee</v>
      </c>
      <c r="B1902" t="s">
        <v>4249</v>
      </c>
      <c r="C1902" t="s">
        <v>28</v>
      </c>
      <c r="D1902" t="s">
        <v>4250</v>
      </c>
      <c r="E1902" t="s">
        <v>8</v>
      </c>
      <c r="F1902" t="s">
        <v>377</v>
      </c>
      <c r="G1902" t="s">
        <v>4251</v>
      </c>
      <c r="H1902" t="s">
        <v>4252</v>
      </c>
      <c r="I1902" t="s">
        <v>123</v>
      </c>
    </row>
    <row r="1903" spans="1:9" x14ac:dyDescent="0.25">
      <c r="A1903" s="1" t="str">
        <f>HYPERLINK("https://lynxcrm-apac--c.eu19.visual.force.com/0011i000001xnzHAAQ","Ho, Kok Sun")</f>
        <v>Ho, Kok Sun</v>
      </c>
      <c r="B1903" t="s">
        <v>4253</v>
      </c>
      <c r="C1903" t="s">
        <v>28</v>
      </c>
      <c r="D1903" t="s">
        <v>4254</v>
      </c>
      <c r="E1903" t="s">
        <v>8</v>
      </c>
      <c r="F1903" t="s">
        <v>4255</v>
      </c>
      <c r="G1903" t="s">
        <v>121</v>
      </c>
      <c r="H1903" t="s">
        <v>121</v>
      </c>
      <c r="I1903" t="s">
        <v>123</v>
      </c>
    </row>
    <row r="1904" spans="1:9" x14ac:dyDescent="0.25">
      <c r="A1904" s="1" t="str">
        <f>HYPERLINK("https://lynxcrm-apac--c.eu19.visual.force.com/0011i000001xomzAAA","Ho, Kok Tong")</f>
        <v>Ho, Kok Tong</v>
      </c>
      <c r="B1904" t="s">
        <v>4256</v>
      </c>
      <c r="C1904" t="s">
        <v>28</v>
      </c>
      <c r="D1904" t="s">
        <v>4257</v>
      </c>
      <c r="E1904" t="s">
        <v>8</v>
      </c>
      <c r="F1904" t="s">
        <v>377</v>
      </c>
      <c r="G1904" t="s">
        <v>4258</v>
      </c>
      <c r="H1904" t="s">
        <v>4259</v>
      </c>
      <c r="I1904" t="s">
        <v>123</v>
      </c>
    </row>
    <row r="1905" spans="1:9" x14ac:dyDescent="0.25">
      <c r="A1905" s="1" t="str">
        <f>HYPERLINK("https://lynxcrm-apac--c.eu19.visual.force.com/0011i000001xomeAAA","Ho, Kok Yuen")</f>
        <v>Ho, Kok Yuen</v>
      </c>
      <c r="B1905" t="s">
        <v>4260</v>
      </c>
      <c r="C1905" t="s">
        <v>28</v>
      </c>
      <c r="D1905" t="s">
        <v>164</v>
      </c>
      <c r="E1905" t="s">
        <v>8</v>
      </c>
      <c r="F1905" t="s">
        <v>163</v>
      </c>
      <c r="G1905" t="s">
        <v>4261</v>
      </c>
      <c r="H1905" t="s">
        <v>4261</v>
      </c>
      <c r="I1905" t="s">
        <v>242</v>
      </c>
    </row>
    <row r="1906" spans="1:9" x14ac:dyDescent="0.25">
      <c r="A1906" s="1" t="str">
        <f>HYPERLINK("https://lynxcrm-apac--c.eu19.visual.force.com/0011i000001xoqAAAQ","Ho, Lik Man David")</f>
        <v>Ho, Lik Man David</v>
      </c>
      <c r="B1906" t="s">
        <v>4262</v>
      </c>
      <c r="C1906" t="s">
        <v>28</v>
      </c>
      <c r="D1906" t="s">
        <v>1333</v>
      </c>
      <c r="E1906" t="s">
        <v>8</v>
      </c>
      <c r="F1906" t="s">
        <v>4031</v>
      </c>
      <c r="G1906" t="s">
        <v>4032</v>
      </c>
      <c r="H1906" t="s">
        <v>4032</v>
      </c>
      <c r="I1906" t="s">
        <v>4033</v>
      </c>
    </row>
    <row r="1907" spans="1:9" x14ac:dyDescent="0.25">
      <c r="A1907" s="1" t="str">
        <f>HYPERLINK("https://lynxcrm-apac--c.eu19.visual.force.com/0011i000001xo3bAAA","Ho, Li Ling")</f>
        <v>Ho, Li Ling</v>
      </c>
      <c r="B1907" t="s">
        <v>4263</v>
      </c>
      <c r="C1907" t="s">
        <v>28</v>
      </c>
      <c r="D1907" t="s">
        <v>550</v>
      </c>
      <c r="E1907" t="s">
        <v>8</v>
      </c>
      <c r="F1907" t="s">
        <v>551</v>
      </c>
      <c r="G1907" t="s">
        <v>552</v>
      </c>
      <c r="H1907" t="s">
        <v>553</v>
      </c>
      <c r="I1907" t="s">
        <v>554</v>
      </c>
    </row>
    <row r="1908" spans="1:9" x14ac:dyDescent="0.25">
      <c r="A1908" s="1" t="str">
        <f>HYPERLINK("https://lynxcrm-apac--c.eu19.visual.force.com/0011i000001xoLGAAY","Ho, Paul")</f>
        <v>Ho, Paul</v>
      </c>
      <c r="B1908" t="s">
        <v>4264</v>
      </c>
      <c r="C1908" t="s">
        <v>28</v>
      </c>
      <c r="D1908" t="s">
        <v>4265</v>
      </c>
      <c r="E1908" t="s">
        <v>8</v>
      </c>
      <c r="F1908" t="s">
        <v>1780</v>
      </c>
      <c r="G1908" t="s">
        <v>2906</v>
      </c>
      <c r="H1908" t="s">
        <v>4266</v>
      </c>
      <c r="I1908" t="s">
        <v>1783</v>
      </c>
    </row>
    <row r="1909" spans="1:9" x14ac:dyDescent="0.25">
      <c r="A1909" s="1" t="str">
        <f>HYPERLINK("https://lynxcrm-apac--c.eu19.visual.force.com/0011i000001xnzJAAQ","Ho, Siew Hong")</f>
        <v>Ho, Siew Hong</v>
      </c>
      <c r="B1909" t="s">
        <v>4267</v>
      </c>
      <c r="C1909" t="s">
        <v>28</v>
      </c>
      <c r="D1909" t="s">
        <v>583</v>
      </c>
      <c r="E1909" t="s">
        <v>8</v>
      </c>
      <c r="F1909" t="s">
        <v>583</v>
      </c>
      <c r="G1909" t="s">
        <v>584</v>
      </c>
      <c r="H1909" t="s">
        <v>584</v>
      </c>
      <c r="I1909" t="s">
        <v>585</v>
      </c>
    </row>
    <row r="1910" spans="1:9" x14ac:dyDescent="0.25">
      <c r="A1910" s="1" t="str">
        <f>HYPERLINK("https://lynxcrm-apac--c.eu19.visual.force.com/0011i000001xnzJAAQ","Ho, Siew Hong")</f>
        <v>Ho, Siew Hong</v>
      </c>
      <c r="B1910" t="s">
        <v>4267</v>
      </c>
      <c r="C1910" t="s">
        <v>28</v>
      </c>
      <c r="D1910" t="s">
        <v>1623</v>
      </c>
      <c r="E1910" t="s">
        <v>8</v>
      </c>
      <c r="F1910" t="s">
        <v>584</v>
      </c>
      <c r="G1910" t="s">
        <v>583</v>
      </c>
      <c r="H1910" t="s">
        <v>583</v>
      </c>
      <c r="I1910" t="s">
        <v>585</v>
      </c>
    </row>
    <row r="1911" spans="1:9" x14ac:dyDescent="0.25">
      <c r="A1911" s="1" t="str">
        <f>HYPERLINK("https://lynxcrm-apac--c.eu19.visual.force.com/0011i000001xoZHAAY","Ho, Soon Teck")</f>
        <v>Ho, Soon Teck</v>
      </c>
      <c r="B1911" t="s">
        <v>4268</v>
      </c>
      <c r="C1911" t="s">
        <v>28</v>
      </c>
      <c r="D1911" t="s">
        <v>4269</v>
      </c>
      <c r="E1911" t="s">
        <v>8</v>
      </c>
      <c r="F1911" t="s">
        <v>377</v>
      </c>
      <c r="G1911" t="s">
        <v>4270</v>
      </c>
      <c r="H1911" t="s">
        <v>4271</v>
      </c>
      <c r="I1911" t="s">
        <v>123</v>
      </c>
    </row>
    <row r="1912" spans="1:9" x14ac:dyDescent="0.25">
      <c r="A1912" s="1" t="str">
        <f>HYPERLINK("https://lynxcrm-apac--c.eu19.visual.force.com/0011i000001xoLMAAY","Ho, Su Chin")</f>
        <v>Ho, Su Chin</v>
      </c>
      <c r="B1912" t="s">
        <v>4272</v>
      </c>
      <c r="C1912" t="s">
        <v>28</v>
      </c>
      <c r="D1912" t="s">
        <v>1836</v>
      </c>
      <c r="E1912" t="s">
        <v>8</v>
      </c>
      <c r="F1912" t="s">
        <v>1837</v>
      </c>
      <c r="G1912" t="s">
        <v>1838</v>
      </c>
      <c r="H1912" t="s">
        <v>1838</v>
      </c>
      <c r="I1912" t="s">
        <v>344</v>
      </c>
    </row>
    <row r="1913" spans="1:9" x14ac:dyDescent="0.25">
      <c r="A1913" s="1" t="str">
        <f>HYPERLINK("https://lynxcrm-apac--c.eu19.visual.force.com/0011i000001xoOHAAY","Ho, Swee Far")</f>
        <v>Ho, Swee Far</v>
      </c>
      <c r="B1913" t="s">
        <v>4273</v>
      </c>
      <c r="C1913" t="s">
        <v>28</v>
      </c>
      <c r="D1913" t="s">
        <v>58</v>
      </c>
      <c r="E1913" t="s">
        <v>8</v>
      </c>
      <c r="F1913" t="s">
        <v>57</v>
      </c>
      <c r="G1913" t="s">
        <v>57</v>
      </c>
      <c r="H1913" t="s">
        <v>8</v>
      </c>
      <c r="I1913" t="s">
        <v>59</v>
      </c>
    </row>
    <row r="1914" spans="1:9" x14ac:dyDescent="0.25">
      <c r="A1914" s="1" t="str">
        <f>HYPERLINK("https://lynxcrm-apac--c.eu19.visual.force.com/0011i000001xoOHAAY","Ho, Swee Far")</f>
        <v>Ho, Swee Far</v>
      </c>
      <c r="B1914" t="s">
        <v>4273</v>
      </c>
      <c r="C1914" t="s">
        <v>28</v>
      </c>
      <c r="D1914" t="s">
        <v>57</v>
      </c>
      <c r="E1914" t="s">
        <v>8</v>
      </c>
      <c r="F1914" t="s">
        <v>57</v>
      </c>
      <c r="G1914" t="s">
        <v>58</v>
      </c>
      <c r="H1914" t="s">
        <v>58</v>
      </c>
      <c r="I1914" t="s">
        <v>59</v>
      </c>
    </row>
    <row r="1915" spans="1:9" x14ac:dyDescent="0.25">
      <c r="A1915" s="1" t="str">
        <f>HYPERLINK("https://lynxcrm-apac--c.eu19.visual.force.com/0011i00000pbjsRAAQ","Ho, Tet Khiun")</f>
        <v>Ho, Tet Khiun</v>
      </c>
      <c r="B1915" t="s">
        <v>4274</v>
      </c>
      <c r="C1915" t="s">
        <v>28</v>
      </c>
      <c r="D1915" t="s">
        <v>4275</v>
      </c>
      <c r="E1915" t="s">
        <v>8</v>
      </c>
      <c r="F1915" t="s">
        <v>4276</v>
      </c>
      <c r="G1915" t="s">
        <v>4277</v>
      </c>
      <c r="H1915" t="s">
        <v>4277</v>
      </c>
      <c r="I1915" t="s">
        <v>4278</v>
      </c>
    </row>
    <row r="1916" spans="1:9" x14ac:dyDescent="0.25">
      <c r="A1916" s="1" t="str">
        <f>HYPERLINK("https://lynxcrm-apac--c.eu19.visual.force.com/0011i00000oVa07AAC","Ho, Tet Khiun")</f>
        <v>Ho, Tet Khiun</v>
      </c>
      <c r="B1916" t="s">
        <v>4279</v>
      </c>
      <c r="C1916" t="s">
        <v>28</v>
      </c>
      <c r="D1916" t="s">
        <v>8</v>
      </c>
      <c r="E1916" t="s">
        <v>8</v>
      </c>
      <c r="F1916" t="s">
        <v>2150</v>
      </c>
      <c r="G1916" t="s">
        <v>2151</v>
      </c>
      <c r="H1916" t="s">
        <v>2152</v>
      </c>
      <c r="I1916" t="s">
        <v>2153</v>
      </c>
    </row>
    <row r="1917" spans="1:9" x14ac:dyDescent="0.25">
      <c r="A1917" s="1" t="str">
        <f>HYPERLINK("https://lynxcrm-apac--c.eu19.visual.force.com/0011i00000oVa07AAC","Ho, Tet Khiun")</f>
        <v>Ho, Tet Khiun</v>
      </c>
      <c r="B1917" t="s">
        <v>4279</v>
      </c>
      <c r="C1917" t="s">
        <v>28</v>
      </c>
      <c r="D1917" t="s">
        <v>2149</v>
      </c>
      <c r="E1917" t="s">
        <v>8</v>
      </c>
      <c r="F1917" t="s">
        <v>2150</v>
      </c>
      <c r="G1917" t="s">
        <v>2151</v>
      </c>
      <c r="H1917" t="s">
        <v>2152</v>
      </c>
      <c r="I1917" t="s">
        <v>2153</v>
      </c>
    </row>
    <row r="1918" spans="1:9" x14ac:dyDescent="0.25">
      <c r="A1918" s="1" t="str">
        <f>HYPERLINK("https://lynxcrm-apac--c.eu19.visual.force.com/0011i000001xnzKAAQ","Ho, Tew Hong")</f>
        <v>Ho, Tew Hong</v>
      </c>
      <c r="B1918" t="s">
        <v>4280</v>
      </c>
      <c r="C1918" t="s">
        <v>28</v>
      </c>
      <c r="D1918" t="s">
        <v>251</v>
      </c>
      <c r="E1918" t="s">
        <v>8</v>
      </c>
      <c r="F1918" t="s">
        <v>2244</v>
      </c>
      <c r="G1918" t="s">
        <v>252</v>
      </c>
      <c r="H1918" t="s">
        <v>252</v>
      </c>
      <c r="I1918" t="s">
        <v>253</v>
      </c>
    </row>
    <row r="1919" spans="1:9" x14ac:dyDescent="0.25">
      <c r="A1919" s="1" t="str">
        <f>HYPERLINK("https://lynxcrm-apac--c.eu19.visual.force.com/0011i000001xoPnAAI","Ho, Thong Chew")</f>
        <v>Ho, Thong Chew</v>
      </c>
      <c r="B1919" t="s">
        <v>4281</v>
      </c>
      <c r="C1919" t="s">
        <v>28</v>
      </c>
      <c r="D1919" t="s">
        <v>4282</v>
      </c>
      <c r="E1919" t="s">
        <v>8</v>
      </c>
      <c r="F1919" t="s">
        <v>4283</v>
      </c>
      <c r="G1919" t="s">
        <v>4284</v>
      </c>
      <c r="H1919" t="s">
        <v>4285</v>
      </c>
      <c r="I1919" t="s">
        <v>4286</v>
      </c>
    </row>
    <row r="1920" spans="1:9" x14ac:dyDescent="0.25">
      <c r="A1920" s="1" t="str">
        <f>HYPERLINK("https://lynxcrm-apac--c.eu19.visual.force.com/0011i000001xohbAAA","Ho, Tse Lin Emily")</f>
        <v>Ho, Tse Lin Emily</v>
      </c>
      <c r="B1920" t="s">
        <v>4287</v>
      </c>
      <c r="C1920" t="s">
        <v>28</v>
      </c>
      <c r="D1920" t="s">
        <v>251</v>
      </c>
      <c r="E1920" t="s">
        <v>8</v>
      </c>
      <c r="F1920" t="s">
        <v>246</v>
      </c>
      <c r="G1920" t="s">
        <v>252</v>
      </c>
      <c r="H1920" t="s">
        <v>858</v>
      </c>
      <c r="I1920" t="s">
        <v>253</v>
      </c>
    </row>
    <row r="1921" spans="1:9" x14ac:dyDescent="0.25">
      <c r="A1921" s="1" t="str">
        <f>HYPERLINK("https://lynxcrm-apac--c.eu19.visual.force.com/0011i000001xoLWAAY","Ho, Tze Yin")</f>
        <v>Ho, Tze Yin</v>
      </c>
      <c r="B1921" t="s">
        <v>4288</v>
      </c>
      <c r="C1921" t="s">
        <v>28</v>
      </c>
      <c r="D1921" t="s">
        <v>1661</v>
      </c>
      <c r="E1921" t="s">
        <v>8</v>
      </c>
      <c r="F1921" t="s">
        <v>627</v>
      </c>
      <c r="G1921" t="s">
        <v>628</v>
      </c>
      <c r="H1921" t="s">
        <v>628</v>
      </c>
      <c r="I1921" t="s">
        <v>624</v>
      </c>
    </row>
    <row r="1922" spans="1:9" x14ac:dyDescent="0.25">
      <c r="A1922" s="1" t="str">
        <f>HYPERLINK("https://lynxcrm-apac--c.eu19.visual.force.com/0011i000001xonDAAQ","Ho, Yeng Benjamin")</f>
        <v>Ho, Yeng Benjamin</v>
      </c>
      <c r="B1922" t="s">
        <v>4289</v>
      </c>
      <c r="C1922" t="s">
        <v>28</v>
      </c>
      <c r="D1922" t="s">
        <v>3565</v>
      </c>
      <c r="E1922" t="s">
        <v>8</v>
      </c>
      <c r="F1922" t="s">
        <v>653</v>
      </c>
      <c r="G1922" t="s">
        <v>654</v>
      </c>
      <c r="H1922" t="s">
        <v>655</v>
      </c>
      <c r="I1922" t="s">
        <v>656</v>
      </c>
    </row>
    <row r="1923" spans="1:9" x14ac:dyDescent="0.25">
      <c r="A1923" s="1" t="str">
        <f>HYPERLINK("https://lynxcrm-apac--c.eu19.visual.force.com/0011i000001xoZ6AAI","Ho, Yew Mun")</f>
        <v>Ho, Yew Mun</v>
      </c>
      <c r="B1923" t="s">
        <v>4290</v>
      </c>
      <c r="C1923" t="s">
        <v>28</v>
      </c>
      <c r="D1923" t="s">
        <v>4291</v>
      </c>
      <c r="E1923" t="s">
        <v>8</v>
      </c>
      <c r="F1923" t="s">
        <v>4292</v>
      </c>
      <c r="G1923" t="s">
        <v>3429</v>
      </c>
      <c r="H1923" t="s">
        <v>4293</v>
      </c>
      <c r="I1923" t="s">
        <v>4294</v>
      </c>
    </row>
    <row r="1924" spans="1:9" x14ac:dyDescent="0.25">
      <c r="A1924" s="1" t="str">
        <f>HYPERLINK("https://lynxcrm-apac--c.eu19.visual.force.com/0011i000001xonHAAQ","Ho, Yow Chan")</f>
        <v>Ho, Yow Chan</v>
      </c>
      <c r="B1924" t="s">
        <v>4295</v>
      </c>
      <c r="C1924" t="s">
        <v>28</v>
      </c>
      <c r="D1924" t="s">
        <v>4296</v>
      </c>
      <c r="E1924" t="s">
        <v>8</v>
      </c>
      <c r="F1924" t="s">
        <v>4297</v>
      </c>
      <c r="G1924" t="s">
        <v>2376</v>
      </c>
      <c r="H1924" t="s">
        <v>2376</v>
      </c>
      <c r="I1924" t="s">
        <v>4298</v>
      </c>
    </row>
    <row r="1925" spans="1:9" x14ac:dyDescent="0.25">
      <c r="A1925" s="1" t="str">
        <f>HYPERLINK("https://lynxcrm-apac--c.eu19.visual.force.com/0011i000001xonKAAQ","Hoe, Ah Leong")</f>
        <v>Hoe, Ah Leong</v>
      </c>
      <c r="B1925" t="s">
        <v>4299</v>
      </c>
      <c r="C1925" t="s">
        <v>28</v>
      </c>
      <c r="D1925" t="s">
        <v>4300</v>
      </c>
      <c r="E1925" t="s">
        <v>8</v>
      </c>
      <c r="F1925" t="s">
        <v>69</v>
      </c>
      <c r="G1925" t="s">
        <v>4301</v>
      </c>
      <c r="H1925" t="s">
        <v>4302</v>
      </c>
      <c r="I1925" t="s">
        <v>67</v>
      </c>
    </row>
    <row r="1926" spans="1:9" x14ac:dyDescent="0.25">
      <c r="A1926" s="1" t="str">
        <f>HYPERLINK("https://lynxcrm-apac--c.eu19.visual.force.com/0011i000001xnjVAAQ","Hoe, Kian Ming Jeremy")</f>
        <v>Hoe, Kian Ming Jeremy</v>
      </c>
      <c r="B1926" t="s">
        <v>4303</v>
      </c>
      <c r="C1926" t="s">
        <v>28</v>
      </c>
      <c r="D1926" t="s">
        <v>261</v>
      </c>
      <c r="E1926" t="s">
        <v>8</v>
      </c>
      <c r="F1926" t="s">
        <v>261</v>
      </c>
      <c r="G1926" t="s">
        <v>347</v>
      </c>
      <c r="H1926" t="s">
        <v>347</v>
      </c>
      <c r="I1926" t="s">
        <v>260</v>
      </c>
    </row>
    <row r="1927" spans="1:9" x14ac:dyDescent="0.25">
      <c r="A1927" s="1" t="str">
        <f>HYPERLINK("https://lynxcrm-apac--c.eu19.visual.force.com/0011i000001xodHAAQ","Hoe, Nan Yuh Michael")</f>
        <v>Hoe, Nan Yuh Michael</v>
      </c>
      <c r="B1927" t="s">
        <v>4304</v>
      </c>
      <c r="C1927" t="s">
        <v>28</v>
      </c>
      <c r="D1927" t="s">
        <v>4305</v>
      </c>
      <c r="E1927" t="s">
        <v>8</v>
      </c>
      <c r="F1927" t="s">
        <v>69</v>
      </c>
      <c r="G1927" t="s">
        <v>4306</v>
      </c>
      <c r="H1927" t="s">
        <v>4307</v>
      </c>
      <c r="I1927" t="s">
        <v>67</v>
      </c>
    </row>
    <row r="1928" spans="1:9" x14ac:dyDescent="0.25">
      <c r="A1928" s="1" t="str">
        <f>HYPERLINK("https://lynxcrm-apac--c.eu19.visual.force.com/0011i000001xnTzAAI","Ho Kok Sun Colorectal")</f>
        <v>Ho Kok Sun Colorectal</v>
      </c>
      <c r="B1928" t="s">
        <v>4308</v>
      </c>
      <c r="C1928" t="s">
        <v>10</v>
      </c>
      <c r="D1928" t="s">
        <v>8</v>
      </c>
      <c r="E1928" t="s">
        <v>8</v>
      </c>
      <c r="F1928" t="s">
        <v>4255</v>
      </c>
      <c r="G1928" t="s">
        <v>121</v>
      </c>
      <c r="H1928" t="s">
        <v>121</v>
      </c>
      <c r="I1928" t="s">
        <v>123</v>
      </c>
    </row>
    <row r="1929" spans="1:9" x14ac:dyDescent="0.25">
      <c r="A1929" s="1" t="str">
        <f>HYPERLINK("https://lynxcrm-apac--c.eu19.visual.force.com/0011i000001xonLAAQ","Hong, Chee Boo Allan")</f>
        <v>Hong, Chee Boo Allan</v>
      </c>
      <c r="B1929" t="s">
        <v>4309</v>
      </c>
      <c r="C1929" t="s">
        <v>28</v>
      </c>
      <c r="D1929" t="s">
        <v>188</v>
      </c>
      <c r="E1929" t="s">
        <v>8</v>
      </c>
      <c r="F1929" t="s">
        <v>4310</v>
      </c>
      <c r="G1929" t="s">
        <v>4311</v>
      </c>
      <c r="H1929" t="s">
        <v>4312</v>
      </c>
      <c r="I1929" t="s">
        <v>4313</v>
      </c>
    </row>
    <row r="1930" spans="1:9" x14ac:dyDescent="0.25">
      <c r="A1930" s="1" t="str">
        <f>HYPERLINK("https://lynxcrm-apac--c.eu19.visual.force.com/0011i000001xoYuAAI","Hong, Cho Tek Eric")</f>
        <v>Hong, Cho Tek Eric</v>
      </c>
      <c r="B1930" t="s">
        <v>4314</v>
      </c>
      <c r="C1930" t="s">
        <v>28</v>
      </c>
      <c r="D1930" t="s">
        <v>4315</v>
      </c>
      <c r="E1930" t="s">
        <v>8</v>
      </c>
      <c r="F1930" t="s">
        <v>373</v>
      </c>
      <c r="G1930" t="s">
        <v>2986</v>
      </c>
      <c r="H1930" t="s">
        <v>2986</v>
      </c>
      <c r="I1930" t="s">
        <v>123</v>
      </c>
    </row>
    <row r="1931" spans="1:9" x14ac:dyDescent="0.25">
      <c r="A1931" s="1" t="str">
        <f>HYPERLINK("https://lynxcrm-apac--c.eu19.visual.force.com/0011i000001xonPAAQ","Hong, Lee Tiong")</f>
        <v>Hong, Lee Tiong</v>
      </c>
      <c r="B1931" t="s">
        <v>4316</v>
      </c>
      <c r="C1931" t="s">
        <v>28</v>
      </c>
      <c r="D1931" t="s">
        <v>4317</v>
      </c>
      <c r="E1931" t="s">
        <v>8</v>
      </c>
      <c r="F1931" t="s">
        <v>4318</v>
      </c>
      <c r="G1931" t="s">
        <v>4319</v>
      </c>
      <c r="H1931" t="s">
        <v>4320</v>
      </c>
      <c r="I1931" t="s">
        <v>4321</v>
      </c>
    </row>
    <row r="1932" spans="1:9" x14ac:dyDescent="0.25">
      <c r="A1932" s="1" t="str">
        <f>HYPERLINK("https://lynxcrm-apac--c.eu19.visual.force.com/0011i00000S3HJHAA3","Hong, Lois")</f>
        <v>Hong, Lois</v>
      </c>
      <c r="B1932" t="s">
        <v>4322</v>
      </c>
      <c r="C1932" t="s">
        <v>28</v>
      </c>
      <c r="D1932" t="s">
        <v>147</v>
      </c>
      <c r="E1932" t="s">
        <v>8</v>
      </c>
      <c r="F1932" t="s">
        <v>147</v>
      </c>
      <c r="G1932" t="s">
        <v>148</v>
      </c>
      <c r="H1932" t="s">
        <v>148</v>
      </c>
      <c r="I1932" t="s">
        <v>149</v>
      </c>
    </row>
    <row r="1933" spans="1:9" x14ac:dyDescent="0.25">
      <c r="A1933" s="1" t="str">
        <f>HYPERLINK("https://lynxcrm-apac--c.eu19.visual.force.com/0011i000001xo1XAAQ","Hong, Soo Wan")</f>
        <v>Hong, Soo Wan</v>
      </c>
      <c r="B1933" t="s">
        <v>4323</v>
      </c>
      <c r="C1933" t="s">
        <v>28</v>
      </c>
      <c r="D1933" t="s">
        <v>251</v>
      </c>
      <c r="E1933" t="s">
        <v>8</v>
      </c>
      <c r="F1933" t="s">
        <v>251</v>
      </c>
      <c r="G1933" t="s">
        <v>252</v>
      </c>
      <c r="H1933" t="s">
        <v>252</v>
      </c>
      <c r="I1933" t="s">
        <v>253</v>
      </c>
    </row>
    <row r="1934" spans="1:9" x14ac:dyDescent="0.25">
      <c r="A1934" s="1" t="str">
        <f>HYPERLINK("https://lynxcrm-apac--c.eu19.visual.force.com/0011i000001xo1XAAQ","Hong, Soo Wan")</f>
        <v>Hong, Soo Wan</v>
      </c>
      <c r="B1934" t="s">
        <v>4323</v>
      </c>
      <c r="C1934" t="s">
        <v>28</v>
      </c>
      <c r="D1934" t="s">
        <v>1242</v>
      </c>
      <c r="E1934" t="s">
        <v>8</v>
      </c>
      <c r="F1934" t="s">
        <v>252</v>
      </c>
      <c r="G1934" t="s">
        <v>251</v>
      </c>
      <c r="H1934" t="s">
        <v>251</v>
      </c>
      <c r="I1934" t="s">
        <v>253</v>
      </c>
    </row>
    <row r="1935" spans="1:9" x14ac:dyDescent="0.25">
      <c r="A1935" s="1" t="str">
        <f>HYPERLINK("https://lynxcrm-apac--c.eu19.visual.force.com/0011i000001xoakAAA","Hong, Wei Li")</f>
        <v>Hong, Wei Li</v>
      </c>
      <c r="B1935" t="s">
        <v>4324</v>
      </c>
      <c r="C1935" t="s">
        <v>28</v>
      </c>
      <c r="D1935" t="s">
        <v>1698</v>
      </c>
      <c r="E1935" t="s">
        <v>8</v>
      </c>
      <c r="F1935" t="s">
        <v>2273</v>
      </c>
      <c r="G1935" t="s">
        <v>2273</v>
      </c>
      <c r="H1935" t="s">
        <v>8</v>
      </c>
      <c r="I1935" t="s">
        <v>8</v>
      </c>
    </row>
    <row r="1936" spans="1:9" x14ac:dyDescent="0.25">
      <c r="A1936" s="1" t="str">
        <f>HYPERLINK("https://lynxcrm-apac--c.eu19.visual.force.com/0011i000001xnd2AAA","Hong's Clinic People's Park Centre")</f>
        <v>Hong's Clinic People's Park Centre</v>
      </c>
      <c r="B1936" t="s">
        <v>4325</v>
      </c>
      <c r="C1936" t="s">
        <v>10</v>
      </c>
      <c r="D1936" t="s">
        <v>8</v>
      </c>
      <c r="E1936" t="s">
        <v>8</v>
      </c>
      <c r="F1936" t="s">
        <v>3049</v>
      </c>
      <c r="G1936" t="s">
        <v>4326</v>
      </c>
      <c r="H1936" t="s">
        <v>4327</v>
      </c>
      <c r="I1936" t="s">
        <v>3051</v>
      </c>
    </row>
    <row r="1937" spans="1:9" x14ac:dyDescent="0.25">
      <c r="A1937" s="1" t="str">
        <f>HYPERLINK("https://lynxcrm-apac--c.eu19.visual.force.com/0011i000001xmpHAAQ","Hong Family Clinic")</f>
        <v>Hong Family Clinic</v>
      </c>
      <c r="B1937" t="s">
        <v>4328</v>
      </c>
      <c r="C1937" t="s">
        <v>10</v>
      </c>
      <c r="D1937" t="s">
        <v>8</v>
      </c>
      <c r="E1937" t="s">
        <v>8</v>
      </c>
      <c r="F1937" t="s">
        <v>4318</v>
      </c>
      <c r="G1937" t="s">
        <v>4319</v>
      </c>
      <c r="H1937" t="s">
        <v>4320</v>
      </c>
      <c r="I1937" t="s">
        <v>4321</v>
      </c>
    </row>
    <row r="1938" spans="1:9" x14ac:dyDescent="0.25">
      <c r="A1938" s="1" t="str">
        <f>HYPERLINK("https://lynxcrm-apac--c.eu19.visual.force.com/0011i000001xnQHAAY","Hong Whye Clinic")</f>
        <v>Hong Whye Clinic</v>
      </c>
      <c r="B1938" t="s">
        <v>4329</v>
      </c>
      <c r="C1938" t="s">
        <v>10</v>
      </c>
      <c r="D1938" t="s">
        <v>8</v>
      </c>
      <c r="E1938" t="s">
        <v>8</v>
      </c>
      <c r="F1938" t="s">
        <v>4330</v>
      </c>
      <c r="G1938" t="s">
        <v>478</v>
      </c>
      <c r="H1938" t="s">
        <v>4331</v>
      </c>
      <c r="I1938" t="s">
        <v>4332</v>
      </c>
    </row>
    <row r="1939" spans="1:9" x14ac:dyDescent="0.25">
      <c r="A1939" s="1" t="str">
        <f>HYPERLINK("https://lynxcrm-apac--c.eu19.visual.force.com/0011i00000Jdz41AAB","Hooi, Benjamin")</f>
        <v>Hooi, Benjamin</v>
      </c>
      <c r="B1939" t="s">
        <v>4333</v>
      </c>
      <c r="C1939" t="s">
        <v>28</v>
      </c>
      <c r="D1939" t="s">
        <v>429</v>
      </c>
      <c r="E1939" t="s">
        <v>8</v>
      </c>
      <c r="F1939" t="s">
        <v>429</v>
      </c>
      <c r="G1939" t="s">
        <v>428</v>
      </c>
      <c r="H1939" t="s">
        <v>428</v>
      </c>
      <c r="I1939" t="s">
        <v>430</v>
      </c>
    </row>
    <row r="1940" spans="1:9" x14ac:dyDescent="0.25">
      <c r="A1940" s="1" t="str">
        <f>HYPERLINK("https://lynxcrm-apac--c.eu19.visual.force.com/0011i000001xn92AAA","Hope Family Clinic &amp; Surgery")</f>
        <v>Hope Family Clinic &amp; Surgery</v>
      </c>
      <c r="B1940" t="s">
        <v>4334</v>
      </c>
      <c r="C1940" t="s">
        <v>10</v>
      </c>
      <c r="D1940" t="s">
        <v>8</v>
      </c>
      <c r="E1940" t="s">
        <v>8</v>
      </c>
      <c r="F1940" t="s">
        <v>4335</v>
      </c>
      <c r="G1940" t="s">
        <v>4336</v>
      </c>
      <c r="H1940" t="s">
        <v>4336</v>
      </c>
      <c r="I1940" t="s">
        <v>4298</v>
      </c>
    </row>
    <row r="1941" spans="1:9" x14ac:dyDescent="0.25">
      <c r="A1941" s="1" t="str">
        <f>HYPERLINK("https://lynxcrm-apac--c.eu19.visual.force.com/0011i000001xn7nAAA","Hope Gastroenterology and Liver Clinic")</f>
        <v>Hope Gastroenterology and Liver Clinic</v>
      </c>
      <c r="B1941" t="s">
        <v>4337</v>
      </c>
      <c r="C1941" t="s">
        <v>10</v>
      </c>
      <c r="D1941" t="s">
        <v>8</v>
      </c>
      <c r="E1941" t="s">
        <v>8</v>
      </c>
      <c r="F1941" t="s">
        <v>412</v>
      </c>
      <c r="G1941" t="s">
        <v>121</v>
      </c>
      <c r="H1941" t="s">
        <v>121</v>
      </c>
      <c r="I1941" t="s">
        <v>123</v>
      </c>
    </row>
    <row r="1942" spans="1:9" x14ac:dyDescent="0.25">
      <c r="A1942" s="1" t="str">
        <f>HYPERLINK("https://lynxcrm-apac--c.eu19.visual.force.com/0011i000001xmwkAAA","Hope Medical Clinic")</f>
        <v>Hope Medical Clinic</v>
      </c>
      <c r="B1942" t="s">
        <v>4338</v>
      </c>
      <c r="C1942" t="s">
        <v>10</v>
      </c>
      <c r="D1942" t="s">
        <v>8</v>
      </c>
      <c r="E1942" t="s">
        <v>8</v>
      </c>
      <c r="F1942" t="s">
        <v>3108</v>
      </c>
      <c r="G1942" t="s">
        <v>4339</v>
      </c>
      <c r="H1942" t="s">
        <v>4339</v>
      </c>
      <c r="I1942" t="s">
        <v>1675</v>
      </c>
    </row>
    <row r="1943" spans="1:9" x14ac:dyDescent="0.25">
      <c r="A1943" s="1" t="str">
        <f>HYPERLINK("https://lynxcrm-apac--c.eu19.visual.force.com/0011i000001xnmIAAQ","Hopkins, Nicola Rayne")</f>
        <v>Hopkins, Nicola Rayne</v>
      </c>
      <c r="B1943" t="s">
        <v>4340</v>
      </c>
      <c r="C1943" t="s">
        <v>28</v>
      </c>
      <c r="D1943" t="s">
        <v>819</v>
      </c>
      <c r="E1943" t="s">
        <v>8</v>
      </c>
      <c r="F1943" t="s">
        <v>820</v>
      </c>
      <c r="G1943" t="s">
        <v>820</v>
      </c>
      <c r="H1943" t="s">
        <v>821</v>
      </c>
      <c r="I1943" t="s">
        <v>822</v>
      </c>
    </row>
    <row r="1944" spans="1:9" x14ac:dyDescent="0.25">
      <c r="A1944" s="1" t="str">
        <f>HYPERLINK("https://lynxcrm-apac--c.eu19.visual.force.com/0011i000001xobJAAQ","Hor, Oi Lin")</f>
        <v>Hor, Oi Lin</v>
      </c>
      <c r="B1944" t="s">
        <v>4341</v>
      </c>
      <c r="C1944" t="s">
        <v>28</v>
      </c>
      <c r="D1944" t="s">
        <v>4342</v>
      </c>
      <c r="E1944" t="s">
        <v>8</v>
      </c>
      <c r="F1944" t="s">
        <v>4343</v>
      </c>
      <c r="G1944" t="s">
        <v>4343</v>
      </c>
      <c r="H1944" t="s">
        <v>8</v>
      </c>
      <c r="I1944" t="s">
        <v>4344</v>
      </c>
    </row>
    <row r="1945" spans="1:9" x14ac:dyDescent="0.25">
      <c r="A1945" s="1" t="str">
        <f>HYPERLINK("https://lynxcrm-apac--c.eu19.visual.force.com/0011i000001xmqPAAQ","Hosanna Medical Centre")</f>
        <v>Hosanna Medical Centre</v>
      </c>
      <c r="B1945" t="s">
        <v>4345</v>
      </c>
      <c r="C1945" t="s">
        <v>10</v>
      </c>
      <c r="D1945" t="s">
        <v>8</v>
      </c>
      <c r="E1945" t="s">
        <v>8</v>
      </c>
      <c r="F1945" t="s">
        <v>4346</v>
      </c>
      <c r="G1945" t="s">
        <v>4347</v>
      </c>
      <c r="H1945" t="s">
        <v>4348</v>
      </c>
      <c r="I1945" t="s">
        <v>4349</v>
      </c>
    </row>
    <row r="1946" spans="1:9" x14ac:dyDescent="0.25">
      <c r="A1946" s="1" t="str">
        <f>HYPERLINK("https://lynxcrm-apac--c.eu19.visual.force.com/0011i000001xocYAAQ","Hoseong, Moon")</f>
        <v>Hoseong, Moon</v>
      </c>
      <c r="B1946" t="s">
        <v>4350</v>
      </c>
      <c r="C1946" t="s">
        <v>28</v>
      </c>
      <c r="D1946" t="s">
        <v>4351</v>
      </c>
      <c r="E1946" t="s">
        <v>8</v>
      </c>
      <c r="F1946" t="s">
        <v>469</v>
      </c>
      <c r="G1946" t="s">
        <v>4352</v>
      </c>
      <c r="H1946" t="s">
        <v>66</v>
      </c>
      <c r="I1946" t="s">
        <v>67</v>
      </c>
    </row>
    <row r="1947" spans="1:9" x14ac:dyDescent="0.25">
      <c r="A1947" s="1" t="str">
        <f>HYPERLINK("https://lynxcrm-apac--c.eu19.visual.force.com/0011i000001xmrqAAA","Ho Surgical Clinic Pte Ltd")</f>
        <v>Ho Surgical Clinic Pte Ltd</v>
      </c>
      <c r="B1947" t="s">
        <v>4353</v>
      </c>
      <c r="C1947" t="s">
        <v>10</v>
      </c>
      <c r="D1947" t="s">
        <v>8</v>
      </c>
      <c r="E1947" t="s">
        <v>8</v>
      </c>
      <c r="F1947" t="s">
        <v>377</v>
      </c>
      <c r="G1947" t="s">
        <v>4270</v>
      </c>
      <c r="H1947" t="s">
        <v>4271</v>
      </c>
      <c r="I1947" t="s">
        <v>123</v>
      </c>
    </row>
    <row r="1948" spans="1:9" x14ac:dyDescent="0.25">
      <c r="A1948" s="1" t="str">
        <f>HYPERLINK("https://lynxcrm-apac--c.eu19.visual.force.com/0011i000001xnRpAAI","Ho Tong Clinic")</f>
        <v>Ho Tong Clinic</v>
      </c>
      <c r="B1948" t="s">
        <v>4354</v>
      </c>
      <c r="C1948" t="s">
        <v>10</v>
      </c>
      <c r="D1948" t="s">
        <v>8</v>
      </c>
      <c r="E1948" t="s">
        <v>8</v>
      </c>
      <c r="F1948" t="s">
        <v>4355</v>
      </c>
      <c r="G1948" t="s">
        <v>4356</v>
      </c>
      <c r="H1948" t="s">
        <v>4357</v>
      </c>
      <c r="I1948" t="s">
        <v>1959</v>
      </c>
    </row>
    <row r="1949" spans="1:9" x14ac:dyDescent="0.25">
      <c r="A1949" s="1" t="str">
        <f>HYPERLINK("https://lynxcrm-apac--c.eu19.visual.force.com/0011i000001xnc4AAA","Hougang Central Medical Clinic")</f>
        <v>Hougang Central Medical Clinic</v>
      </c>
      <c r="B1949" t="s">
        <v>4358</v>
      </c>
      <c r="C1949" t="s">
        <v>10</v>
      </c>
      <c r="D1949" t="s">
        <v>8</v>
      </c>
      <c r="E1949" t="s">
        <v>8</v>
      </c>
      <c r="F1949" t="s">
        <v>4359</v>
      </c>
      <c r="G1949" t="s">
        <v>4360</v>
      </c>
      <c r="H1949" t="s">
        <v>4360</v>
      </c>
      <c r="I1949" t="s">
        <v>1471</v>
      </c>
    </row>
    <row r="1950" spans="1:9" x14ac:dyDescent="0.25">
      <c r="A1950" s="1" t="str">
        <f>HYPERLINK("https://lynxcrm-apac--c.eu19.visual.force.com/0011i000001xmtNAAQ","Hougang Clinic")</f>
        <v>Hougang Clinic</v>
      </c>
      <c r="B1950" t="s">
        <v>4361</v>
      </c>
      <c r="C1950" t="s">
        <v>10</v>
      </c>
      <c r="D1950" t="s">
        <v>8</v>
      </c>
      <c r="E1950" t="s">
        <v>8</v>
      </c>
      <c r="F1950" t="s">
        <v>2230</v>
      </c>
      <c r="G1950" t="s">
        <v>2151</v>
      </c>
      <c r="H1950" t="s">
        <v>2231</v>
      </c>
      <c r="I1950" t="s">
        <v>2232</v>
      </c>
    </row>
    <row r="1951" spans="1:9" x14ac:dyDescent="0.25">
      <c r="A1951" s="1" t="str">
        <f>HYPERLINK("https://lynxcrm-apac--c.eu19.visual.force.com/0011i000001xnPfAAI","Hougang Polyclinic")</f>
        <v>Hougang Polyclinic</v>
      </c>
      <c r="B1951" t="s">
        <v>4362</v>
      </c>
      <c r="C1951" t="s">
        <v>10</v>
      </c>
      <c r="D1951" t="s">
        <v>8</v>
      </c>
      <c r="E1951" t="s">
        <v>8</v>
      </c>
      <c r="F1951" t="s">
        <v>3046</v>
      </c>
      <c r="G1951" t="s">
        <v>3046</v>
      </c>
      <c r="H1951" t="s">
        <v>3047</v>
      </c>
      <c r="I1951" t="s">
        <v>518</v>
      </c>
    </row>
    <row r="1952" spans="1:9" x14ac:dyDescent="0.25">
      <c r="A1952" s="1" t="str">
        <f>HYPERLINK("https://lynxcrm-apac--c.eu19.visual.force.com/0011i000001xmcjAAA","Hougang Polyclinic")</f>
        <v>Hougang Polyclinic</v>
      </c>
      <c r="B1952" t="s">
        <v>4363</v>
      </c>
      <c r="C1952" t="s">
        <v>10</v>
      </c>
      <c r="D1952" t="s">
        <v>8</v>
      </c>
      <c r="E1952" t="s">
        <v>8</v>
      </c>
      <c r="F1952" t="s">
        <v>3046</v>
      </c>
      <c r="G1952" t="s">
        <v>3046</v>
      </c>
      <c r="H1952" t="s">
        <v>3047</v>
      </c>
      <c r="I1952" t="s">
        <v>518</v>
      </c>
    </row>
    <row r="1953" spans="1:9" x14ac:dyDescent="0.25">
      <c r="A1953" s="1" t="str">
        <f>HYPERLINK("https://lynxcrm-apac--c.eu19.visual.force.com/0011i000001xmpLAAQ","Hougang Polyclinic")</f>
        <v>Hougang Polyclinic</v>
      </c>
      <c r="B1953" t="s">
        <v>4364</v>
      </c>
      <c r="C1953" t="s">
        <v>10</v>
      </c>
      <c r="D1953" t="s">
        <v>8</v>
      </c>
      <c r="E1953" t="s">
        <v>8</v>
      </c>
      <c r="F1953" t="s">
        <v>3046</v>
      </c>
      <c r="G1953" t="s">
        <v>3046</v>
      </c>
      <c r="H1953" t="s">
        <v>3047</v>
      </c>
      <c r="I1953" t="s">
        <v>518</v>
      </c>
    </row>
    <row r="1954" spans="1:9" x14ac:dyDescent="0.25">
      <c r="A1954" s="1" t="str">
        <f>HYPERLINK("https://lynxcrm-apac--c.eu19.visual.force.com/0011i000001xn57AAA","Hougang Polyclinic")</f>
        <v>Hougang Polyclinic</v>
      </c>
      <c r="B1954" t="s">
        <v>4365</v>
      </c>
      <c r="C1954" t="s">
        <v>10</v>
      </c>
      <c r="D1954" t="s">
        <v>8</v>
      </c>
      <c r="E1954" t="s">
        <v>8</v>
      </c>
      <c r="F1954" t="s">
        <v>3046</v>
      </c>
      <c r="G1954" t="s">
        <v>3046</v>
      </c>
      <c r="H1954" t="s">
        <v>4366</v>
      </c>
      <c r="I1954" t="s">
        <v>518</v>
      </c>
    </row>
    <row r="1955" spans="1:9" x14ac:dyDescent="0.25">
      <c r="A1955" s="1" t="str">
        <f>HYPERLINK("https://lynxcrm-apac--c.eu19.visual.force.com/0011i000001xnPgAAI","Hougang Polyclinic")</f>
        <v>Hougang Polyclinic</v>
      </c>
      <c r="B1955" t="s">
        <v>4367</v>
      </c>
      <c r="C1955" t="s">
        <v>10</v>
      </c>
      <c r="D1955" t="s">
        <v>8</v>
      </c>
      <c r="E1955" t="s">
        <v>8</v>
      </c>
      <c r="F1955" t="s">
        <v>3046</v>
      </c>
      <c r="G1955" t="s">
        <v>3046</v>
      </c>
      <c r="H1955" t="s">
        <v>3047</v>
      </c>
      <c r="I1955" t="s">
        <v>518</v>
      </c>
    </row>
    <row r="1956" spans="1:9" x14ac:dyDescent="0.25">
      <c r="A1956" s="1" t="str">
        <f>HYPERLINK("https://lynxcrm-apac--c.eu19.visual.force.com/0011i000001xmr0AAA","Hougang Polyclinic")</f>
        <v>Hougang Polyclinic</v>
      </c>
      <c r="B1956" t="s">
        <v>4368</v>
      </c>
      <c r="C1956" t="s">
        <v>10</v>
      </c>
      <c r="D1956" t="s">
        <v>8</v>
      </c>
      <c r="E1956" t="s">
        <v>8</v>
      </c>
      <c r="F1956" t="s">
        <v>3046</v>
      </c>
      <c r="G1956" t="s">
        <v>3046</v>
      </c>
      <c r="H1956" t="s">
        <v>3047</v>
      </c>
      <c r="I1956" t="s">
        <v>518</v>
      </c>
    </row>
    <row r="1957" spans="1:9" x14ac:dyDescent="0.25">
      <c r="A1957" s="1" t="str">
        <f>HYPERLINK("https://lynxcrm-apac--c.eu19.visual.force.com/0011i000001xnQkAAI","Hougang Polyclinic")</f>
        <v>Hougang Polyclinic</v>
      </c>
      <c r="B1957" t="s">
        <v>4369</v>
      </c>
      <c r="C1957" t="s">
        <v>10</v>
      </c>
      <c r="D1957" t="s">
        <v>8</v>
      </c>
      <c r="E1957" t="s">
        <v>8</v>
      </c>
      <c r="F1957" t="s">
        <v>3046</v>
      </c>
      <c r="G1957" t="s">
        <v>3046</v>
      </c>
      <c r="H1957" t="s">
        <v>3047</v>
      </c>
      <c r="I1957" t="s">
        <v>518</v>
      </c>
    </row>
    <row r="1958" spans="1:9" x14ac:dyDescent="0.25">
      <c r="A1958" s="1" t="str">
        <f>HYPERLINK("https://lynxcrm-apac--c.eu19.visual.force.com/0011i000001xmrrAAA","Hougang Polyclinic")</f>
        <v>Hougang Polyclinic</v>
      </c>
      <c r="B1958" t="s">
        <v>4370</v>
      </c>
      <c r="C1958" t="s">
        <v>10</v>
      </c>
      <c r="D1958" t="s">
        <v>8</v>
      </c>
      <c r="E1958" t="s">
        <v>8</v>
      </c>
      <c r="F1958" t="s">
        <v>3046</v>
      </c>
      <c r="G1958" t="s">
        <v>3046</v>
      </c>
      <c r="H1958" t="s">
        <v>3047</v>
      </c>
      <c r="I1958" t="s">
        <v>518</v>
      </c>
    </row>
    <row r="1959" spans="1:9" x14ac:dyDescent="0.25">
      <c r="A1959" s="1" t="str">
        <f>HYPERLINK("https://lynxcrm-apac--c.eu19.visual.force.com/0011i000001xn09AAA","Hougang Polyclinic")</f>
        <v>Hougang Polyclinic</v>
      </c>
      <c r="B1959" t="s">
        <v>4371</v>
      </c>
      <c r="C1959" t="s">
        <v>10</v>
      </c>
      <c r="D1959" t="s">
        <v>8</v>
      </c>
      <c r="E1959" t="s">
        <v>8</v>
      </c>
      <c r="F1959" t="s">
        <v>3046</v>
      </c>
      <c r="G1959" t="s">
        <v>3046</v>
      </c>
      <c r="H1959" t="s">
        <v>3047</v>
      </c>
      <c r="I1959" t="s">
        <v>518</v>
      </c>
    </row>
    <row r="1960" spans="1:9" x14ac:dyDescent="0.25">
      <c r="A1960" s="1" t="str">
        <f>HYPERLINK("https://lynxcrm-apac--c.eu19.visual.force.com/0011i000001xnQjAAI","Hougang Polyclinic")</f>
        <v>Hougang Polyclinic</v>
      </c>
      <c r="B1960" t="s">
        <v>4372</v>
      </c>
      <c r="C1960" t="s">
        <v>10</v>
      </c>
      <c r="D1960" t="s">
        <v>8</v>
      </c>
      <c r="E1960" t="s">
        <v>8</v>
      </c>
      <c r="F1960" t="s">
        <v>3046</v>
      </c>
      <c r="G1960" t="s">
        <v>3046</v>
      </c>
      <c r="H1960" t="s">
        <v>3047</v>
      </c>
      <c r="I1960" t="s">
        <v>518</v>
      </c>
    </row>
    <row r="1961" spans="1:9" x14ac:dyDescent="0.25">
      <c r="A1961" s="1" t="str">
        <f>HYPERLINK("https://lynxcrm-apac--c.eu19.visual.force.com/0011i000001xo1bAAA","Howe, Hwee Siew")</f>
        <v>Howe, Hwee Siew</v>
      </c>
      <c r="B1961" t="s">
        <v>4373</v>
      </c>
      <c r="C1961" t="s">
        <v>28</v>
      </c>
      <c r="D1961" t="s">
        <v>261</v>
      </c>
      <c r="E1961" t="s">
        <v>8</v>
      </c>
      <c r="F1961" t="s">
        <v>261</v>
      </c>
      <c r="G1961" t="s">
        <v>347</v>
      </c>
      <c r="H1961" t="s">
        <v>347</v>
      </c>
      <c r="I1961" t="s">
        <v>260</v>
      </c>
    </row>
    <row r="1962" spans="1:9" x14ac:dyDescent="0.25">
      <c r="A1962" s="1" t="str">
        <f>HYPERLINK("https://lynxcrm-apac--c.eu19.visual.force.com/0011i000001xo1cAAA","Howe, Tet Sen")</f>
        <v>Howe, Tet Sen</v>
      </c>
      <c r="B1962" t="s">
        <v>4374</v>
      </c>
      <c r="C1962" t="s">
        <v>28</v>
      </c>
      <c r="D1962" t="s">
        <v>251</v>
      </c>
      <c r="E1962" t="s">
        <v>8</v>
      </c>
      <c r="F1962" t="s">
        <v>427</v>
      </c>
      <c r="G1962" t="s">
        <v>252</v>
      </c>
      <c r="H1962" t="s">
        <v>252</v>
      </c>
      <c r="I1962" t="s">
        <v>253</v>
      </c>
    </row>
    <row r="1963" spans="1:9" x14ac:dyDescent="0.25">
      <c r="A1963" s="1" t="str">
        <f>HYPERLINK("https://lynxcrm-apac--c.eu19.visual.force.com/0011i000001xnJQAAY","HS Chan Surgery Pte Ltd")</f>
        <v>HS Chan Surgery Pte Ltd</v>
      </c>
      <c r="B1963" t="s">
        <v>4375</v>
      </c>
      <c r="C1963" t="s">
        <v>10</v>
      </c>
      <c r="D1963" t="s">
        <v>8</v>
      </c>
      <c r="E1963" t="s">
        <v>8</v>
      </c>
      <c r="F1963" t="s">
        <v>469</v>
      </c>
      <c r="G1963" t="s">
        <v>1184</v>
      </c>
      <c r="H1963" t="s">
        <v>466</v>
      </c>
      <c r="I1963" t="s">
        <v>466</v>
      </c>
    </row>
    <row r="1964" spans="1:9" x14ac:dyDescent="0.25">
      <c r="A1964" s="1" t="str">
        <f>HYPERLINK("https://lynxcrm-apac--c.eu19.visual.force.com/0011i000001xncYAAQ","H S Lee Clinic &amp; Surgery")</f>
        <v>H S Lee Clinic &amp; Surgery</v>
      </c>
      <c r="B1964" t="s">
        <v>4376</v>
      </c>
      <c r="C1964" t="s">
        <v>10</v>
      </c>
      <c r="D1964" t="s">
        <v>8</v>
      </c>
      <c r="E1964" t="s">
        <v>8</v>
      </c>
      <c r="F1964" t="s">
        <v>4377</v>
      </c>
      <c r="G1964" t="s">
        <v>4378</v>
      </c>
      <c r="H1964" t="s">
        <v>4379</v>
      </c>
      <c r="I1964" t="s">
        <v>4380</v>
      </c>
    </row>
    <row r="1965" spans="1:9" x14ac:dyDescent="0.25">
      <c r="A1965" s="1" t="str">
        <f>HYPERLINK("https://lynxcrm-apac--c.eu19.visual.force.com/0011i000001xo1dAAA","Hsu, Ann Ling Anne")</f>
        <v>Hsu, Ann Ling Anne</v>
      </c>
      <c r="B1965" t="s">
        <v>4381</v>
      </c>
      <c r="C1965" t="s">
        <v>28</v>
      </c>
      <c r="D1965" t="s">
        <v>251</v>
      </c>
      <c r="E1965" t="s">
        <v>8</v>
      </c>
      <c r="F1965" t="s">
        <v>239</v>
      </c>
      <c r="G1965" t="s">
        <v>252</v>
      </c>
      <c r="H1965" t="s">
        <v>252</v>
      </c>
      <c r="I1965" t="s">
        <v>253</v>
      </c>
    </row>
    <row r="1966" spans="1:9" x14ac:dyDescent="0.25">
      <c r="A1966" s="1" t="str">
        <f>HYPERLINK("https://lynxcrm-apac--c.eu19.visual.force.com/0011i000001xogNAAQ","Hsu, David")</f>
        <v>Hsu, David</v>
      </c>
      <c r="B1966" t="s">
        <v>4382</v>
      </c>
      <c r="C1966" t="s">
        <v>28</v>
      </c>
      <c r="D1966" t="s">
        <v>583</v>
      </c>
      <c r="E1966" t="s">
        <v>8</v>
      </c>
      <c r="F1966" t="s">
        <v>1407</v>
      </c>
      <c r="G1966" t="s">
        <v>584</v>
      </c>
      <c r="H1966" t="s">
        <v>1386</v>
      </c>
      <c r="I1966" t="s">
        <v>585</v>
      </c>
    </row>
    <row r="1967" spans="1:9" x14ac:dyDescent="0.25">
      <c r="A1967" s="1" t="str">
        <f>HYPERLINK("https://lynxcrm-apac--c.eu19.visual.force.com/0011i000001xonVAAQ","Hsu, Hwei Fong")</f>
        <v>Hsu, Hwei Fong</v>
      </c>
      <c r="B1967" t="s">
        <v>4383</v>
      </c>
      <c r="C1967" t="s">
        <v>28</v>
      </c>
      <c r="D1967" t="s">
        <v>4384</v>
      </c>
      <c r="E1967" t="s">
        <v>8</v>
      </c>
      <c r="F1967" t="s">
        <v>4385</v>
      </c>
      <c r="G1967" t="s">
        <v>4386</v>
      </c>
      <c r="H1967" t="s">
        <v>4387</v>
      </c>
      <c r="I1967" t="s">
        <v>494</v>
      </c>
    </row>
    <row r="1968" spans="1:9" x14ac:dyDescent="0.25">
      <c r="A1968" s="1" t="str">
        <f>HYPERLINK("https://lynxcrm-apac--c.eu19.visual.force.com/0011i000001xo1eAAA","Hsu, Pon Poh")</f>
        <v>Hsu, Pon Poh</v>
      </c>
      <c r="B1968" t="s">
        <v>4388</v>
      </c>
      <c r="C1968" t="s">
        <v>28</v>
      </c>
      <c r="D1968" t="s">
        <v>583</v>
      </c>
      <c r="E1968" t="s">
        <v>8</v>
      </c>
      <c r="F1968" t="s">
        <v>583</v>
      </c>
      <c r="G1968" t="s">
        <v>584</v>
      </c>
      <c r="H1968" t="s">
        <v>584</v>
      </c>
      <c r="I1968" t="s">
        <v>585</v>
      </c>
    </row>
    <row r="1969" spans="1:9" x14ac:dyDescent="0.25">
      <c r="A1969" s="1" t="str">
        <f>HYPERLINK("https://lynxcrm-apac--c.eu19.visual.force.com/0011i000001xo1eAAA","Hsu, Pon Poh")</f>
        <v>Hsu, Pon Poh</v>
      </c>
      <c r="B1969" t="s">
        <v>4388</v>
      </c>
      <c r="C1969" t="s">
        <v>28</v>
      </c>
      <c r="D1969" t="s">
        <v>514</v>
      </c>
      <c r="E1969" t="s">
        <v>8</v>
      </c>
      <c r="F1969" t="s">
        <v>584</v>
      </c>
      <c r="G1969" t="s">
        <v>583</v>
      </c>
      <c r="H1969" t="s">
        <v>583</v>
      </c>
      <c r="I1969" t="s">
        <v>585</v>
      </c>
    </row>
    <row r="1970" spans="1:9" x14ac:dyDescent="0.25">
      <c r="A1970" s="1" t="str">
        <f>HYPERLINK("https://lynxcrm-apac--c.eu19.visual.force.com/0011i000001xmyaAAA","Hsu Surgical Clinic")</f>
        <v>Hsu Surgical Clinic</v>
      </c>
      <c r="B1970" t="s">
        <v>4389</v>
      </c>
      <c r="C1970" t="s">
        <v>10</v>
      </c>
      <c r="D1970" t="s">
        <v>8</v>
      </c>
      <c r="E1970" t="s">
        <v>8</v>
      </c>
      <c r="F1970" t="s">
        <v>69</v>
      </c>
      <c r="G1970" t="s">
        <v>4390</v>
      </c>
      <c r="H1970" t="s">
        <v>4391</v>
      </c>
      <c r="I1970" t="s">
        <v>67</v>
      </c>
    </row>
    <row r="1971" spans="1:9" x14ac:dyDescent="0.25">
      <c r="A1971" s="1" t="str">
        <f>HYPERLINK("https://lynxcrm-apac--c.eu19.visual.force.com/0011i000001xonbAAA","Hu, Wen Wey")</f>
        <v>Hu, Wen Wey</v>
      </c>
      <c r="B1971" t="s">
        <v>4392</v>
      </c>
      <c r="C1971" t="s">
        <v>28</v>
      </c>
      <c r="D1971" t="s">
        <v>4393</v>
      </c>
      <c r="E1971" t="s">
        <v>8</v>
      </c>
      <c r="F1971" t="s">
        <v>4394</v>
      </c>
      <c r="G1971" t="s">
        <v>1642</v>
      </c>
      <c r="H1971" t="s">
        <v>4395</v>
      </c>
      <c r="I1971" t="s">
        <v>4396</v>
      </c>
    </row>
    <row r="1972" spans="1:9" x14ac:dyDescent="0.25">
      <c r="A1972" s="1" t="str">
        <f>HYPERLINK("https://lynxcrm-apac--c.eu19.visual.force.com/0011i000001xondAAA","Huan, Meng Wah")</f>
        <v>Huan, Meng Wah</v>
      </c>
      <c r="B1972" t="s">
        <v>4397</v>
      </c>
      <c r="C1972" t="s">
        <v>28</v>
      </c>
      <c r="D1972" t="s">
        <v>4398</v>
      </c>
      <c r="E1972" t="s">
        <v>8</v>
      </c>
      <c r="F1972" t="s">
        <v>4399</v>
      </c>
      <c r="G1972" t="s">
        <v>4400</v>
      </c>
      <c r="H1972" t="s">
        <v>4401</v>
      </c>
      <c r="I1972" t="s">
        <v>4402</v>
      </c>
    </row>
    <row r="1973" spans="1:9" x14ac:dyDescent="0.25">
      <c r="A1973" s="1" t="str">
        <f>HYPERLINK("https://lynxcrm-apac--c.eu19.visual.force.com/0011i000001xo1fAAA","Huan, Yu Min Pearl")</f>
        <v>Huan, Yu Min Pearl</v>
      </c>
      <c r="B1973" t="s">
        <v>4403</v>
      </c>
      <c r="C1973" t="s">
        <v>28</v>
      </c>
      <c r="D1973" t="s">
        <v>1127</v>
      </c>
      <c r="E1973" t="s">
        <v>8</v>
      </c>
      <c r="F1973" t="s">
        <v>1128</v>
      </c>
      <c r="G1973" t="s">
        <v>1126</v>
      </c>
      <c r="H1973" t="s">
        <v>1126</v>
      </c>
      <c r="I1973" t="s">
        <v>996</v>
      </c>
    </row>
    <row r="1974" spans="1:9" x14ac:dyDescent="0.25">
      <c r="A1974" s="1" t="str">
        <f>HYPERLINK("https://lynxcrm-apac--c.eu19.visual.force.com/0011i000001xnHEAAY","Huan Clinic")</f>
        <v>Huan Clinic</v>
      </c>
      <c r="B1974" t="s">
        <v>4404</v>
      </c>
      <c r="C1974" t="s">
        <v>10</v>
      </c>
      <c r="D1974" t="s">
        <v>8</v>
      </c>
      <c r="E1974" t="s">
        <v>8</v>
      </c>
      <c r="F1974" t="s">
        <v>4399</v>
      </c>
      <c r="G1974" t="s">
        <v>4400</v>
      </c>
      <c r="H1974" t="s">
        <v>4401</v>
      </c>
      <c r="I1974" t="s">
        <v>4402</v>
      </c>
    </row>
    <row r="1975" spans="1:9" x14ac:dyDescent="0.25">
      <c r="A1975" s="1" t="str">
        <f>HYPERLINK("https://lynxcrm-apac--c.eu19.visual.force.com/0011i000001xoNQAAY","Huang, Chia Yung Christopher")</f>
        <v>Huang, Chia Yung Christopher</v>
      </c>
      <c r="B1975" t="s">
        <v>4405</v>
      </c>
      <c r="C1975" t="s">
        <v>28</v>
      </c>
      <c r="D1975" t="s">
        <v>4406</v>
      </c>
      <c r="E1975" t="s">
        <v>8</v>
      </c>
      <c r="F1975" t="s">
        <v>4407</v>
      </c>
      <c r="G1975" t="s">
        <v>3429</v>
      </c>
      <c r="H1975" t="s">
        <v>4408</v>
      </c>
      <c r="I1975" t="s">
        <v>4409</v>
      </c>
    </row>
    <row r="1976" spans="1:9" x14ac:dyDescent="0.25">
      <c r="A1976" s="1" t="str">
        <f>HYPERLINK("https://lynxcrm-apac--c.eu19.visual.force.com/0011i000007DNM3AAO","Huang, Dhoni Siam Wei")</f>
        <v>Huang, Dhoni Siam Wei</v>
      </c>
      <c r="B1976" t="s">
        <v>4410</v>
      </c>
      <c r="C1976" t="s">
        <v>28</v>
      </c>
      <c r="D1976" t="s">
        <v>709</v>
      </c>
      <c r="E1976" t="s">
        <v>8</v>
      </c>
      <c r="F1976" t="s">
        <v>710</v>
      </c>
      <c r="G1976" t="s">
        <v>135</v>
      </c>
      <c r="H1976" t="s">
        <v>135</v>
      </c>
      <c r="I1976" t="s">
        <v>711</v>
      </c>
    </row>
    <row r="1977" spans="1:9" x14ac:dyDescent="0.25">
      <c r="A1977" s="1" t="str">
        <f>HYPERLINK("https://lynxcrm-apac--c.eu19.visual.force.com/0011i00000ugAiNAAU","Huang, Eugene")</f>
        <v>Huang, Eugene</v>
      </c>
      <c r="B1977" t="s">
        <v>4411</v>
      </c>
      <c r="C1977" t="s">
        <v>28</v>
      </c>
      <c r="D1977" t="s">
        <v>4412</v>
      </c>
      <c r="E1977" t="s">
        <v>8</v>
      </c>
      <c r="F1977" t="s">
        <v>321</v>
      </c>
      <c r="G1977" t="s">
        <v>322</v>
      </c>
      <c r="H1977" t="s">
        <v>8</v>
      </c>
      <c r="I1977" t="s">
        <v>323</v>
      </c>
    </row>
    <row r="1978" spans="1:9" x14ac:dyDescent="0.25">
      <c r="A1978" s="1" t="str">
        <f>HYPERLINK("https://lynxcrm-apac--c.eu19.visual.force.com/0011i000001xoniAAA","Huang, Shoou Chyuan")</f>
        <v>Huang, Shoou Chyuan</v>
      </c>
      <c r="B1978" t="s">
        <v>4413</v>
      </c>
      <c r="C1978" t="s">
        <v>28</v>
      </c>
      <c r="D1978" t="s">
        <v>4414</v>
      </c>
      <c r="E1978" t="s">
        <v>8</v>
      </c>
      <c r="F1978" t="s">
        <v>69</v>
      </c>
      <c r="G1978" t="s">
        <v>4415</v>
      </c>
      <c r="H1978" t="s">
        <v>4416</v>
      </c>
      <c r="I1978" t="s">
        <v>67</v>
      </c>
    </row>
    <row r="1979" spans="1:9" x14ac:dyDescent="0.25">
      <c r="A1979" s="1" t="str">
        <f>HYPERLINK("https://lynxcrm-apac--c.eu19.visual.force.com/0011i000001xoPHAAY","Huang, Sian Wei Djoni")</f>
        <v>Huang, Sian Wei Djoni</v>
      </c>
      <c r="B1979" t="s">
        <v>4417</v>
      </c>
      <c r="C1979" t="s">
        <v>28</v>
      </c>
      <c r="D1979" t="s">
        <v>1661</v>
      </c>
      <c r="E1979" t="s">
        <v>8</v>
      </c>
      <c r="F1979" t="s">
        <v>627</v>
      </c>
      <c r="G1979" t="s">
        <v>628</v>
      </c>
      <c r="H1979" t="s">
        <v>628</v>
      </c>
      <c r="I1979" t="s">
        <v>624</v>
      </c>
    </row>
    <row r="1980" spans="1:9" x14ac:dyDescent="0.25">
      <c r="A1980" s="1" t="str">
        <f>HYPERLINK("https://lynxcrm-apac--c.eu19.visual.force.com/0011i000001xngNAAQ","Huang, Wei Ting")</f>
        <v>Huang, Wei Ting</v>
      </c>
      <c r="B1980" t="s">
        <v>4418</v>
      </c>
      <c r="C1980" t="s">
        <v>28</v>
      </c>
      <c r="D1980" t="s">
        <v>449</v>
      </c>
      <c r="E1980" t="s">
        <v>8</v>
      </c>
      <c r="F1980" t="s">
        <v>450</v>
      </c>
      <c r="G1980" t="s">
        <v>449</v>
      </c>
      <c r="H1980" t="s">
        <v>449</v>
      </c>
      <c r="I1980" t="s">
        <v>451</v>
      </c>
    </row>
    <row r="1981" spans="1:9" x14ac:dyDescent="0.25">
      <c r="A1981" s="1" t="str">
        <f>HYPERLINK("https://lynxcrm-apac--c.eu19.visual.force.com/0011i000001xngNAAQ","Huang, Wei Ting")</f>
        <v>Huang, Wei Ting</v>
      </c>
      <c r="B1981" t="s">
        <v>4418</v>
      </c>
      <c r="C1981" t="s">
        <v>28</v>
      </c>
      <c r="D1981" t="s">
        <v>449</v>
      </c>
      <c r="E1981" t="s">
        <v>8</v>
      </c>
      <c r="F1981" t="s">
        <v>234</v>
      </c>
      <c r="G1981" t="s">
        <v>452</v>
      </c>
      <c r="H1981" t="s">
        <v>453</v>
      </c>
      <c r="I1981" t="s">
        <v>454</v>
      </c>
    </row>
    <row r="1982" spans="1:9" x14ac:dyDescent="0.25">
      <c r="A1982" s="1" t="str">
        <f>HYPERLINK("https://lynxcrm-apac--c.eu19.visual.force.com/0011i000001xoUnAAI","Huang, Yi Jun")</f>
        <v>Huang, Yi Jun</v>
      </c>
      <c r="B1982" t="s">
        <v>4419</v>
      </c>
      <c r="C1982" t="s">
        <v>28</v>
      </c>
      <c r="D1982" t="s">
        <v>251</v>
      </c>
      <c r="E1982" t="s">
        <v>8</v>
      </c>
      <c r="F1982" t="s">
        <v>251</v>
      </c>
      <c r="G1982" t="s">
        <v>252</v>
      </c>
      <c r="H1982" t="s">
        <v>252</v>
      </c>
      <c r="I1982" t="s">
        <v>253</v>
      </c>
    </row>
    <row r="1983" spans="1:9" x14ac:dyDescent="0.25">
      <c r="A1983" s="1" t="str">
        <f>HYPERLINK("https://lynxcrm-apac--c.eu19.visual.force.com/0011i00000Xf1HIAAZ","Huang, Yiqing")</f>
        <v>Huang, Yiqing</v>
      </c>
      <c r="B1983" t="s">
        <v>4420</v>
      </c>
      <c r="C1983" t="s">
        <v>28</v>
      </c>
      <c r="D1983" t="s">
        <v>429</v>
      </c>
      <c r="E1983" t="s">
        <v>8</v>
      </c>
      <c r="F1983" t="s">
        <v>594</v>
      </c>
      <c r="G1983" t="s">
        <v>595</v>
      </c>
      <c r="H1983" t="s">
        <v>8</v>
      </c>
      <c r="I1983" t="s">
        <v>596</v>
      </c>
    </row>
    <row r="1984" spans="1:9" x14ac:dyDescent="0.25">
      <c r="A1984" s="1" t="str">
        <f>HYPERLINK("https://lynxcrm-apac--c.eu19.visual.force.com/0011i000001xoNvAAI","Huang, Yuen Chin")</f>
        <v>Huang, Yuen Chin</v>
      </c>
      <c r="B1984" t="s">
        <v>4421</v>
      </c>
      <c r="C1984" t="s">
        <v>28</v>
      </c>
      <c r="D1984" t="s">
        <v>4422</v>
      </c>
      <c r="E1984" t="s">
        <v>8</v>
      </c>
      <c r="F1984" t="s">
        <v>4423</v>
      </c>
      <c r="G1984" t="s">
        <v>4424</v>
      </c>
      <c r="H1984" t="s">
        <v>4425</v>
      </c>
      <c r="I1984" t="s">
        <v>3792</v>
      </c>
    </row>
    <row r="1985" spans="1:9" x14ac:dyDescent="0.25">
      <c r="A1985" s="1" t="str">
        <f>HYPERLINK("https://lynxcrm-apac--c.eu19.visual.force.com/0011i000001xorvAAA","Huang, Zi Juan")</f>
        <v>Huang, Zi Juan</v>
      </c>
      <c r="B1985" t="s">
        <v>4426</v>
      </c>
      <c r="C1985" t="s">
        <v>28</v>
      </c>
      <c r="D1985" t="s">
        <v>1486</v>
      </c>
      <c r="E1985" t="s">
        <v>8</v>
      </c>
      <c r="F1985" t="s">
        <v>1486</v>
      </c>
      <c r="G1985" t="s">
        <v>1487</v>
      </c>
      <c r="H1985" t="s">
        <v>1487</v>
      </c>
      <c r="I1985" t="s">
        <v>1488</v>
      </c>
    </row>
    <row r="1986" spans="1:9" x14ac:dyDescent="0.25">
      <c r="A1986" s="1" t="str">
        <f>HYPERLINK("https://lynxcrm-apac--c.eu19.visual.force.com/0011i000001xmhqAAA","Huang Ear Nose &amp; Throat Surgery Pte Ltd")</f>
        <v>Huang Ear Nose &amp; Throat Surgery Pte Ltd</v>
      </c>
      <c r="B1986" t="s">
        <v>4427</v>
      </c>
      <c r="C1986" t="s">
        <v>10</v>
      </c>
      <c r="D1986" t="s">
        <v>8</v>
      </c>
      <c r="E1986" t="s">
        <v>8</v>
      </c>
      <c r="F1986" t="s">
        <v>69</v>
      </c>
      <c r="G1986" t="s">
        <v>4415</v>
      </c>
      <c r="H1986" t="s">
        <v>4416</v>
      </c>
      <c r="I1986" t="s">
        <v>67</v>
      </c>
    </row>
    <row r="1987" spans="1:9" x14ac:dyDescent="0.25">
      <c r="A1987" s="1" t="str">
        <f>HYPERLINK("https://lynxcrm-apac--c.eu19.visual.force.com/0011i000001xn9vAAA","HUB Medical Drugstore")</f>
        <v>HUB Medical Drugstore</v>
      </c>
      <c r="B1987" t="s">
        <v>4428</v>
      </c>
      <c r="C1987" t="s">
        <v>10</v>
      </c>
      <c r="D1987" t="s">
        <v>8</v>
      </c>
      <c r="E1987" t="s">
        <v>8</v>
      </c>
      <c r="F1987" t="s">
        <v>3012</v>
      </c>
      <c r="G1987" t="s">
        <v>3013</v>
      </c>
      <c r="H1987" t="s">
        <v>3013</v>
      </c>
      <c r="I1987" t="s">
        <v>3014</v>
      </c>
    </row>
    <row r="1988" spans="1:9" x14ac:dyDescent="0.25">
      <c r="A1988" s="1" t="str">
        <f>HYPERLINK("https://lynxcrm-apac--c.eu19.visual.force.com/0011i000001xoUIAAY","Hui, J Y Richard")</f>
        <v>Hui, J Y Richard</v>
      </c>
      <c r="B1988" t="s">
        <v>4429</v>
      </c>
      <c r="C1988" t="s">
        <v>28</v>
      </c>
      <c r="D1988" t="s">
        <v>520</v>
      </c>
      <c r="E1988" t="s">
        <v>8</v>
      </c>
      <c r="F1988" t="s">
        <v>90</v>
      </c>
      <c r="G1988" t="s">
        <v>521</v>
      </c>
      <c r="H1988" t="s">
        <v>521</v>
      </c>
      <c r="I1988" t="s">
        <v>92</v>
      </c>
    </row>
    <row r="1989" spans="1:9" x14ac:dyDescent="0.25">
      <c r="A1989" s="1" t="str">
        <f t="shared" ref="A1989:A1994" si="15">HYPERLINK("https://lynxcrm-apac--c.eu19.visual.force.com/0011i00000nIBHVAA4","Hui Chia, Wee")</f>
        <v>Hui Chia, Wee</v>
      </c>
      <c r="B1989" t="s">
        <v>4430</v>
      </c>
      <c r="C1989" t="s">
        <v>28</v>
      </c>
      <c r="D1989" t="s">
        <v>501</v>
      </c>
      <c r="E1989" t="s">
        <v>8</v>
      </c>
      <c r="F1989" t="s">
        <v>502</v>
      </c>
      <c r="G1989" t="s">
        <v>502</v>
      </c>
      <c r="H1989" t="s">
        <v>503</v>
      </c>
      <c r="I1989" t="s">
        <v>504</v>
      </c>
    </row>
    <row r="1990" spans="1:9" x14ac:dyDescent="0.25">
      <c r="A1990" s="1" t="str">
        <f t="shared" si="15"/>
        <v>Hui Chia, Wee</v>
      </c>
      <c r="B1990" t="s">
        <v>4430</v>
      </c>
      <c r="C1990" t="s">
        <v>28</v>
      </c>
      <c r="D1990" t="s">
        <v>501</v>
      </c>
      <c r="E1990" t="s">
        <v>8</v>
      </c>
      <c r="F1990" t="s">
        <v>246</v>
      </c>
      <c r="G1990" t="s">
        <v>502</v>
      </c>
      <c r="H1990" t="s">
        <v>503</v>
      </c>
      <c r="I1990" t="s">
        <v>504</v>
      </c>
    </row>
    <row r="1991" spans="1:9" x14ac:dyDescent="0.25">
      <c r="A1991" s="1" t="str">
        <f t="shared" si="15"/>
        <v>Hui Chia, Wee</v>
      </c>
      <c r="B1991" t="s">
        <v>4430</v>
      </c>
      <c r="C1991" t="s">
        <v>28</v>
      </c>
      <c r="D1991" t="s">
        <v>501</v>
      </c>
      <c r="E1991" t="s">
        <v>8</v>
      </c>
      <c r="F1991" t="s">
        <v>246</v>
      </c>
      <c r="G1991" t="s">
        <v>502</v>
      </c>
      <c r="H1991" t="s">
        <v>503</v>
      </c>
      <c r="I1991" t="s">
        <v>505</v>
      </c>
    </row>
    <row r="1992" spans="1:9" x14ac:dyDescent="0.25">
      <c r="A1992" s="1" t="str">
        <f t="shared" si="15"/>
        <v>Hui Chia, Wee</v>
      </c>
      <c r="B1992" t="s">
        <v>4430</v>
      </c>
      <c r="C1992" t="s">
        <v>28</v>
      </c>
      <c r="D1992" t="s">
        <v>501</v>
      </c>
      <c r="E1992" t="s">
        <v>8</v>
      </c>
      <c r="F1992" t="s">
        <v>501</v>
      </c>
      <c r="G1992" t="s">
        <v>502</v>
      </c>
      <c r="H1992" t="s">
        <v>502</v>
      </c>
      <c r="I1992" t="s">
        <v>506</v>
      </c>
    </row>
    <row r="1993" spans="1:9" x14ac:dyDescent="0.25">
      <c r="A1993" s="1" t="str">
        <f t="shared" si="15"/>
        <v>Hui Chia, Wee</v>
      </c>
      <c r="B1993" t="s">
        <v>4430</v>
      </c>
      <c r="C1993" t="s">
        <v>28</v>
      </c>
      <c r="D1993" t="s">
        <v>501</v>
      </c>
      <c r="E1993" t="s">
        <v>8</v>
      </c>
      <c r="F1993" t="s">
        <v>234</v>
      </c>
      <c r="G1993" t="s">
        <v>502</v>
      </c>
      <c r="H1993" t="s">
        <v>503</v>
      </c>
      <c r="I1993" t="s">
        <v>504</v>
      </c>
    </row>
    <row r="1994" spans="1:9" x14ac:dyDescent="0.25">
      <c r="A1994" s="1" t="str">
        <f t="shared" si="15"/>
        <v>Hui Chia, Wee</v>
      </c>
      <c r="B1994" t="s">
        <v>4430</v>
      </c>
      <c r="C1994" t="s">
        <v>28</v>
      </c>
      <c r="D1994" t="s">
        <v>501</v>
      </c>
      <c r="E1994" t="s">
        <v>8</v>
      </c>
      <c r="F1994" t="s">
        <v>359</v>
      </c>
      <c r="G1994" t="s">
        <v>502</v>
      </c>
      <c r="H1994" t="s">
        <v>503</v>
      </c>
      <c r="I1994" t="s">
        <v>506</v>
      </c>
    </row>
    <row r="1995" spans="1:9" x14ac:dyDescent="0.25">
      <c r="A1995" s="1" t="str">
        <f>HYPERLINK("https://lynxcrm-apac--c.eu19.visual.force.com/0011i000001xobfAAA","Hwang, Chie Hong")</f>
        <v>Hwang, Chie Hong</v>
      </c>
      <c r="B1995" t="s">
        <v>4431</v>
      </c>
      <c r="C1995" t="s">
        <v>28</v>
      </c>
      <c r="D1995" t="s">
        <v>335</v>
      </c>
      <c r="E1995" t="s">
        <v>8</v>
      </c>
      <c r="F1995" t="s">
        <v>336</v>
      </c>
      <c r="G1995" t="s">
        <v>337</v>
      </c>
      <c r="H1995" t="s">
        <v>337</v>
      </c>
      <c r="I1995" t="s">
        <v>338</v>
      </c>
    </row>
    <row r="1996" spans="1:9" x14ac:dyDescent="0.25">
      <c r="A1996" s="1" t="str">
        <f>HYPERLINK("https://lynxcrm-apac--c.eu19.visual.force.com/0011i000001xobfAAA","Hwang, Chie Hong")</f>
        <v>Hwang, Chie Hong</v>
      </c>
      <c r="B1996" t="s">
        <v>4431</v>
      </c>
      <c r="C1996" t="s">
        <v>28</v>
      </c>
      <c r="D1996" t="s">
        <v>339</v>
      </c>
      <c r="E1996" t="s">
        <v>8</v>
      </c>
      <c r="F1996" t="s">
        <v>337</v>
      </c>
      <c r="G1996" t="s">
        <v>335</v>
      </c>
      <c r="H1996" t="s">
        <v>335</v>
      </c>
      <c r="I1996" t="s">
        <v>338</v>
      </c>
    </row>
    <row r="1997" spans="1:9" x14ac:dyDescent="0.25">
      <c r="A1997" s="1" t="str">
        <f>HYPERLINK("https://lynxcrm-apac--c.eu19.visual.force.com/0011i000001xo33AAA","Hwang, Ern Huei Joel")</f>
        <v>Hwang, Ern Huei Joel</v>
      </c>
      <c r="B1997" t="s">
        <v>4432</v>
      </c>
      <c r="C1997" t="s">
        <v>28</v>
      </c>
      <c r="D1997" t="s">
        <v>545</v>
      </c>
      <c r="E1997" t="s">
        <v>8</v>
      </c>
      <c r="F1997" t="s">
        <v>844</v>
      </c>
      <c r="G1997" t="s">
        <v>845</v>
      </c>
      <c r="H1997" t="s">
        <v>846</v>
      </c>
      <c r="I1997" t="s">
        <v>847</v>
      </c>
    </row>
    <row r="1998" spans="1:9" x14ac:dyDescent="0.25">
      <c r="A1998" s="1" t="str">
        <f>HYPERLINK("https://lynxcrm-apac--c.eu19.visual.force.com/0011i000001xoF4AAI","Hwang, Siew Wai")</f>
        <v>Hwang, Siew Wai</v>
      </c>
      <c r="B1998" t="s">
        <v>4433</v>
      </c>
      <c r="C1998" t="s">
        <v>28</v>
      </c>
      <c r="D1998" t="s">
        <v>1126</v>
      </c>
      <c r="E1998" t="s">
        <v>8</v>
      </c>
      <c r="F1998" t="s">
        <v>1127</v>
      </c>
      <c r="G1998" t="s">
        <v>1128</v>
      </c>
      <c r="H1998" t="s">
        <v>1128</v>
      </c>
      <c r="I1998" t="s">
        <v>996</v>
      </c>
    </row>
    <row r="1999" spans="1:9" x14ac:dyDescent="0.25">
      <c r="A1999" s="1" t="str">
        <f>HYPERLINK("https://lynxcrm-apac--c.eu19.visual.force.com/0011i000001xoElAAI","Hwang, Siew Yoong Jason")</f>
        <v>Hwang, Siew Yoong Jason</v>
      </c>
      <c r="B1999" t="s">
        <v>4434</v>
      </c>
      <c r="C1999" t="s">
        <v>28</v>
      </c>
      <c r="D1999" t="s">
        <v>583</v>
      </c>
      <c r="E1999" t="s">
        <v>8</v>
      </c>
      <c r="F1999" t="s">
        <v>583</v>
      </c>
      <c r="G1999" t="s">
        <v>584</v>
      </c>
      <c r="H1999" t="s">
        <v>584</v>
      </c>
      <c r="I1999" t="s">
        <v>585</v>
      </c>
    </row>
    <row r="2000" spans="1:9" x14ac:dyDescent="0.25">
      <c r="A2000" s="1" t="str">
        <f>HYPERLINK("https://lynxcrm-apac--c.eu19.visual.force.com/0011i000001xoElAAI","Hwang, Siew Yoong Jason")</f>
        <v>Hwang, Siew Yoong Jason</v>
      </c>
      <c r="B2000" t="s">
        <v>4434</v>
      </c>
      <c r="C2000" t="s">
        <v>28</v>
      </c>
      <c r="D2000" t="s">
        <v>583</v>
      </c>
      <c r="E2000" t="s">
        <v>8</v>
      </c>
      <c r="F2000" t="s">
        <v>4435</v>
      </c>
      <c r="G2000" t="s">
        <v>584</v>
      </c>
      <c r="H2000" t="s">
        <v>1320</v>
      </c>
      <c r="I2000" t="s">
        <v>585</v>
      </c>
    </row>
    <row r="2001" spans="1:9" x14ac:dyDescent="0.25">
      <c r="A2001" s="1" t="str">
        <f>HYPERLINK("https://lynxcrm-apac--c.eu19.visual.force.com/0011i000001xoMYAAY","Hwang, Teng Ben Winston")</f>
        <v>Hwang, Teng Ben Winston</v>
      </c>
      <c r="B2001" t="s">
        <v>4436</v>
      </c>
      <c r="C2001" t="s">
        <v>28</v>
      </c>
      <c r="D2001" t="s">
        <v>4437</v>
      </c>
      <c r="E2001" t="s">
        <v>8</v>
      </c>
      <c r="F2001" t="s">
        <v>4438</v>
      </c>
      <c r="G2001" t="s">
        <v>16</v>
      </c>
      <c r="H2001" t="s">
        <v>4439</v>
      </c>
      <c r="I2001" t="s">
        <v>4440</v>
      </c>
    </row>
    <row r="2002" spans="1:9" x14ac:dyDescent="0.25">
      <c r="A2002" s="1" t="str">
        <f>HYPERLINK("https://lynxcrm-apac--c.eu19.visual.force.com/0011i000001xmu8AAA","Hwang &amp; Liang Family Clinic &amp; Surgery")</f>
        <v>Hwang &amp; Liang Family Clinic &amp; Surgery</v>
      </c>
      <c r="B2002" t="s">
        <v>4441</v>
      </c>
      <c r="C2002" t="s">
        <v>10</v>
      </c>
      <c r="D2002" t="s">
        <v>8</v>
      </c>
      <c r="E2002" t="s">
        <v>8</v>
      </c>
      <c r="F2002" t="s">
        <v>4438</v>
      </c>
      <c r="G2002" t="s">
        <v>16</v>
      </c>
      <c r="H2002" t="s">
        <v>4439</v>
      </c>
      <c r="I2002" t="s">
        <v>4440</v>
      </c>
    </row>
    <row r="2003" spans="1:9" x14ac:dyDescent="0.25">
      <c r="A2003" s="1" t="str">
        <f>HYPERLINK("https://lynxcrm-apac--c.eu19.visual.force.com/0011i00000tXmf7AAC","Icon Cancer Centre")</f>
        <v>Icon Cancer Centre</v>
      </c>
      <c r="B2003" t="s">
        <v>4442</v>
      </c>
      <c r="C2003" t="s">
        <v>10</v>
      </c>
      <c r="D2003" t="s">
        <v>8</v>
      </c>
      <c r="E2003" t="s">
        <v>8</v>
      </c>
      <c r="F2003" t="s">
        <v>4443</v>
      </c>
      <c r="G2003" t="s">
        <v>4444</v>
      </c>
      <c r="H2003" t="s">
        <v>8</v>
      </c>
      <c r="I2003" t="s">
        <v>344</v>
      </c>
    </row>
    <row r="2004" spans="1:9" x14ac:dyDescent="0.25">
      <c r="A2004" s="1" t="str">
        <f>HYPERLINK("https://lynxcrm-apac--c.eu19.visual.force.com/0011i00000Xf13yAAB","Icon Cancer CENTRE")</f>
        <v>Icon Cancer CENTRE</v>
      </c>
      <c r="B2004" t="s">
        <v>4445</v>
      </c>
      <c r="C2004" t="s">
        <v>10</v>
      </c>
      <c r="D2004" t="s">
        <v>8</v>
      </c>
      <c r="E2004" t="s">
        <v>8</v>
      </c>
      <c r="F2004" t="s">
        <v>4446</v>
      </c>
      <c r="G2004" t="s">
        <v>388</v>
      </c>
      <c r="H2004" t="s">
        <v>8</v>
      </c>
      <c r="I2004" t="s">
        <v>123</v>
      </c>
    </row>
    <row r="2005" spans="1:9" x14ac:dyDescent="0.25">
      <c r="A2005" s="1" t="str">
        <f>HYPERLINK("https://lynxcrm-apac--c.eu19.visual.force.com/0011i00000Xf140AAB","Icon Cancer CNTRE")</f>
        <v>Icon Cancer CNTRE</v>
      </c>
      <c r="B2005" t="s">
        <v>4447</v>
      </c>
      <c r="C2005" t="s">
        <v>10</v>
      </c>
      <c r="D2005" t="s">
        <v>8</v>
      </c>
      <c r="E2005" t="s">
        <v>8</v>
      </c>
      <c r="F2005" t="s">
        <v>4448</v>
      </c>
      <c r="G2005" t="s">
        <v>65</v>
      </c>
      <c r="H2005" t="s">
        <v>8</v>
      </c>
      <c r="I2005" t="s">
        <v>67</v>
      </c>
    </row>
    <row r="2006" spans="1:9" x14ac:dyDescent="0.25">
      <c r="A2006" s="1" t="str">
        <f>HYPERLINK("https://lynxcrm-apac--c.eu19.visual.force.com/0011i00000Xf141AAB","Icon Cancer CTRE")</f>
        <v>Icon Cancer CTRE</v>
      </c>
      <c r="B2006" t="s">
        <v>4449</v>
      </c>
      <c r="C2006" t="s">
        <v>10</v>
      </c>
      <c r="D2006" t="s">
        <v>8</v>
      </c>
      <c r="E2006" t="s">
        <v>8</v>
      </c>
      <c r="F2006" t="s">
        <v>4450</v>
      </c>
      <c r="G2006" t="s">
        <v>569</v>
      </c>
      <c r="H2006" t="s">
        <v>8</v>
      </c>
      <c r="I2006" t="s">
        <v>344</v>
      </c>
    </row>
    <row r="2007" spans="1:9" x14ac:dyDescent="0.25">
      <c r="A2007" s="1" t="str">
        <f>HYPERLINK("https://lynxcrm-apac--c.eu19.visual.force.com/0011i000001xoiVAAQ","Iddross")</f>
        <v>Iddross</v>
      </c>
      <c r="B2007" t="s">
        <v>4451</v>
      </c>
      <c r="C2007" t="s">
        <v>28</v>
      </c>
      <c r="D2007" t="s">
        <v>1274</v>
      </c>
      <c r="E2007" t="s">
        <v>8</v>
      </c>
      <c r="F2007" t="s">
        <v>449</v>
      </c>
      <c r="G2007" t="s">
        <v>4452</v>
      </c>
      <c r="H2007" t="s">
        <v>4452</v>
      </c>
      <c r="I2007" t="s">
        <v>454</v>
      </c>
    </row>
    <row r="2008" spans="1:9" x14ac:dyDescent="0.25">
      <c r="A2008" s="1" t="str">
        <f>HYPERLINK("https://lynxcrm-apac--c.eu19.visual.force.com/0011i000001xmf9AAA","Immanuel Ctr for Internal Medicine")</f>
        <v>Immanuel Ctr for Internal Medicine</v>
      </c>
      <c r="B2008" t="s">
        <v>4453</v>
      </c>
      <c r="C2008" t="s">
        <v>10</v>
      </c>
      <c r="D2008" t="s">
        <v>8</v>
      </c>
      <c r="E2008" t="s">
        <v>8</v>
      </c>
      <c r="F2008" t="s">
        <v>1838</v>
      </c>
      <c r="G2008" t="s">
        <v>4454</v>
      </c>
      <c r="H2008" t="s">
        <v>4454</v>
      </c>
      <c r="I2008" t="s">
        <v>344</v>
      </c>
    </row>
    <row r="2009" spans="1:9" x14ac:dyDescent="0.25">
      <c r="A2009" s="1" t="str">
        <f>HYPERLINK("https://lynxcrm-apac--c.eu19.visual.force.com/0011i000001xnZXAAY","IM Medical Specialist")</f>
        <v>IM Medical Specialist</v>
      </c>
      <c r="B2009" t="s">
        <v>4455</v>
      </c>
      <c r="C2009" t="s">
        <v>10</v>
      </c>
      <c r="D2009" t="s">
        <v>8</v>
      </c>
      <c r="E2009" t="s">
        <v>8</v>
      </c>
      <c r="F2009" t="s">
        <v>2355</v>
      </c>
      <c r="G2009" t="s">
        <v>4456</v>
      </c>
      <c r="H2009" t="s">
        <v>4456</v>
      </c>
      <c r="I2009" t="s">
        <v>2357</v>
      </c>
    </row>
    <row r="2010" spans="1:9" x14ac:dyDescent="0.25">
      <c r="A2010" s="1" t="str">
        <f>HYPERLINK("https://lynxcrm-apac--c.eu19.visual.force.com/0011i000001xoKRAAY","Imran, Ali")</f>
        <v>Imran, Ali</v>
      </c>
      <c r="B2010" t="s">
        <v>4457</v>
      </c>
      <c r="C2010" t="s">
        <v>28</v>
      </c>
      <c r="D2010" t="s">
        <v>545</v>
      </c>
      <c r="E2010" t="s">
        <v>8</v>
      </c>
      <c r="F2010" t="s">
        <v>546</v>
      </c>
      <c r="G2010" t="s">
        <v>547</v>
      </c>
      <c r="H2010" t="s">
        <v>547</v>
      </c>
      <c r="I2010" t="s">
        <v>548</v>
      </c>
    </row>
    <row r="2011" spans="1:9" x14ac:dyDescent="0.25">
      <c r="A2011" s="1" t="str">
        <f>HYPERLINK("https://lynxcrm-apac--c.eu19.visual.force.com/0011i000001xnL7AAI","Imran Nawaz Surgery")</f>
        <v>Imran Nawaz Surgery</v>
      </c>
      <c r="B2011" t="s">
        <v>4458</v>
      </c>
      <c r="C2011" t="s">
        <v>10</v>
      </c>
      <c r="D2011" t="s">
        <v>8</v>
      </c>
      <c r="E2011" t="s">
        <v>8</v>
      </c>
      <c r="F2011" t="s">
        <v>781</v>
      </c>
      <c r="G2011" t="s">
        <v>4459</v>
      </c>
      <c r="H2011" t="s">
        <v>4459</v>
      </c>
      <c r="I2011" t="s">
        <v>784</v>
      </c>
    </row>
    <row r="2012" spans="1:9" x14ac:dyDescent="0.25">
      <c r="A2012" s="1" t="str">
        <f>HYPERLINK("https://lynxcrm-apac--c.eu19.visual.force.com/0011i000001xnxeAAA","Imsirovic, Manik Mary Romayne")</f>
        <v>Imsirovic, Manik Mary Romayne</v>
      </c>
      <c r="B2012" t="s">
        <v>4460</v>
      </c>
      <c r="C2012" t="s">
        <v>28</v>
      </c>
      <c r="D2012" t="s">
        <v>4461</v>
      </c>
      <c r="E2012" t="s">
        <v>8</v>
      </c>
      <c r="F2012" t="s">
        <v>679</v>
      </c>
      <c r="G2012" t="s">
        <v>3490</v>
      </c>
      <c r="H2012" t="s">
        <v>3491</v>
      </c>
      <c r="I2012" t="s">
        <v>115</v>
      </c>
    </row>
    <row r="2013" spans="1:9" x14ac:dyDescent="0.25">
      <c r="A2013" s="1" t="str">
        <f>HYPERLINK("https://lynxcrm-apac--c.eu19.visual.force.com/0011i000001xoPGAAY","Inagandha, Radha")</f>
        <v>Inagandha, Radha</v>
      </c>
      <c r="B2013" t="s">
        <v>4462</v>
      </c>
      <c r="C2013" t="s">
        <v>28</v>
      </c>
      <c r="D2013" t="s">
        <v>335</v>
      </c>
      <c r="E2013" t="s">
        <v>8</v>
      </c>
      <c r="F2013" t="s">
        <v>336</v>
      </c>
      <c r="G2013" t="s">
        <v>337</v>
      </c>
      <c r="H2013" t="s">
        <v>337</v>
      </c>
      <c r="I2013" t="s">
        <v>338</v>
      </c>
    </row>
    <row r="2014" spans="1:9" x14ac:dyDescent="0.25">
      <c r="A2014" s="1" t="str">
        <f>HYPERLINK("https://lynxcrm-apac--c.eu19.visual.force.com/0011i000001xoPGAAY","Inagandha, Radha")</f>
        <v>Inagandha, Radha</v>
      </c>
      <c r="B2014" t="s">
        <v>4462</v>
      </c>
      <c r="C2014" t="s">
        <v>28</v>
      </c>
      <c r="D2014" t="s">
        <v>339</v>
      </c>
      <c r="E2014" t="s">
        <v>8</v>
      </c>
      <c r="F2014" t="s">
        <v>337</v>
      </c>
      <c r="G2014" t="s">
        <v>335</v>
      </c>
      <c r="H2014" t="s">
        <v>335</v>
      </c>
      <c r="I2014" t="s">
        <v>338</v>
      </c>
    </row>
    <row r="2015" spans="1:9" x14ac:dyDescent="0.25">
      <c r="A2015" s="1" t="str">
        <f>HYPERLINK("https://lynxcrm-apac--c.eu19.visual.force.com/0011i000001xnccAAA","Indus Clinic")</f>
        <v>Indus Clinic</v>
      </c>
      <c r="B2015" t="s">
        <v>4463</v>
      </c>
      <c r="C2015" t="s">
        <v>10</v>
      </c>
      <c r="D2015" t="s">
        <v>8</v>
      </c>
      <c r="E2015" t="s">
        <v>8</v>
      </c>
      <c r="F2015" t="s">
        <v>4464</v>
      </c>
      <c r="G2015" t="s">
        <v>4465</v>
      </c>
      <c r="H2015" t="s">
        <v>4466</v>
      </c>
      <c r="I2015" t="s">
        <v>4467</v>
      </c>
    </row>
    <row r="2016" spans="1:9" x14ac:dyDescent="0.25">
      <c r="A2016" s="1" t="str">
        <f>HYPERLINK("https://lynxcrm-apac--c.eu19.visual.force.com/0011i000001xmmaAAA","Inez Psychological Well Being Clinic")</f>
        <v>Inez Psychological Well Being Clinic</v>
      </c>
      <c r="B2016" t="s">
        <v>4468</v>
      </c>
      <c r="C2016" t="s">
        <v>10</v>
      </c>
      <c r="D2016" t="s">
        <v>8</v>
      </c>
      <c r="E2016" t="s">
        <v>8</v>
      </c>
      <c r="F2016" t="s">
        <v>4469</v>
      </c>
      <c r="G2016" t="s">
        <v>4470</v>
      </c>
      <c r="H2016" t="s">
        <v>4470</v>
      </c>
      <c r="I2016" t="s">
        <v>4471</v>
      </c>
    </row>
    <row r="2017" spans="1:9" x14ac:dyDescent="0.25">
      <c r="A2017" s="1" t="str">
        <f>HYPERLINK("https://lynxcrm-apac--c.eu19.visual.force.com/0011i000001xn3pAAA","Infection &amp; Vaccination Consultants")</f>
        <v>Infection &amp; Vaccination Consultants</v>
      </c>
      <c r="B2017" t="s">
        <v>4472</v>
      </c>
      <c r="C2017" t="s">
        <v>10</v>
      </c>
      <c r="D2017" t="s">
        <v>8</v>
      </c>
      <c r="E2017" t="s">
        <v>8</v>
      </c>
      <c r="F2017" t="s">
        <v>377</v>
      </c>
      <c r="G2017" t="s">
        <v>4473</v>
      </c>
      <c r="H2017" t="s">
        <v>4473</v>
      </c>
      <c r="I2017" t="s">
        <v>123</v>
      </c>
    </row>
    <row r="2018" spans="1:9" x14ac:dyDescent="0.25">
      <c r="A2018" s="1" t="str">
        <f>HYPERLINK("https://lynxcrm-apac--c.eu19.visual.force.com/0011i000001xms6AAA","Infectious Disease Partners Pte Ltd")</f>
        <v>Infectious Disease Partners Pte Ltd</v>
      </c>
      <c r="B2018" t="s">
        <v>4474</v>
      </c>
      <c r="C2018" t="s">
        <v>10</v>
      </c>
      <c r="D2018" t="s">
        <v>8</v>
      </c>
      <c r="E2018" t="s">
        <v>8</v>
      </c>
      <c r="F2018" t="s">
        <v>69</v>
      </c>
      <c r="G2018" t="s">
        <v>4475</v>
      </c>
      <c r="H2018" t="s">
        <v>4476</v>
      </c>
      <c r="I2018" t="s">
        <v>67</v>
      </c>
    </row>
    <row r="2019" spans="1:9" x14ac:dyDescent="0.25">
      <c r="A2019" s="1" t="str">
        <f>HYPERLINK("https://lynxcrm-apac--c.eu19.visual.force.com/0011i000001xnVjAAI","Institute of Health, Level 2")</f>
        <v>Institute of Health, Level 2</v>
      </c>
      <c r="B2019" t="s">
        <v>4477</v>
      </c>
      <c r="C2019" t="s">
        <v>10</v>
      </c>
      <c r="D2019" t="s">
        <v>8</v>
      </c>
      <c r="E2019" t="s">
        <v>8</v>
      </c>
      <c r="F2019" t="s">
        <v>753</v>
      </c>
      <c r="G2019" t="s">
        <v>753</v>
      </c>
      <c r="H2019" t="s">
        <v>8</v>
      </c>
      <c r="I2019" t="s">
        <v>137</v>
      </c>
    </row>
    <row r="2020" spans="1:9" x14ac:dyDescent="0.25">
      <c r="A2020" s="1" t="str">
        <f>HYPERLINK("https://lynxcrm-apac--c.eu19.visual.force.com/0011i000001xmnsAAA","Institute of Mental Health")</f>
        <v>Institute of Mental Health</v>
      </c>
      <c r="B2020" t="s">
        <v>4478</v>
      </c>
      <c r="C2020" t="s">
        <v>10</v>
      </c>
      <c r="D2020" t="s">
        <v>8</v>
      </c>
      <c r="E2020" t="s">
        <v>8</v>
      </c>
      <c r="F2020" t="s">
        <v>1887</v>
      </c>
      <c r="G2020" t="s">
        <v>816</v>
      </c>
      <c r="H2020" t="s">
        <v>1888</v>
      </c>
      <c r="I2020" t="s">
        <v>817</v>
      </c>
    </row>
    <row r="2021" spans="1:9" x14ac:dyDescent="0.25">
      <c r="A2021" s="1" t="str">
        <f>HYPERLINK("https://lynxcrm-apac--c.eu19.visual.force.com/0011i000001xnUJAAY","Institute of Mental Health")</f>
        <v>Institute of Mental Health</v>
      </c>
      <c r="B2021" t="s">
        <v>4479</v>
      </c>
      <c r="C2021" t="s">
        <v>10</v>
      </c>
      <c r="D2021" t="s">
        <v>8</v>
      </c>
      <c r="E2021" t="s">
        <v>8</v>
      </c>
      <c r="F2021" t="s">
        <v>4480</v>
      </c>
      <c r="G2021" t="s">
        <v>816</v>
      </c>
      <c r="H2021" t="s">
        <v>1888</v>
      </c>
      <c r="I2021" t="s">
        <v>817</v>
      </c>
    </row>
    <row r="2022" spans="1:9" x14ac:dyDescent="0.25">
      <c r="A2022" s="1" t="str">
        <f>HYPERLINK("https://lynxcrm-apac--c.eu19.visual.force.com/0011i000001xmbVAAQ","Institute of Mental Health")</f>
        <v>Institute of Mental Health</v>
      </c>
      <c r="B2022" t="s">
        <v>4481</v>
      </c>
      <c r="C2022" t="s">
        <v>10</v>
      </c>
      <c r="D2022" t="s">
        <v>8</v>
      </c>
      <c r="E2022" t="s">
        <v>8</v>
      </c>
      <c r="F2022" t="s">
        <v>1887</v>
      </c>
      <c r="G2022" t="s">
        <v>816</v>
      </c>
      <c r="H2022" t="s">
        <v>1888</v>
      </c>
      <c r="I2022" t="s">
        <v>817</v>
      </c>
    </row>
    <row r="2023" spans="1:9" x14ac:dyDescent="0.25">
      <c r="A2023" s="1" t="str">
        <f>HYPERLINK("https://lynxcrm-apac--c.eu19.visual.force.com/0011i000001xmbUAAQ","Institute of Mental Health")</f>
        <v>Institute of Mental Health</v>
      </c>
      <c r="B2023" t="s">
        <v>4482</v>
      </c>
      <c r="C2023" t="s">
        <v>10</v>
      </c>
      <c r="D2023" t="s">
        <v>8</v>
      </c>
      <c r="E2023" t="s">
        <v>8</v>
      </c>
      <c r="F2023" t="s">
        <v>1887</v>
      </c>
      <c r="G2023" t="s">
        <v>816</v>
      </c>
      <c r="H2023" t="s">
        <v>1888</v>
      </c>
      <c r="I2023" t="s">
        <v>817</v>
      </c>
    </row>
    <row r="2024" spans="1:9" x14ac:dyDescent="0.25">
      <c r="A2024" s="1" t="str">
        <f>HYPERLINK("https://lynxcrm-apac--c.eu19.visual.force.com/0011i000001xnSEAAY","Institute of Mental Health")</f>
        <v>Institute of Mental Health</v>
      </c>
      <c r="B2024" t="s">
        <v>4483</v>
      </c>
      <c r="C2024" t="s">
        <v>10</v>
      </c>
      <c r="D2024" t="s">
        <v>8</v>
      </c>
      <c r="E2024" t="s">
        <v>8</v>
      </c>
      <c r="F2024" t="s">
        <v>4484</v>
      </c>
      <c r="G2024" t="s">
        <v>816</v>
      </c>
      <c r="H2024" t="s">
        <v>1888</v>
      </c>
      <c r="I2024" t="s">
        <v>817</v>
      </c>
    </row>
    <row r="2025" spans="1:9" x14ac:dyDescent="0.25">
      <c r="A2025" s="1" t="str">
        <f>HYPERLINK("https://lynxcrm-apac--c.eu19.visual.force.com/0011i000001xnGEAAY","Institute of Mental Health")</f>
        <v>Institute of Mental Health</v>
      </c>
      <c r="B2025" t="s">
        <v>4485</v>
      </c>
      <c r="C2025" t="s">
        <v>10</v>
      </c>
      <c r="D2025" t="s">
        <v>8</v>
      </c>
      <c r="E2025" t="s">
        <v>8</v>
      </c>
      <c r="F2025" t="s">
        <v>3520</v>
      </c>
      <c r="G2025" t="s">
        <v>3521</v>
      </c>
      <c r="H2025" t="s">
        <v>3521</v>
      </c>
      <c r="I2025" t="s">
        <v>817</v>
      </c>
    </row>
    <row r="2026" spans="1:9" x14ac:dyDescent="0.25">
      <c r="A2026" s="1" t="str">
        <f>HYPERLINK("https://lynxcrm-apac--c.eu19.visual.force.com/0011i000001xnIrAAI","Institute of Mental Health")</f>
        <v>Institute of Mental Health</v>
      </c>
      <c r="B2026" t="s">
        <v>4486</v>
      </c>
      <c r="C2026" t="s">
        <v>10</v>
      </c>
      <c r="D2026" t="s">
        <v>8</v>
      </c>
      <c r="E2026" t="s">
        <v>8</v>
      </c>
      <c r="F2026" t="s">
        <v>1887</v>
      </c>
      <c r="G2026" t="s">
        <v>816</v>
      </c>
      <c r="H2026" t="s">
        <v>1888</v>
      </c>
      <c r="I2026" t="s">
        <v>817</v>
      </c>
    </row>
    <row r="2027" spans="1:9" x14ac:dyDescent="0.25">
      <c r="A2027" s="1" t="str">
        <f>HYPERLINK("https://lynxcrm-apac--c.eu19.visual.force.com/0011i000001xnX9AAI","Institute of Mental Health")</f>
        <v>Institute of Mental Health</v>
      </c>
      <c r="B2027" t="s">
        <v>4487</v>
      </c>
      <c r="C2027" t="s">
        <v>10</v>
      </c>
      <c r="D2027" t="s">
        <v>8</v>
      </c>
      <c r="E2027" t="s">
        <v>8</v>
      </c>
      <c r="F2027" t="s">
        <v>1887</v>
      </c>
      <c r="G2027" t="s">
        <v>816</v>
      </c>
      <c r="H2027" t="s">
        <v>816</v>
      </c>
      <c r="I2027" t="s">
        <v>817</v>
      </c>
    </row>
    <row r="2028" spans="1:9" x14ac:dyDescent="0.25">
      <c r="A2028" s="1" t="str">
        <f>HYPERLINK("https://lynxcrm-apac--c.eu19.visual.force.com/0011i00000ufvHuAAI","Intemedical 24Hr Clinic (Ang Mo Kio)")</f>
        <v>Intemedical 24Hr Clinic (Ang Mo Kio)</v>
      </c>
      <c r="B2028" t="s">
        <v>4488</v>
      </c>
      <c r="C2028" t="s">
        <v>10</v>
      </c>
      <c r="D2028" t="s">
        <v>8</v>
      </c>
      <c r="E2028" t="s">
        <v>8</v>
      </c>
      <c r="F2028" t="s">
        <v>4489</v>
      </c>
      <c r="G2028" t="s">
        <v>4490</v>
      </c>
      <c r="H2028" t="s">
        <v>8</v>
      </c>
      <c r="I2028" t="s">
        <v>4491</v>
      </c>
    </row>
    <row r="2029" spans="1:9" x14ac:dyDescent="0.25">
      <c r="A2029" s="1" t="str">
        <f>HYPERLINK("https://lynxcrm-apac--c.eu19.visual.force.com/0011i000001xn6xAAA","Intergrated Medicine Clinic")</f>
        <v>Intergrated Medicine Clinic</v>
      </c>
      <c r="B2029" t="s">
        <v>4492</v>
      </c>
      <c r="C2029" t="s">
        <v>10</v>
      </c>
      <c r="D2029" t="s">
        <v>8</v>
      </c>
      <c r="E2029" t="s">
        <v>8</v>
      </c>
      <c r="F2029" t="s">
        <v>4493</v>
      </c>
      <c r="G2029" t="s">
        <v>4494</v>
      </c>
      <c r="H2029" t="s">
        <v>4494</v>
      </c>
      <c r="I2029" t="s">
        <v>4495</v>
      </c>
    </row>
    <row r="2030" spans="1:9" x14ac:dyDescent="0.25">
      <c r="A2030" s="1" t="str">
        <f>HYPERLINK("https://lynxcrm-apac--c.eu19.visual.force.com/0011i000001xnOzAAI","International Women's Clinic")</f>
        <v>International Women's Clinic</v>
      </c>
      <c r="B2030" t="s">
        <v>4496</v>
      </c>
      <c r="C2030" t="s">
        <v>10</v>
      </c>
      <c r="D2030" t="s">
        <v>8</v>
      </c>
      <c r="E2030" t="s">
        <v>8</v>
      </c>
      <c r="F2030" t="s">
        <v>531</v>
      </c>
      <c r="G2030" t="s">
        <v>65</v>
      </c>
      <c r="H2030" t="s">
        <v>532</v>
      </c>
      <c r="I2030" t="s">
        <v>67</v>
      </c>
    </row>
    <row r="2031" spans="1:9" x14ac:dyDescent="0.25">
      <c r="A2031" s="1" t="str">
        <f>HYPERLINK("https://lynxcrm-apac--c.eu19.visual.force.com/0011i000001xmtkAAA","Irene Chua Clinic for Women")</f>
        <v>Irene Chua Clinic for Women</v>
      </c>
      <c r="B2031" t="s">
        <v>4497</v>
      </c>
      <c r="C2031" t="s">
        <v>10</v>
      </c>
      <c r="D2031" t="s">
        <v>8</v>
      </c>
      <c r="E2031" t="s">
        <v>8</v>
      </c>
      <c r="F2031" t="s">
        <v>4498</v>
      </c>
      <c r="G2031" t="s">
        <v>4499</v>
      </c>
      <c r="H2031" t="s">
        <v>4499</v>
      </c>
      <c r="I2031" t="s">
        <v>67</v>
      </c>
    </row>
    <row r="2032" spans="1:9" x14ac:dyDescent="0.25">
      <c r="A2032" s="1" t="str">
        <f>HYPERLINK("https://lynxcrm-apac--c.eu19.visual.force.com/0011i000001xnkiAAA","Iris, Rawtaer")</f>
        <v>Iris, Rawtaer</v>
      </c>
      <c r="B2032" t="s">
        <v>4500</v>
      </c>
      <c r="C2032" t="s">
        <v>28</v>
      </c>
      <c r="D2032" t="s">
        <v>1486</v>
      </c>
      <c r="E2032" t="s">
        <v>8</v>
      </c>
      <c r="F2032" t="s">
        <v>1486</v>
      </c>
      <c r="G2032" t="s">
        <v>1487</v>
      </c>
      <c r="H2032" t="s">
        <v>1487</v>
      </c>
      <c r="I2032" t="s">
        <v>1488</v>
      </c>
    </row>
    <row r="2033" spans="1:9" x14ac:dyDescent="0.25">
      <c r="A2033" s="1" t="str">
        <f>HYPERLINK("https://lynxcrm-apac--c.eu19.visual.force.com/0011i000001xomtAAA","Isabel, Ahmad")</f>
        <v>Isabel, Ahmad</v>
      </c>
      <c r="B2033" t="s">
        <v>4501</v>
      </c>
      <c r="C2033" t="s">
        <v>28</v>
      </c>
      <c r="D2033" t="s">
        <v>429</v>
      </c>
      <c r="E2033" t="s">
        <v>8</v>
      </c>
      <c r="F2033" t="s">
        <v>429</v>
      </c>
      <c r="G2033" t="s">
        <v>428</v>
      </c>
      <c r="H2033" t="s">
        <v>428</v>
      </c>
      <c r="I2033" t="s">
        <v>430</v>
      </c>
    </row>
    <row r="2034" spans="1:9" x14ac:dyDescent="0.25">
      <c r="A2034" s="1" t="str">
        <f>HYPERLINK("https://lynxcrm-apac--c.eu19.visual.force.com/0011i000001xomtAAA","Isabel, Ahmad")</f>
        <v>Isabel, Ahmad</v>
      </c>
      <c r="B2034" t="s">
        <v>4501</v>
      </c>
      <c r="C2034" t="s">
        <v>28</v>
      </c>
      <c r="D2034" t="s">
        <v>429</v>
      </c>
      <c r="E2034" t="s">
        <v>8</v>
      </c>
      <c r="F2034" t="s">
        <v>444</v>
      </c>
      <c r="G2034" t="s">
        <v>444</v>
      </c>
      <c r="H2034" t="s">
        <v>8</v>
      </c>
      <c r="I2034" t="s">
        <v>430</v>
      </c>
    </row>
    <row r="2035" spans="1:9" x14ac:dyDescent="0.25">
      <c r="A2035" s="1" t="str">
        <f>HYPERLINK("https://lynxcrm-apac--c.eu19.visual.force.com/0011i000001xomtAAA","Isabel, Ahmad")</f>
        <v>Isabel, Ahmad</v>
      </c>
      <c r="B2035" t="s">
        <v>4501</v>
      </c>
      <c r="C2035" t="s">
        <v>28</v>
      </c>
      <c r="D2035" t="s">
        <v>429</v>
      </c>
      <c r="E2035" t="s">
        <v>8</v>
      </c>
      <c r="F2035" t="s">
        <v>445</v>
      </c>
      <c r="G2035" t="s">
        <v>428</v>
      </c>
      <c r="H2035" t="s">
        <v>428</v>
      </c>
      <c r="I2035" t="s">
        <v>430</v>
      </c>
    </row>
    <row r="2036" spans="1:9" x14ac:dyDescent="0.25">
      <c r="A2036" s="1" t="str">
        <f>HYPERLINK("https://lynxcrm-apac--c.eu19.visual.force.com/0011i000001xomtAAA","Isabel, Ahmad")</f>
        <v>Isabel, Ahmad</v>
      </c>
      <c r="B2036" t="s">
        <v>4501</v>
      </c>
      <c r="C2036" t="s">
        <v>28</v>
      </c>
      <c r="D2036" t="s">
        <v>429</v>
      </c>
      <c r="E2036" t="s">
        <v>8</v>
      </c>
      <c r="F2036" t="s">
        <v>444</v>
      </c>
      <c r="G2036" t="s">
        <v>444</v>
      </c>
      <c r="H2036" t="s">
        <v>8</v>
      </c>
      <c r="I2036" t="s">
        <v>8</v>
      </c>
    </row>
    <row r="2037" spans="1:9" x14ac:dyDescent="0.25">
      <c r="A2037" s="1" t="str">
        <f>HYPERLINK("https://lynxcrm-apac--c.eu19.visual.force.com/0011i000001xmehAAA","Island Family Clinic")</f>
        <v>Island Family Clinic</v>
      </c>
      <c r="B2037" t="s">
        <v>4502</v>
      </c>
      <c r="C2037" t="s">
        <v>10</v>
      </c>
      <c r="D2037" t="s">
        <v>8</v>
      </c>
      <c r="E2037" t="s">
        <v>8</v>
      </c>
      <c r="F2037" t="s">
        <v>4503</v>
      </c>
      <c r="G2037" t="s">
        <v>3422</v>
      </c>
      <c r="H2037" t="s">
        <v>3422</v>
      </c>
      <c r="I2037" t="s">
        <v>3423</v>
      </c>
    </row>
    <row r="2038" spans="1:9" x14ac:dyDescent="0.25">
      <c r="A2038" s="1" t="str">
        <f>HYPERLINK("https://lynxcrm-apac--c.eu19.visual.force.com/0011i000001xnGrAAI","Island Family Clinic")</f>
        <v>Island Family Clinic</v>
      </c>
      <c r="B2038" t="s">
        <v>4504</v>
      </c>
      <c r="C2038" t="s">
        <v>10</v>
      </c>
      <c r="D2038" t="s">
        <v>8</v>
      </c>
      <c r="E2038" t="s">
        <v>8</v>
      </c>
      <c r="F2038" t="s">
        <v>3421</v>
      </c>
      <c r="G2038" t="s">
        <v>3422</v>
      </c>
      <c r="H2038" t="s">
        <v>3422</v>
      </c>
      <c r="I2038" t="s">
        <v>3423</v>
      </c>
    </row>
    <row r="2039" spans="1:9" x14ac:dyDescent="0.25">
      <c r="A2039" s="1" t="str">
        <f>HYPERLINK("https://lynxcrm-apac--c.eu19.visual.force.com/0011i000007FFaiAAG","Island Family Clinic (Anchorvale)")</f>
        <v>Island Family Clinic (Anchorvale)</v>
      </c>
      <c r="B2039" t="s">
        <v>4505</v>
      </c>
      <c r="C2039" t="s">
        <v>10</v>
      </c>
      <c r="D2039" t="s">
        <v>8</v>
      </c>
      <c r="E2039" t="s">
        <v>8</v>
      </c>
      <c r="F2039" t="s">
        <v>933</v>
      </c>
      <c r="G2039" t="s">
        <v>564</v>
      </c>
      <c r="H2039" t="s">
        <v>8</v>
      </c>
      <c r="I2039" t="s">
        <v>934</v>
      </c>
    </row>
    <row r="2040" spans="1:9" x14ac:dyDescent="0.25">
      <c r="A2040" s="1" t="str">
        <f>HYPERLINK("https://lynxcrm-apac--c.eu19.visual.force.com/0011i000001xnAZAAY","Island Family Clinic (Sengkang)")</f>
        <v>Island Family Clinic (Sengkang)</v>
      </c>
      <c r="B2040" t="s">
        <v>4506</v>
      </c>
      <c r="C2040" t="s">
        <v>10</v>
      </c>
      <c r="D2040" t="s">
        <v>8</v>
      </c>
      <c r="E2040" t="s">
        <v>8</v>
      </c>
      <c r="F2040" t="s">
        <v>4507</v>
      </c>
      <c r="G2040" t="s">
        <v>944</v>
      </c>
      <c r="H2040" t="s">
        <v>944</v>
      </c>
      <c r="I2040" t="s">
        <v>4508</v>
      </c>
    </row>
    <row r="2041" spans="1:9" x14ac:dyDescent="0.25">
      <c r="A2041" s="1" t="str">
        <f>HYPERLINK("https://lynxcrm-apac--c.eu19.visual.force.com/0011i000007FFcyAAG","Island Family Clinic Keat Hong")</f>
        <v>Island Family Clinic Keat Hong</v>
      </c>
      <c r="B2041" t="s">
        <v>4509</v>
      </c>
      <c r="C2041" t="s">
        <v>10</v>
      </c>
      <c r="D2041" t="s">
        <v>8</v>
      </c>
      <c r="E2041" t="s">
        <v>8</v>
      </c>
      <c r="F2041" t="s">
        <v>4510</v>
      </c>
      <c r="G2041" t="s">
        <v>3429</v>
      </c>
      <c r="H2041" t="s">
        <v>8</v>
      </c>
      <c r="I2041" t="s">
        <v>4511</v>
      </c>
    </row>
    <row r="2042" spans="1:9" x14ac:dyDescent="0.25">
      <c r="A2042" s="1" t="str">
        <f>HYPERLINK("https://lynxcrm-apac--c.eu19.visual.force.com/0011i000001xnWMAAY","Island Group Clinic")</f>
        <v>Island Group Clinic</v>
      </c>
      <c r="B2042" t="s">
        <v>4512</v>
      </c>
      <c r="C2042" t="s">
        <v>10</v>
      </c>
      <c r="D2042" t="s">
        <v>8</v>
      </c>
      <c r="E2042" t="s">
        <v>8</v>
      </c>
      <c r="F2042" t="s">
        <v>1768</v>
      </c>
      <c r="G2042" t="s">
        <v>4513</v>
      </c>
      <c r="H2042" t="s">
        <v>4514</v>
      </c>
      <c r="I2042" t="s">
        <v>47</v>
      </c>
    </row>
    <row r="2043" spans="1:9" x14ac:dyDescent="0.25">
      <c r="A2043" s="1" t="str">
        <f>HYPERLINK("https://lynxcrm-apac--c.eu19.visual.force.com/0011i000001xnDSAAY","Island Group Clinic")</f>
        <v>Island Group Clinic</v>
      </c>
      <c r="B2043" t="s">
        <v>4515</v>
      </c>
      <c r="C2043" t="s">
        <v>10</v>
      </c>
      <c r="D2043" t="s">
        <v>8</v>
      </c>
      <c r="E2043" t="s">
        <v>8</v>
      </c>
      <c r="F2043" t="s">
        <v>1768</v>
      </c>
      <c r="G2043" t="s">
        <v>4513</v>
      </c>
      <c r="H2043" t="s">
        <v>4514</v>
      </c>
      <c r="I2043" t="s">
        <v>47</v>
      </c>
    </row>
    <row r="2044" spans="1:9" x14ac:dyDescent="0.25">
      <c r="A2044" s="1" t="str">
        <f>HYPERLINK("https://lynxcrm-apac--c.eu19.visual.force.com/0011i000001xn9kAAA","Island Orthopaedic Consultants")</f>
        <v>Island Orthopaedic Consultants</v>
      </c>
      <c r="B2044" t="s">
        <v>4516</v>
      </c>
      <c r="C2044" t="s">
        <v>10</v>
      </c>
      <c r="D2044" t="s">
        <v>8</v>
      </c>
      <c r="E2044" t="s">
        <v>8</v>
      </c>
      <c r="F2044" t="s">
        <v>69</v>
      </c>
      <c r="G2044" t="s">
        <v>2062</v>
      </c>
      <c r="H2044" t="s">
        <v>2063</v>
      </c>
      <c r="I2044" t="s">
        <v>67</v>
      </c>
    </row>
    <row r="2045" spans="1:9" x14ac:dyDescent="0.25">
      <c r="A2045" s="1" t="str">
        <f>HYPERLINK("https://lynxcrm-apac--c.eu19.visual.force.com/0011i000001xnEgAAI","Island Orthopaedic Consultants")</f>
        <v>Island Orthopaedic Consultants</v>
      </c>
      <c r="B2045" t="s">
        <v>4517</v>
      </c>
      <c r="C2045" t="s">
        <v>10</v>
      </c>
      <c r="D2045" t="s">
        <v>8</v>
      </c>
      <c r="E2045" t="s">
        <v>8</v>
      </c>
      <c r="F2045" t="s">
        <v>4518</v>
      </c>
      <c r="G2045" t="s">
        <v>65</v>
      </c>
      <c r="H2045" t="s">
        <v>2063</v>
      </c>
      <c r="I2045" t="s">
        <v>67</v>
      </c>
    </row>
    <row r="2046" spans="1:9" x14ac:dyDescent="0.25">
      <c r="A2046" s="1" t="str">
        <f>HYPERLINK("https://lynxcrm-apac--c.eu19.visual.force.com/0011i000001xnVDAAY","Island Orthopaedics")</f>
        <v>Island Orthopaedics</v>
      </c>
      <c r="B2046" t="s">
        <v>4519</v>
      </c>
      <c r="C2046" t="s">
        <v>10</v>
      </c>
      <c r="D2046" t="s">
        <v>8</v>
      </c>
      <c r="E2046" t="s">
        <v>8</v>
      </c>
      <c r="F2046" t="s">
        <v>4520</v>
      </c>
      <c r="G2046" t="s">
        <v>65</v>
      </c>
      <c r="H2046" t="s">
        <v>65</v>
      </c>
      <c r="I2046" t="s">
        <v>67</v>
      </c>
    </row>
    <row r="2047" spans="1:9" x14ac:dyDescent="0.25">
      <c r="A2047" s="1" t="str">
        <f>HYPERLINK("https://lynxcrm-apac--c.eu19.visual.force.com/0011i000001xo3LAAQ","Ivan, Kuntjoro")</f>
        <v>Ivan, Kuntjoro</v>
      </c>
      <c r="B2047" t="s">
        <v>4521</v>
      </c>
      <c r="C2047" t="s">
        <v>28</v>
      </c>
      <c r="D2047" t="s">
        <v>429</v>
      </c>
      <c r="E2047" t="s">
        <v>8</v>
      </c>
      <c r="F2047" t="s">
        <v>429</v>
      </c>
      <c r="G2047" t="s">
        <v>428</v>
      </c>
      <c r="H2047" t="s">
        <v>428</v>
      </c>
      <c r="I2047" t="s">
        <v>430</v>
      </c>
    </row>
    <row r="2048" spans="1:9" x14ac:dyDescent="0.25">
      <c r="A2048" s="1" t="str">
        <f>HYPERLINK("https://lynxcrm-apac--c.eu19.visual.force.com/0011i000001xo3LAAQ","Ivan, Kuntjoro")</f>
        <v>Ivan, Kuntjoro</v>
      </c>
      <c r="B2048" t="s">
        <v>4521</v>
      </c>
      <c r="C2048" t="s">
        <v>28</v>
      </c>
      <c r="D2048" t="s">
        <v>429</v>
      </c>
      <c r="E2048" t="s">
        <v>8</v>
      </c>
      <c r="F2048" t="s">
        <v>444</v>
      </c>
      <c r="G2048" t="s">
        <v>444</v>
      </c>
      <c r="H2048" t="s">
        <v>8</v>
      </c>
      <c r="I2048" t="s">
        <v>430</v>
      </c>
    </row>
    <row r="2049" spans="1:9" x14ac:dyDescent="0.25">
      <c r="A2049" s="1" t="str">
        <f>HYPERLINK("https://lynxcrm-apac--c.eu19.visual.force.com/0011i000001xo3LAAQ","Ivan, Kuntjoro")</f>
        <v>Ivan, Kuntjoro</v>
      </c>
      <c r="B2049" t="s">
        <v>4521</v>
      </c>
      <c r="C2049" t="s">
        <v>28</v>
      </c>
      <c r="D2049" t="s">
        <v>429</v>
      </c>
      <c r="E2049" t="s">
        <v>8</v>
      </c>
      <c r="F2049" t="s">
        <v>445</v>
      </c>
      <c r="G2049" t="s">
        <v>428</v>
      </c>
      <c r="H2049" t="s">
        <v>428</v>
      </c>
      <c r="I2049" t="s">
        <v>430</v>
      </c>
    </row>
    <row r="2050" spans="1:9" x14ac:dyDescent="0.25">
      <c r="A2050" s="1" t="str">
        <f>HYPERLINK("https://lynxcrm-apac--c.eu19.visual.force.com/0011i000001xo3LAAQ","Ivan, Kuntjoro")</f>
        <v>Ivan, Kuntjoro</v>
      </c>
      <c r="B2050" t="s">
        <v>4521</v>
      </c>
      <c r="C2050" t="s">
        <v>28</v>
      </c>
      <c r="D2050" t="s">
        <v>429</v>
      </c>
      <c r="E2050" t="s">
        <v>8</v>
      </c>
      <c r="F2050" t="s">
        <v>444</v>
      </c>
      <c r="G2050" t="s">
        <v>444</v>
      </c>
      <c r="H2050" t="s">
        <v>8</v>
      </c>
      <c r="I2050" t="s">
        <v>8</v>
      </c>
    </row>
    <row r="2051" spans="1:9" x14ac:dyDescent="0.25">
      <c r="A2051" s="1" t="str">
        <f>HYPERLINK("https://lynxcrm-apac--c.eu19.visual.force.com/0011i00000Y0XnjAAF","Ivy Cheng Medical Clinic")</f>
        <v>Ivy Cheng Medical Clinic</v>
      </c>
      <c r="B2051" t="s">
        <v>4522</v>
      </c>
      <c r="C2051" t="s">
        <v>10</v>
      </c>
      <c r="D2051" t="s">
        <v>8</v>
      </c>
      <c r="E2051" t="s">
        <v>8</v>
      </c>
      <c r="F2051" t="s">
        <v>4523</v>
      </c>
      <c r="G2051" t="s">
        <v>4523</v>
      </c>
      <c r="H2051" t="s">
        <v>8</v>
      </c>
      <c r="I2051" t="s">
        <v>4524</v>
      </c>
    </row>
    <row r="2052" spans="1:9" x14ac:dyDescent="0.25">
      <c r="A2052" s="1" t="str">
        <f>HYPERLINK("https://lynxcrm-apac--c.eu19.visual.force.com/0011i00000Y0JnEAAV","Ivy Cheng Medical Clinic")</f>
        <v>Ivy Cheng Medical Clinic</v>
      </c>
      <c r="B2052" t="s">
        <v>4525</v>
      </c>
      <c r="C2052" t="s">
        <v>10</v>
      </c>
      <c r="D2052" t="s">
        <v>8</v>
      </c>
      <c r="E2052" t="s">
        <v>8</v>
      </c>
      <c r="F2052" t="s">
        <v>1612</v>
      </c>
      <c r="G2052" t="s">
        <v>1613</v>
      </c>
      <c r="H2052" t="s">
        <v>8</v>
      </c>
      <c r="I2052" t="s">
        <v>1614</v>
      </c>
    </row>
    <row r="2053" spans="1:9" x14ac:dyDescent="0.25">
      <c r="A2053" s="1" t="str">
        <f>HYPERLINK("https://lynxcrm-apac--c.eu19.visual.force.com/0011i000001xnKBAAY","Ivy Yap Gastroenterology &amp; Liver Clinic")</f>
        <v>Ivy Yap Gastroenterology &amp; Liver Clinic</v>
      </c>
      <c r="B2053" t="s">
        <v>4526</v>
      </c>
      <c r="C2053" t="s">
        <v>10</v>
      </c>
      <c r="D2053" t="s">
        <v>8</v>
      </c>
      <c r="E2053" t="s">
        <v>8</v>
      </c>
      <c r="F2053" t="s">
        <v>377</v>
      </c>
      <c r="G2053" t="s">
        <v>4527</v>
      </c>
      <c r="H2053" t="s">
        <v>4528</v>
      </c>
      <c r="I2053" t="s">
        <v>123</v>
      </c>
    </row>
    <row r="2054" spans="1:9" x14ac:dyDescent="0.25">
      <c r="A2054" s="1" t="str">
        <f>HYPERLINK("https://lynxcrm-apac--c.eu19.visual.force.com/0011i00000YV1jWAAT","Iyer, Nithin Ramesh")</f>
        <v>Iyer, Nithin Ramesh</v>
      </c>
      <c r="B2054" t="s">
        <v>4529</v>
      </c>
      <c r="C2054" t="s">
        <v>28</v>
      </c>
      <c r="D2054" t="s">
        <v>449</v>
      </c>
      <c r="E2054" t="s">
        <v>8</v>
      </c>
      <c r="F2054" t="s">
        <v>450</v>
      </c>
      <c r="G2054" t="s">
        <v>449</v>
      </c>
      <c r="H2054" t="s">
        <v>449</v>
      </c>
      <c r="I2054" t="s">
        <v>451</v>
      </c>
    </row>
    <row r="2055" spans="1:9" x14ac:dyDescent="0.25">
      <c r="A2055" s="1" t="str">
        <f>HYPERLINK("https://lynxcrm-apac--c.eu19.visual.force.com/0011i00000YV1jWAAT","Iyer, Nithin Ramesh")</f>
        <v>Iyer, Nithin Ramesh</v>
      </c>
      <c r="B2055" t="s">
        <v>4529</v>
      </c>
      <c r="C2055" t="s">
        <v>28</v>
      </c>
      <c r="D2055" t="s">
        <v>449</v>
      </c>
      <c r="E2055" t="s">
        <v>8</v>
      </c>
      <c r="F2055" t="s">
        <v>234</v>
      </c>
      <c r="G2055" t="s">
        <v>452</v>
      </c>
      <c r="H2055" t="s">
        <v>453</v>
      </c>
      <c r="I2055" t="s">
        <v>454</v>
      </c>
    </row>
    <row r="2056" spans="1:9" x14ac:dyDescent="0.25">
      <c r="A2056" s="1" t="str">
        <f>HYPERLINK("https://lynxcrm-apac--c.eu19.visual.force.com/0011i000001xo1rAAA","Jacob, Shirin Carmel Marie")</f>
        <v>Jacob, Shirin Carmel Marie</v>
      </c>
      <c r="B2056" t="s">
        <v>4530</v>
      </c>
      <c r="C2056" t="s">
        <v>28</v>
      </c>
      <c r="D2056" t="s">
        <v>4531</v>
      </c>
      <c r="E2056" t="s">
        <v>8</v>
      </c>
      <c r="F2056" t="s">
        <v>1849</v>
      </c>
      <c r="G2056" t="s">
        <v>4532</v>
      </c>
      <c r="H2056" t="s">
        <v>4532</v>
      </c>
      <c r="I2056" t="s">
        <v>51</v>
      </c>
    </row>
    <row r="2057" spans="1:9" x14ac:dyDescent="0.25">
      <c r="A2057" s="1" t="str">
        <f>HYPERLINK("https://lynxcrm-apac--c.eu19.visual.force.com/0011i000001xnbVAAQ","Jade Medical Clinic Pte Ltd")</f>
        <v>Jade Medical Clinic Pte Ltd</v>
      </c>
      <c r="B2057" t="s">
        <v>4533</v>
      </c>
      <c r="C2057" t="s">
        <v>10</v>
      </c>
      <c r="D2057" t="s">
        <v>8</v>
      </c>
      <c r="E2057" t="s">
        <v>8</v>
      </c>
      <c r="F2057" t="s">
        <v>4534</v>
      </c>
      <c r="G2057" t="s">
        <v>4535</v>
      </c>
      <c r="H2057" t="s">
        <v>4536</v>
      </c>
      <c r="I2057" t="s">
        <v>4537</v>
      </c>
    </row>
    <row r="2058" spans="1:9" x14ac:dyDescent="0.25">
      <c r="A2058" s="1" t="str">
        <f>HYPERLINK("https://lynxcrm-apac--c.eu19.visual.force.com/0011i000001xo1tAAA","Jagadesan, Raghuram")</f>
        <v>Jagadesan, Raghuram</v>
      </c>
      <c r="B2058" t="s">
        <v>4538</v>
      </c>
      <c r="C2058" t="s">
        <v>28</v>
      </c>
      <c r="D2058" t="s">
        <v>251</v>
      </c>
      <c r="E2058" t="s">
        <v>8</v>
      </c>
      <c r="F2058" t="s">
        <v>251</v>
      </c>
      <c r="G2058" t="s">
        <v>252</v>
      </c>
      <c r="H2058" t="s">
        <v>252</v>
      </c>
      <c r="I2058" t="s">
        <v>253</v>
      </c>
    </row>
    <row r="2059" spans="1:9" x14ac:dyDescent="0.25">
      <c r="A2059" s="1" t="str">
        <f>HYPERLINK("https://lynxcrm-apac--c.eu19.visual.force.com/0011i000001xo1tAAA","Jagadesan, Raghuram")</f>
        <v>Jagadesan, Raghuram</v>
      </c>
      <c r="B2059" t="s">
        <v>4538</v>
      </c>
      <c r="C2059" t="s">
        <v>28</v>
      </c>
      <c r="D2059" t="s">
        <v>251</v>
      </c>
      <c r="E2059" t="s">
        <v>8</v>
      </c>
      <c r="F2059" t="s">
        <v>239</v>
      </c>
      <c r="G2059" t="s">
        <v>252</v>
      </c>
      <c r="H2059" t="s">
        <v>252</v>
      </c>
      <c r="I2059" t="s">
        <v>253</v>
      </c>
    </row>
    <row r="2060" spans="1:9" x14ac:dyDescent="0.25">
      <c r="A2060" s="1" t="str">
        <f>HYPERLINK("https://lynxcrm-apac--c.eu19.visual.force.com/0011i000001xoslAAA","Jalia, Binte Mohammed")</f>
        <v>Jalia, Binte Mohammed</v>
      </c>
      <c r="B2060" t="s">
        <v>4539</v>
      </c>
      <c r="C2060" t="s">
        <v>28</v>
      </c>
      <c r="D2060" t="s">
        <v>520</v>
      </c>
      <c r="E2060" t="s">
        <v>8</v>
      </c>
      <c r="F2060" t="s">
        <v>90</v>
      </c>
      <c r="G2060" t="s">
        <v>521</v>
      </c>
      <c r="H2060" t="s">
        <v>521</v>
      </c>
      <c r="I2060" t="s">
        <v>92</v>
      </c>
    </row>
    <row r="2061" spans="1:9" x14ac:dyDescent="0.25">
      <c r="A2061" s="1" t="str">
        <f>HYPERLINK("https://lynxcrm-apac--c.eu19.visual.force.com/0011i000005IdSnAAK","James Cai Xinzhe")</f>
        <v>James Cai Xinzhe</v>
      </c>
      <c r="B2061" t="s">
        <v>4540</v>
      </c>
      <c r="C2061" t="s">
        <v>10</v>
      </c>
      <c r="D2061" t="s">
        <v>8</v>
      </c>
      <c r="E2061" t="s">
        <v>8</v>
      </c>
      <c r="F2061" t="s">
        <v>8</v>
      </c>
      <c r="G2061" t="s">
        <v>8</v>
      </c>
      <c r="H2061" t="s">
        <v>8</v>
      </c>
      <c r="I2061" t="s">
        <v>8</v>
      </c>
    </row>
    <row r="2062" spans="1:9" x14ac:dyDescent="0.25">
      <c r="A2062" s="1" t="str">
        <f>HYPERLINK("https://lynxcrm-apac--c.eu19.visual.force.com/0011i000001xmybAAA","James Lee Orthopaedic Surgery Pte Ltd")</f>
        <v>James Lee Orthopaedic Surgery Pte Ltd</v>
      </c>
      <c r="B2062" t="s">
        <v>4541</v>
      </c>
      <c r="C2062" t="s">
        <v>10</v>
      </c>
      <c r="D2062" t="s">
        <v>8</v>
      </c>
      <c r="E2062" t="s">
        <v>8</v>
      </c>
      <c r="F2062" t="s">
        <v>69</v>
      </c>
      <c r="G2062" t="s">
        <v>4542</v>
      </c>
      <c r="H2062" t="s">
        <v>4543</v>
      </c>
      <c r="I2062" t="s">
        <v>67</v>
      </c>
    </row>
    <row r="2063" spans="1:9" x14ac:dyDescent="0.25">
      <c r="A2063" s="1" t="str">
        <f>HYPERLINK("https://lynxcrm-apac--c.eu19.visual.force.com/0011i000001xoPjAAI","Jan, M M Street")</f>
        <v>Jan, M M Street</v>
      </c>
      <c r="B2063" t="s">
        <v>4544</v>
      </c>
      <c r="C2063" t="s">
        <v>28</v>
      </c>
      <c r="D2063" t="s">
        <v>1242</v>
      </c>
      <c r="E2063" t="s">
        <v>8</v>
      </c>
      <c r="F2063" t="s">
        <v>252</v>
      </c>
      <c r="G2063" t="s">
        <v>251</v>
      </c>
      <c r="H2063" t="s">
        <v>251</v>
      </c>
      <c r="I2063" t="s">
        <v>253</v>
      </c>
    </row>
    <row r="2064" spans="1:9" x14ac:dyDescent="0.25">
      <c r="A2064" s="1" t="str">
        <f>HYPERLINK("https://lynxcrm-apac--c.eu19.visual.force.com/0011i000001xoPjAAI","Jan, M M Street")</f>
        <v>Jan, M M Street</v>
      </c>
      <c r="B2064" t="s">
        <v>4544</v>
      </c>
      <c r="C2064" t="s">
        <v>28</v>
      </c>
      <c r="D2064" t="s">
        <v>251</v>
      </c>
      <c r="E2064" t="s">
        <v>8</v>
      </c>
      <c r="F2064" t="s">
        <v>251</v>
      </c>
      <c r="G2064" t="s">
        <v>252</v>
      </c>
      <c r="H2064" t="s">
        <v>252</v>
      </c>
      <c r="I2064" t="s">
        <v>253</v>
      </c>
    </row>
    <row r="2065" spans="1:9" x14ac:dyDescent="0.25">
      <c r="A2065" s="1" t="str">
        <f>HYPERLINK("https://lynxcrm-apac--c.eu19.visual.force.com/0011i000001xo1uAAA","Jap, Hee Eng Aliza")</f>
        <v>Jap, Hee Eng Aliza</v>
      </c>
      <c r="B2065" t="s">
        <v>4545</v>
      </c>
      <c r="C2065" t="s">
        <v>28</v>
      </c>
      <c r="D2065" t="s">
        <v>1318</v>
      </c>
      <c r="E2065" t="s">
        <v>8</v>
      </c>
      <c r="F2065" t="s">
        <v>584</v>
      </c>
      <c r="G2065" t="s">
        <v>583</v>
      </c>
      <c r="H2065" t="s">
        <v>583</v>
      </c>
      <c r="I2065" t="s">
        <v>585</v>
      </c>
    </row>
    <row r="2066" spans="1:9" x14ac:dyDescent="0.25">
      <c r="A2066" s="1" t="str">
        <f>HYPERLINK("https://lynxcrm-apac--c.eu19.visual.force.com/0011i000001xo1uAAA","Jap, Hee Eng Aliza")</f>
        <v>Jap, Hee Eng Aliza</v>
      </c>
      <c r="B2066" t="s">
        <v>4545</v>
      </c>
      <c r="C2066" t="s">
        <v>28</v>
      </c>
      <c r="D2066" t="s">
        <v>583</v>
      </c>
      <c r="E2066" t="s">
        <v>8</v>
      </c>
      <c r="F2066" t="s">
        <v>583</v>
      </c>
      <c r="G2066" t="s">
        <v>584</v>
      </c>
      <c r="H2066" t="s">
        <v>584</v>
      </c>
      <c r="I2066" t="s">
        <v>585</v>
      </c>
    </row>
    <row r="2067" spans="1:9" x14ac:dyDescent="0.25">
      <c r="A2067" s="1" t="str">
        <f>HYPERLINK("https://lynxcrm-apac--c.eu19.visual.force.com/0011i000001xmmwAAA","Japan Clinic &amp; Surgery")</f>
        <v>Japan Clinic &amp; Surgery</v>
      </c>
      <c r="B2067" t="s">
        <v>4546</v>
      </c>
      <c r="C2067" t="s">
        <v>10</v>
      </c>
      <c r="D2067" t="s">
        <v>8</v>
      </c>
      <c r="E2067" t="s">
        <v>8</v>
      </c>
      <c r="F2067" t="s">
        <v>1530</v>
      </c>
      <c r="G2067" t="s">
        <v>1531</v>
      </c>
      <c r="H2067" t="s">
        <v>1532</v>
      </c>
      <c r="I2067" t="s">
        <v>1533</v>
      </c>
    </row>
    <row r="2068" spans="1:9" x14ac:dyDescent="0.25">
      <c r="A2068" s="1" t="str">
        <f>HYPERLINK("https://lynxcrm-apac--c.eu19.visual.force.com/0011i000001xnQJAAY","Japan Green Clinic")</f>
        <v>Japan Green Clinic</v>
      </c>
      <c r="B2068" t="s">
        <v>4547</v>
      </c>
      <c r="C2068" t="s">
        <v>10</v>
      </c>
      <c r="D2068" t="s">
        <v>8</v>
      </c>
      <c r="E2068" t="s">
        <v>8</v>
      </c>
      <c r="F2068" t="s">
        <v>317</v>
      </c>
      <c r="G2068" t="s">
        <v>4548</v>
      </c>
      <c r="H2068" t="s">
        <v>4548</v>
      </c>
      <c r="I2068" t="s">
        <v>85</v>
      </c>
    </row>
    <row r="2069" spans="1:9" x14ac:dyDescent="0.25">
      <c r="A2069" s="1" t="str">
        <f>HYPERLINK("https://lynxcrm-apac--c.eu19.visual.force.com/0011i000001xnbpAAA","Japan Green Clinic")</f>
        <v>Japan Green Clinic</v>
      </c>
      <c r="B2069" t="s">
        <v>4549</v>
      </c>
      <c r="C2069" t="s">
        <v>10</v>
      </c>
      <c r="D2069" t="s">
        <v>8</v>
      </c>
      <c r="E2069" t="s">
        <v>8</v>
      </c>
      <c r="F2069" t="s">
        <v>317</v>
      </c>
      <c r="G2069" t="s">
        <v>4548</v>
      </c>
      <c r="H2069" t="s">
        <v>4548</v>
      </c>
      <c r="I2069" t="s">
        <v>85</v>
      </c>
    </row>
    <row r="2070" spans="1:9" x14ac:dyDescent="0.25">
      <c r="A2070" s="1" t="str">
        <f>HYPERLINK("https://lynxcrm-apac--c.eu19.visual.force.com/0011i000001xnHeAAI","Japan Green Clinic")</f>
        <v>Japan Green Clinic</v>
      </c>
      <c r="B2070" t="s">
        <v>4550</v>
      </c>
      <c r="C2070" t="s">
        <v>10</v>
      </c>
      <c r="D2070" t="s">
        <v>8</v>
      </c>
      <c r="E2070" t="s">
        <v>8</v>
      </c>
      <c r="F2070" t="s">
        <v>317</v>
      </c>
      <c r="G2070" t="s">
        <v>4548</v>
      </c>
      <c r="H2070" t="s">
        <v>4548</v>
      </c>
      <c r="I2070" t="s">
        <v>85</v>
      </c>
    </row>
    <row r="2071" spans="1:9" x14ac:dyDescent="0.25">
      <c r="A2071" s="1" t="str">
        <f>HYPERLINK("https://lynxcrm-apac--c.eu19.visual.force.com/0011i00000FH4AIAA1","Jason Lim Endoscopy &amp; Surgery")</f>
        <v>Jason Lim Endoscopy &amp; Surgery</v>
      </c>
      <c r="B2071" t="s">
        <v>4551</v>
      </c>
      <c r="C2071" t="s">
        <v>10</v>
      </c>
      <c r="D2071" t="s">
        <v>8</v>
      </c>
      <c r="E2071" t="s">
        <v>8</v>
      </c>
      <c r="F2071" t="s">
        <v>4552</v>
      </c>
      <c r="G2071" t="s">
        <v>4553</v>
      </c>
      <c r="H2071" t="s">
        <v>8</v>
      </c>
      <c r="I2071" t="s">
        <v>344</v>
      </c>
    </row>
    <row r="2072" spans="1:9" x14ac:dyDescent="0.25">
      <c r="A2072" s="1" t="str">
        <f>HYPERLINK("https://lynxcrm-apac--c.eu19.visual.force.com/0011i000001xoO7AAI","Jaspal, Dhaliwah")</f>
        <v>Jaspal, Dhaliwah</v>
      </c>
      <c r="B2072" t="s">
        <v>4554</v>
      </c>
      <c r="C2072" t="s">
        <v>28</v>
      </c>
      <c r="D2072" t="s">
        <v>261</v>
      </c>
      <c r="E2072" t="s">
        <v>8</v>
      </c>
      <c r="F2072" t="s">
        <v>445</v>
      </c>
      <c r="G2072" t="s">
        <v>258</v>
      </c>
      <c r="H2072" t="s">
        <v>258</v>
      </c>
      <c r="I2072" t="s">
        <v>260</v>
      </c>
    </row>
    <row r="2073" spans="1:9" x14ac:dyDescent="0.25">
      <c r="A2073" s="1" t="str">
        <f>HYPERLINK("https://lynxcrm-apac--c.eu19.visual.force.com/0011i000001xoqIAAQ","Jatin, Shah")</f>
        <v>Jatin, Shah</v>
      </c>
      <c r="B2073" t="s">
        <v>4555</v>
      </c>
      <c r="C2073" t="s">
        <v>28</v>
      </c>
      <c r="D2073" t="s">
        <v>164</v>
      </c>
      <c r="E2073" t="s">
        <v>8</v>
      </c>
      <c r="F2073" t="s">
        <v>163</v>
      </c>
      <c r="G2073" t="s">
        <v>4556</v>
      </c>
      <c r="H2073" t="s">
        <v>4556</v>
      </c>
      <c r="I2073" t="s">
        <v>165</v>
      </c>
    </row>
    <row r="2074" spans="1:9" x14ac:dyDescent="0.25">
      <c r="A2074" s="1" t="str">
        <f>HYPERLINK("https://lynxcrm-apac--c.eu19.visual.force.com/0011i000001xo1vAAA","Jaufeerally, Fazlur Rehman")</f>
        <v>Jaufeerally, Fazlur Rehman</v>
      </c>
      <c r="B2074" t="s">
        <v>4557</v>
      </c>
      <c r="C2074" t="s">
        <v>28</v>
      </c>
      <c r="D2074" t="s">
        <v>251</v>
      </c>
      <c r="E2074" t="s">
        <v>8</v>
      </c>
      <c r="F2074" t="s">
        <v>651</v>
      </c>
      <c r="G2074" t="s">
        <v>1353</v>
      </c>
      <c r="H2074" t="s">
        <v>858</v>
      </c>
      <c r="I2074" t="s">
        <v>253</v>
      </c>
    </row>
    <row r="2075" spans="1:9" x14ac:dyDescent="0.25">
      <c r="A2075" s="1" t="str">
        <f>HYPERLINK("https://lynxcrm-apac--c.eu19.visual.force.com/0011i000001xo1wAAA","Jayaram, Lingamanaicker")</f>
        <v>Jayaram, Lingamanaicker</v>
      </c>
      <c r="B2075" t="s">
        <v>4558</v>
      </c>
      <c r="C2075" t="s">
        <v>28</v>
      </c>
      <c r="D2075" t="s">
        <v>4559</v>
      </c>
      <c r="E2075" t="s">
        <v>8</v>
      </c>
      <c r="F2075" t="s">
        <v>377</v>
      </c>
      <c r="G2075" t="s">
        <v>4560</v>
      </c>
      <c r="H2075" t="s">
        <v>4560</v>
      </c>
      <c r="I2075" t="s">
        <v>123</v>
      </c>
    </row>
    <row r="2076" spans="1:9" x14ac:dyDescent="0.25">
      <c r="A2076" s="1" t="str">
        <f>HYPERLINK("https://lynxcrm-apac--c.eu19.visual.force.com/0011i000001xo1xAAA","Jayaratnam, Francis Joseph")</f>
        <v>Jayaratnam, Francis Joseph</v>
      </c>
      <c r="B2076" t="s">
        <v>4561</v>
      </c>
      <c r="C2076" t="s">
        <v>28</v>
      </c>
      <c r="D2076" t="s">
        <v>583</v>
      </c>
      <c r="E2076" t="s">
        <v>8</v>
      </c>
      <c r="F2076" t="s">
        <v>248</v>
      </c>
      <c r="G2076" t="s">
        <v>584</v>
      </c>
      <c r="H2076" t="s">
        <v>584</v>
      </c>
      <c r="I2076" t="s">
        <v>585</v>
      </c>
    </row>
    <row r="2077" spans="1:9" x14ac:dyDescent="0.25">
      <c r="A2077" s="1" t="str">
        <f>HYPERLINK("https://lynxcrm-apac--c.eu19.visual.force.com/0011i000001xnVpAAI","Jeanette Chen Women's Clinic")</f>
        <v>Jeanette Chen Women's Clinic</v>
      </c>
      <c r="B2077" t="s">
        <v>4562</v>
      </c>
      <c r="C2077" t="s">
        <v>10</v>
      </c>
      <c r="D2077" t="s">
        <v>8</v>
      </c>
      <c r="E2077" t="s">
        <v>8</v>
      </c>
      <c r="F2077" t="s">
        <v>4563</v>
      </c>
      <c r="G2077" t="s">
        <v>964</v>
      </c>
      <c r="H2077" t="s">
        <v>964</v>
      </c>
      <c r="I2077" t="s">
        <v>266</v>
      </c>
    </row>
    <row r="2078" spans="1:9" x14ac:dyDescent="0.25">
      <c r="A2078" s="1" t="str">
        <f>HYPERLINK("https://lynxcrm-apac--c.eu19.visual.force.com/0011i00000Xf1HJAAZ","Jen, Wei Ying")</f>
        <v>Jen, Wei Ying</v>
      </c>
      <c r="B2078" t="s">
        <v>4564</v>
      </c>
      <c r="C2078" t="s">
        <v>28</v>
      </c>
      <c r="D2078" t="s">
        <v>429</v>
      </c>
      <c r="E2078" t="s">
        <v>8</v>
      </c>
      <c r="F2078" t="s">
        <v>594</v>
      </c>
      <c r="G2078" t="s">
        <v>595</v>
      </c>
      <c r="H2078" t="s">
        <v>8</v>
      </c>
      <c r="I2078" t="s">
        <v>596</v>
      </c>
    </row>
    <row r="2079" spans="1:9" x14ac:dyDescent="0.25">
      <c r="A2079" s="1" t="str">
        <f>HYPERLINK("https://lynxcrm-apac--c.eu19.visual.force.com/0011i000001xoS3AAI","Jeyaraj, Justina")</f>
        <v>Jeyaraj, Justina</v>
      </c>
      <c r="B2079" t="s">
        <v>4565</v>
      </c>
      <c r="C2079" t="s">
        <v>28</v>
      </c>
      <c r="D2079" t="s">
        <v>3194</v>
      </c>
      <c r="E2079" t="s">
        <v>8</v>
      </c>
      <c r="F2079" t="s">
        <v>2832</v>
      </c>
      <c r="G2079" t="s">
        <v>2833</v>
      </c>
      <c r="H2079" t="s">
        <v>2834</v>
      </c>
      <c r="I2079" t="s">
        <v>2835</v>
      </c>
    </row>
    <row r="2080" spans="1:9" x14ac:dyDescent="0.25">
      <c r="A2080" s="1" t="str">
        <f>HYPERLINK("https://lynxcrm-apac--c.eu19.visual.force.com/0011i000001xo1yAAA","Jeyaraj, Prema Raj")</f>
        <v>Jeyaraj, Prema Raj</v>
      </c>
      <c r="B2080" t="s">
        <v>4566</v>
      </c>
      <c r="C2080" t="s">
        <v>28</v>
      </c>
      <c r="D2080" t="s">
        <v>4567</v>
      </c>
      <c r="E2080" t="s">
        <v>8</v>
      </c>
      <c r="F2080" t="s">
        <v>4568</v>
      </c>
      <c r="G2080" t="s">
        <v>121</v>
      </c>
      <c r="H2080" t="s">
        <v>121</v>
      </c>
      <c r="I2080" t="s">
        <v>123</v>
      </c>
    </row>
    <row r="2081" spans="1:9" x14ac:dyDescent="0.25">
      <c r="A2081" s="1" t="str">
        <f>HYPERLINK("https://lynxcrm-apac--c.eu19.visual.force.com/0011i000001xoaRAAQ","Jeyaseelan, Valentine")</f>
        <v>Jeyaseelan, Valentine</v>
      </c>
      <c r="B2081" t="s">
        <v>4569</v>
      </c>
      <c r="C2081" t="s">
        <v>28</v>
      </c>
      <c r="D2081" t="s">
        <v>251</v>
      </c>
      <c r="E2081" t="s">
        <v>8</v>
      </c>
      <c r="F2081" t="s">
        <v>651</v>
      </c>
      <c r="G2081" t="s">
        <v>252</v>
      </c>
      <c r="H2081" t="s">
        <v>252</v>
      </c>
      <c r="I2081" t="s">
        <v>253</v>
      </c>
    </row>
    <row r="2082" spans="1:9" x14ac:dyDescent="0.25">
      <c r="A2082" s="1" t="str">
        <f>HYPERLINK("https://lynxcrm-apac--c.eu19.visual.force.com/0011i00000Xf1HhAAJ","Jeyasekharan, Anand")</f>
        <v>Jeyasekharan, Anand</v>
      </c>
      <c r="B2082" t="s">
        <v>4570</v>
      </c>
      <c r="C2082" t="s">
        <v>28</v>
      </c>
      <c r="D2082" t="s">
        <v>429</v>
      </c>
      <c r="E2082" t="s">
        <v>8</v>
      </c>
      <c r="F2082" t="s">
        <v>594</v>
      </c>
      <c r="G2082" t="s">
        <v>595</v>
      </c>
      <c r="H2082" t="s">
        <v>8</v>
      </c>
      <c r="I2082" t="s">
        <v>596</v>
      </c>
    </row>
    <row r="2083" spans="1:9" x14ac:dyDescent="0.25">
      <c r="A2083" s="1" t="str">
        <f>HYPERLINK("https://lynxcrm-apac--c.eu19.visual.force.com/0011i000001xmzhAAA","Jinmin Clinic")</f>
        <v>Jinmin Clinic</v>
      </c>
      <c r="B2083" t="s">
        <v>4571</v>
      </c>
      <c r="C2083" t="s">
        <v>10</v>
      </c>
      <c r="D2083" t="s">
        <v>8</v>
      </c>
      <c r="E2083" t="s">
        <v>8</v>
      </c>
      <c r="F2083" t="s">
        <v>4572</v>
      </c>
      <c r="G2083" t="s">
        <v>4572</v>
      </c>
      <c r="H2083" t="s">
        <v>4573</v>
      </c>
      <c r="I2083" t="s">
        <v>4574</v>
      </c>
    </row>
    <row r="2084" spans="1:9" x14ac:dyDescent="0.25">
      <c r="A2084" s="1" t="str">
        <f>HYPERLINK("https://lynxcrm-apac--c.eu19.visual.force.com/0011i000001xn9UAAQ","Jireh Heart Centre")</f>
        <v>Jireh Heart Centre</v>
      </c>
      <c r="B2084" t="s">
        <v>4575</v>
      </c>
      <c r="C2084" t="s">
        <v>10</v>
      </c>
      <c r="D2084" t="s">
        <v>8</v>
      </c>
      <c r="E2084" t="s">
        <v>8</v>
      </c>
      <c r="F2084" t="s">
        <v>4576</v>
      </c>
      <c r="G2084" t="s">
        <v>2021</v>
      </c>
      <c r="H2084" t="s">
        <v>2021</v>
      </c>
      <c r="I2084" t="s">
        <v>344</v>
      </c>
    </row>
    <row r="2085" spans="1:9" x14ac:dyDescent="0.25">
      <c r="A2085" s="1" t="str">
        <f>HYPERLINK("https://lynxcrm-apac--c.eu19.visual.force.com/0011i000001xndaAAA","Jireh Medical Clinic")</f>
        <v>Jireh Medical Clinic</v>
      </c>
      <c r="B2085" t="s">
        <v>4577</v>
      </c>
      <c r="C2085" t="s">
        <v>10</v>
      </c>
      <c r="D2085" t="s">
        <v>8</v>
      </c>
      <c r="E2085" t="s">
        <v>8</v>
      </c>
      <c r="F2085" t="s">
        <v>4578</v>
      </c>
      <c r="G2085" t="s">
        <v>4579</v>
      </c>
      <c r="H2085" t="s">
        <v>4579</v>
      </c>
      <c r="I2085" t="s">
        <v>4580</v>
      </c>
    </row>
    <row r="2086" spans="1:9" x14ac:dyDescent="0.25">
      <c r="A2086" s="1" t="str">
        <f>HYPERLINK("https://lynxcrm-apac--c.eu19.visual.force.com/0011i000001xoXKAAY","Jitendra, Sen Kumar")</f>
        <v>Jitendra, Sen Kumar</v>
      </c>
      <c r="B2086" t="s">
        <v>4581</v>
      </c>
      <c r="C2086" t="s">
        <v>28</v>
      </c>
      <c r="D2086" t="s">
        <v>4582</v>
      </c>
      <c r="E2086" t="s">
        <v>8</v>
      </c>
      <c r="F2086" t="s">
        <v>34</v>
      </c>
      <c r="G2086" t="s">
        <v>1034</v>
      </c>
      <c r="H2086" t="s">
        <v>1034</v>
      </c>
      <c r="I2086" t="s">
        <v>4583</v>
      </c>
    </row>
    <row r="2087" spans="1:9" x14ac:dyDescent="0.25">
      <c r="A2087" s="1" t="str">
        <f>HYPERLINK("https://lynxcrm-apac--c.eu19.visual.force.com/0011i000001xmiKAAQ","JL Sports Medicine &amp; Surgery Pte Ltd")</f>
        <v>JL Sports Medicine &amp; Surgery Pte Ltd</v>
      </c>
      <c r="B2087" t="s">
        <v>4584</v>
      </c>
      <c r="C2087" t="s">
        <v>10</v>
      </c>
      <c r="D2087" t="s">
        <v>8</v>
      </c>
      <c r="E2087" t="s">
        <v>8</v>
      </c>
      <c r="F2087" t="s">
        <v>69</v>
      </c>
      <c r="G2087" t="s">
        <v>4585</v>
      </c>
      <c r="H2087" t="s">
        <v>4586</v>
      </c>
      <c r="I2087" t="s">
        <v>67</v>
      </c>
    </row>
    <row r="2088" spans="1:9" x14ac:dyDescent="0.25">
      <c r="A2088" s="1" t="str">
        <f>HYPERLINK("https://lynxcrm-apac--c.eu19.visual.force.com/0011i000001xnBBAAY","Joanna Lin's Medical &amp; Cancer Clinic")</f>
        <v>Joanna Lin's Medical &amp; Cancer Clinic</v>
      </c>
      <c r="B2088" t="s">
        <v>4587</v>
      </c>
      <c r="C2088" t="s">
        <v>10</v>
      </c>
      <c r="D2088" t="s">
        <v>8</v>
      </c>
      <c r="E2088" t="s">
        <v>8</v>
      </c>
      <c r="F2088" t="s">
        <v>4588</v>
      </c>
      <c r="G2088" t="s">
        <v>121</v>
      </c>
      <c r="H2088" t="s">
        <v>121</v>
      </c>
      <c r="I2088" t="s">
        <v>123</v>
      </c>
    </row>
    <row r="2089" spans="1:9" x14ac:dyDescent="0.25">
      <c r="A2089" s="1" t="str">
        <f>HYPERLINK("https://lynxcrm-apac--c.eu19.visual.force.com/0011i000001xo3aAAA","John, Mary")</f>
        <v>John, Mary</v>
      </c>
      <c r="B2089" t="s">
        <v>4589</v>
      </c>
      <c r="C2089" t="s">
        <v>28</v>
      </c>
      <c r="D2089" t="s">
        <v>516</v>
      </c>
      <c r="E2089" t="s">
        <v>8</v>
      </c>
      <c r="F2089" t="s">
        <v>3046</v>
      </c>
      <c r="G2089" t="s">
        <v>3046</v>
      </c>
      <c r="H2089" t="s">
        <v>3047</v>
      </c>
      <c r="I2089" t="s">
        <v>518</v>
      </c>
    </row>
    <row r="2090" spans="1:9" x14ac:dyDescent="0.25">
      <c r="A2090" s="1" t="str">
        <f>HYPERLINK("https://lynxcrm-apac--c.eu19.visual.force.com/0011i000001xo3aAAA","John, Mary")</f>
        <v>John, Mary</v>
      </c>
      <c r="B2090" t="s">
        <v>4589</v>
      </c>
      <c r="C2090" t="s">
        <v>28</v>
      </c>
      <c r="D2090" t="s">
        <v>516</v>
      </c>
      <c r="E2090" t="s">
        <v>8</v>
      </c>
      <c r="F2090" t="s">
        <v>517</v>
      </c>
      <c r="G2090" t="s">
        <v>517</v>
      </c>
      <c r="H2090" t="s">
        <v>8</v>
      </c>
      <c r="I2090" t="s">
        <v>518</v>
      </c>
    </row>
    <row r="2091" spans="1:9" x14ac:dyDescent="0.25">
      <c r="A2091" s="1" t="str">
        <f>HYPERLINK("https://lynxcrm-apac--c.eu19.visual.force.com/0011i000001xoArAAI","John, Rozario")</f>
        <v>John, Rozario</v>
      </c>
      <c r="B2091" t="s">
        <v>4590</v>
      </c>
      <c r="C2091" t="s">
        <v>28</v>
      </c>
      <c r="D2091" t="s">
        <v>147</v>
      </c>
      <c r="E2091" t="s">
        <v>8</v>
      </c>
      <c r="F2091" t="s">
        <v>147</v>
      </c>
      <c r="G2091" t="s">
        <v>148</v>
      </c>
      <c r="H2091" t="s">
        <v>148</v>
      </c>
      <c r="I2091" t="s">
        <v>149</v>
      </c>
    </row>
    <row r="2092" spans="1:9" x14ac:dyDescent="0.25">
      <c r="A2092" s="1" t="str">
        <f>HYPERLINK("https://lynxcrm-apac--c.eu19.visual.force.com/0011i000001xoArAAI","John, Rozario")</f>
        <v>John, Rozario</v>
      </c>
      <c r="B2092" t="s">
        <v>4590</v>
      </c>
      <c r="C2092" t="s">
        <v>28</v>
      </c>
      <c r="D2092" t="s">
        <v>148</v>
      </c>
      <c r="E2092" t="s">
        <v>8</v>
      </c>
      <c r="F2092" t="s">
        <v>736</v>
      </c>
      <c r="G2092" t="s">
        <v>736</v>
      </c>
      <c r="H2092" t="s">
        <v>8</v>
      </c>
      <c r="I2092" t="s">
        <v>149</v>
      </c>
    </row>
    <row r="2093" spans="1:9" x14ac:dyDescent="0.25">
      <c r="A2093" s="1" t="str">
        <f>HYPERLINK("https://lynxcrm-apac--c.eu19.visual.force.com/0011i000001xo23AAA","John, Thomas")</f>
        <v>John, Thomas</v>
      </c>
      <c r="B2093" t="s">
        <v>4591</v>
      </c>
      <c r="C2093" t="s">
        <v>28</v>
      </c>
      <c r="D2093" t="s">
        <v>251</v>
      </c>
      <c r="E2093" t="s">
        <v>8</v>
      </c>
      <c r="F2093" t="s">
        <v>251</v>
      </c>
      <c r="G2093" t="s">
        <v>252</v>
      </c>
      <c r="H2093" t="s">
        <v>252</v>
      </c>
      <c r="I2093" t="s">
        <v>253</v>
      </c>
    </row>
    <row r="2094" spans="1:9" x14ac:dyDescent="0.25">
      <c r="A2094" s="1" t="str">
        <f>HYPERLINK("https://lynxcrm-apac--c.eu19.visual.force.com/0011i000001xo23AAA","John, Thomas")</f>
        <v>John, Thomas</v>
      </c>
      <c r="B2094" t="s">
        <v>4591</v>
      </c>
      <c r="C2094" t="s">
        <v>28</v>
      </c>
      <c r="D2094" t="s">
        <v>474</v>
      </c>
      <c r="E2094" t="s">
        <v>8</v>
      </c>
      <c r="F2094" t="s">
        <v>258</v>
      </c>
      <c r="G2094" t="s">
        <v>258</v>
      </c>
      <c r="H2094" t="s">
        <v>259</v>
      </c>
      <c r="I2094" t="s">
        <v>260</v>
      </c>
    </row>
    <row r="2095" spans="1:9" x14ac:dyDescent="0.25">
      <c r="A2095" s="1" t="str">
        <f>HYPERLINK("https://lynxcrm-apac--c.eu19.visual.force.com/0011i000001xmuuAAA","John Chiam Medical Clinic")</f>
        <v>John Chiam Medical Clinic</v>
      </c>
      <c r="B2095" t="s">
        <v>4592</v>
      </c>
      <c r="C2095" t="s">
        <v>10</v>
      </c>
      <c r="D2095" t="s">
        <v>8</v>
      </c>
      <c r="E2095" t="s">
        <v>8</v>
      </c>
      <c r="F2095" t="s">
        <v>1891</v>
      </c>
      <c r="G2095" t="s">
        <v>1653</v>
      </c>
      <c r="H2095" t="s">
        <v>1653</v>
      </c>
      <c r="I2095" t="s">
        <v>1892</v>
      </c>
    </row>
    <row r="2096" spans="1:9" x14ac:dyDescent="0.25">
      <c r="A2096" s="1" t="str">
        <f>HYPERLINK("https://lynxcrm-apac--c.eu19.visual.force.com/0011i000001xn1mAAA","John T L Lim Clinic &amp; Surgery")</f>
        <v>John T L Lim Clinic &amp; Surgery</v>
      </c>
      <c r="B2096" t="s">
        <v>4593</v>
      </c>
      <c r="C2096" t="s">
        <v>10</v>
      </c>
      <c r="D2096" t="s">
        <v>8</v>
      </c>
      <c r="E2096" t="s">
        <v>8</v>
      </c>
      <c r="F2096" t="s">
        <v>4594</v>
      </c>
      <c r="G2096" t="s">
        <v>4595</v>
      </c>
      <c r="H2096" t="s">
        <v>4596</v>
      </c>
      <c r="I2096" t="s">
        <v>2974</v>
      </c>
    </row>
    <row r="2097" spans="1:9" x14ac:dyDescent="0.25">
      <c r="A2097" s="1" t="str">
        <f>HYPERLINK("https://lynxcrm-apac--c.eu19.visual.force.com/0011i000001xnMNAAY","Joint &amp; Cartilage")</f>
        <v>Joint &amp; Cartilage</v>
      </c>
      <c r="B2097" t="s">
        <v>4597</v>
      </c>
      <c r="C2097" t="s">
        <v>10</v>
      </c>
      <c r="D2097" t="s">
        <v>8</v>
      </c>
      <c r="E2097" t="s">
        <v>8</v>
      </c>
      <c r="F2097" t="s">
        <v>461</v>
      </c>
      <c r="G2097" t="s">
        <v>87</v>
      </c>
      <c r="H2097" t="s">
        <v>87</v>
      </c>
      <c r="I2097" t="s">
        <v>85</v>
      </c>
    </row>
    <row r="2098" spans="1:9" x14ac:dyDescent="0.25">
      <c r="A2098" s="1" t="str">
        <f>HYPERLINK("https://lynxcrm-apac--c.eu19.visual.force.com/0011i000001xnYFAAY","Jo-Lin Family Clinic &amp; Surgery")</f>
        <v>Jo-Lin Family Clinic &amp; Surgery</v>
      </c>
      <c r="B2098" t="s">
        <v>4598</v>
      </c>
      <c r="C2098" t="s">
        <v>10</v>
      </c>
      <c r="D2098" t="s">
        <v>8</v>
      </c>
      <c r="E2098" t="s">
        <v>8</v>
      </c>
      <c r="F2098" t="s">
        <v>4599</v>
      </c>
      <c r="G2098" t="s">
        <v>4600</v>
      </c>
      <c r="H2098" t="s">
        <v>4600</v>
      </c>
      <c r="I2098" t="s">
        <v>4601</v>
      </c>
    </row>
    <row r="2099" spans="1:9" x14ac:dyDescent="0.25">
      <c r="A2099" s="1" t="str">
        <f>HYPERLINK("https://lynxcrm-apac--c.eu19.visual.force.com/0011i000001xoH8AAI","Jong, Michelle")</f>
        <v>Jong, Michelle</v>
      </c>
      <c r="B2099" t="s">
        <v>4602</v>
      </c>
      <c r="C2099" t="s">
        <v>28</v>
      </c>
      <c r="D2099" t="s">
        <v>261</v>
      </c>
      <c r="E2099" t="s">
        <v>8</v>
      </c>
      <c r="F2099" t="s">
        <v>246</v>
      </c>
      <c r="G2099" t="s">
        <v>258</v>
      </c>
      <c r="H2099" t="s">
        <v>258</v>
      </c>
      <c r="I2099" t="s">
        <v>260</v>
      </c>
    </row>
    <row r="2100" spans="1:9" x14ac:dyDescent="0.25">
      <c r="A2100" s="1" t="str">
        <f>HYPERLINK("https://lynxcrm-apac--c.eu19.visual.force.com/0011i000001xogBAAQ","Joosoph, Jazlan")</f>
        <v>Joosoph, Jazlan</v>
      </c>
      <c r="B2100" t="s">
        <v>4603</v>
      </c>
      <c r="C2100" t="s">
        <v>28</v>
      </c>
      <c r="D2100" t="s">
        <v>228</v>
      </c>
      <c r="E2100" t="s">
        <v>8</v>
      </c>
      <c r="F2100" t="s">
        <v>163</v>
      </c>
      <c r="G2100" t="s">
        <v>163</v>
      </c>
      <c r="H2100" t="s">
        <v>8</v>
      </c>
      <c r="I2100" t="s">
        <v>8</v>
      </c>
    </row>
    <row r="2101" spans="1:9" x14ac:dyDescent="0.25">
      <c r="A2101" s="1" t="str">
        <f>HYPERLINK("https://lynxcrm-apac--c.eu19.visual.force.com/0011i000001xo24AAA","Joseph, Vijeyakaran Thu")</f>
        <v>Joseph, Vijeyakaran Thu</v>
      </c>
      <c r="B2101" t="s">
        <v>4604</v>
      </c>
      <c r="C2101" t="s">
        <v>28</v>
      </c>
      <c r="D2101" t="s">
        <v>583</v>
      </c>
      <c r="E2101" t="s">
        <v>8</v>
      </c>
      <c r="F2101" t="s">
        <v>583</v>
      </c>
      <c r="G2101" t="s">
        <v>584</v>
      </c>
      <c r="H2101" t="s">
        <v>584</v>
      </c>
      <c r="I2101" t="s">
        <v>585</v>
      </c>
    </row>
    <row r="2102" spans="1:9" x14ac:dyDescent="0.25">
      <c r="A2102" s="1" t="str">
        <f>HYPERLINK("https://lynxcrm-apac--c.eu19.visual.force.com/0011i000001xo24AAA","Joseph, Vijeyakaran Thu")</f>
        <v>Joseph, Vijeyakaran Thu</v>
      </c>
      <c r="B2102" t="s">
        <v>4604</v>
      </c>
      <c r="C2102" t="s">
        <v>28</v>
      </c>
      <c r="D2102" t="s">
        <v>1623</v>
      </c>
      <c r="E2102" t="s">
        <v>8</v>
      </c>
      <c r="F2102" t="s">
        <v>584</v>
      </c>
      <c r="G2102" t="s">
        <v>583</v>
      </c>
      <c r="H2102" t="s">
        <v>583</v>
      </c>
      <c r="I2102" t="s">
        <v>585</v>
      </c>
    </row>
    <row r="2103" spans="1:9" x14ac:dyDescent="0.25">
      <c r="A2103" s="1" t="str">
        <f>HYPERLINK("https://lynxcrm-apac--c.eu19.visual.force.com/0011i00000nIAwWAAW","Jose Vadassery, Shaji")</f>
        <v>Jose Vadassery, Shaji</v>
      </c>
      <c r="B2103" t="s">
        <v>4605</v>
      </c>
      <c r="C2103" t="s">
        <v>28</v>
      </c>
      <c r="D2103" t="s">
        <v>8</v>
      </c>
      <c r="E2103" t="s">
        <v>8</v>
      </c>
      <c r="F2103" t="s">
        <v>257</v>
      </c>
      <c r="G2103" t="s">
        <v>258</v>
      </c>
      <c r="H2103" t="s">
        <v>259</v>
      </c>
      <c r="I2103" t="s">
        <v>260</v>
      </c>
    </row>
    <row r="2104" spans="1:9" x14ac:dyDescent="0.25">
      <c r="A2104" s="1" t="str">
        <f>HYPERLINK("https://lynxcrm-apac--c.eu19.visual.force.com/0011i00000nIAwWAAW","Jose Vadassery, Shaji")</f>
        <v>Jose Vadassery, Shaji</v>
      </c>
      <c r="B2104" t="s">
        <v>4605</v>
      </c>
      <c r="C2104" t="s">
        <v>28</v>
      </c>
      <c r="D2104" t="s">
        <v>261</v>
      </c>
      <c r="E2104" t="s">
        <v>8</v>
      </c>
      <c r="F2104" t="s">
        <v>257</v>
      </c>
      <c r="G2104" t="s">
        <v>258</v>
      </c>
      <c r="H2104" t="s">
        <v>259</v>
      </c>
      <c r="I2104" t="s">
        <v>260</v>
      </c>
    </row>
    <row r="2105" spans="1:9" x14ac:dyDescent="0.25">
      <c r="A2105" s="1" t="str">
        <f>HYPERLINK("https://lynxcrm-apac--c.eu19.visual.force.com/0011i00000FGZLBAA5","Joyce Seng")</f>
        <v>Joyce Seng</v>
      </c>
      <c r="B2105" t="s">
        <v>4606</v>
      </c>
      <c r="C2105" t="s">
        <v>10</v>
      </c>
      <c r="D2105" t="s">
        <v>4607</v>
      </c>
      <c r="E2105" t="s">
        <v>8</v>
      </c>
      <c r="F2105" t="s">
        <v>4608</v>
      </c>
      <c r="G2105" t="s">
        <v>1454</v>
      </c>
      <c r="H2105" t="s">
        <v>8</v>
      </c>
      <c r="I2105" t="s">
        <v>4609</v>
      </c>
    </row>
    <row r="2106" spans="1:9" x14ac:dyDescent="0.25">
      <c r="A2106" s="1" t="str">
        <f>HYPERLINK("https://lynxcrm-apac--c.eu19.visual.force.com/0011i000001xnAwAAI","Joy Family Clinic")</f>
        <v>Joy Family Clinic</v>
      </c>
      <c r="B2106" t="s">
        <v>4610</v>
      </c>
      <c r="C2106" t="s">
        <v>10</v>
      </c>
      <c r="D2106" t="s">
        <v>8</v>
      </c>
      <c r="E2106" t="s">
        <v>8</v>
      </c>
      <c r="F2106" t="s">
        <v>4611</v>
      </c>
      <c r="G2106" t="s">
        <v>572</v>
      </c>
      <c r="H2106" t="s">
        <v>572</v>
      </c>
      <c r="I2106" t="s">
        <v>574</v>
      </c>
    </row>
    <row r="2107" spans="1:9" x14ac:dyDescent="0.25">
      <c r="A2107" s="1" t="str">
        <f>HYPERLINK("https://lynxcrm-apac--c.eu19.visual.force.com/0011i000001xmkFAAQ","Joyhealth Medical Clinic &amp; Surgery")</f>
        <v>Joyhealth Medical Clinic &amp; Surgery</v>
      </c>
      <c r="B2107" t="s">
        <v>4612</v>
      </c>
      <c r="C2107" t="s">
        <v>10</v>
      </c>
      <c r="D2107" t="s">
        <v>8</v>
      </c>
      <c r="E2107" t="s">
        <v>8</v>
      </c>
      <c r="F2107" t="s">
        <v>1617</v>
      </c>
      <c r="G2107" t="s">
        <v>402</v>
      </c>
      <c r="H2107" t="s">
        <v>1618</v>
      </c>
      <c r="I2107" t="s">
        <v>1619</v>
      </c>
    </row>
    <row r="2108" spans="1:9" x14ac:dyDescent="0.25">
      <c r="A2108" s="1" t="str">
        <f>HYPERLINK("https://lynxcrm-apac--c.eu19.visual.force.com/0011i000001xn9dAAA","Joyspring Family Clinic")</f>
        <v>Joyspring Family Clinic</v>
      </c>
      <c r="B2108" t="s">
        <v>4613</v>
      </c>
      <c r="C2108" t="s">
        <v>10</v>
      </c>
      <c r="D2108" t="s">
        <v>8</v>
      </c>
      <c r="E2108" t="s">
        <v>8</v>
      </c>
      <c r="F2108" t="s">
        <v>3682</v>
      </c>
      <c r="G2108" t="s">
        <v>4614</v>
      </c>
      <c r="H2108" t="s">
        <v>4615</v>
      </c>
      <c r="I2108" t="s">
        <v>3684</v>
      </c>
    </row>
    <row r="2109" spans="1:9" x14ac:dyDescent="0.25">
      <c r="A2109" s="1" t="str">
        <f>HYPERLINK("https://lynxcrm-apac--c.eu19.visual.force.com/0011i000001xobzAAA","Juliana, Bahadin")</f>
        <v>Juliana, Bahadin</v>
      </c>
      <c r="B2109" t="s">
        <v>4616</v>
      </c>
      <c r="C2109" t="s">
        <v>28</v>
      </c>
      <c r="D2109" t="s">
        <v>545</v>
      </c>
      <c r="E2109" t="s">
        <v>8</v>
      </c>
      <c r="F2109" t="s">
        <v>546</v>
      </c>
      <c r="G2109" t="s">
        <v>547</v>
      </c>
      <c r="H2109" t="s">
        <v>547</v>
      </c>
      <c r="I2109" t="s">
        <v>548</v>
      </c>
    </row>
    <row r="2110" spans="1:9" x14ac:dyDescent="0.25">
      <c r="A2110" s="1" t="str">
        <f>HYPERLINK("https://lynxcrm-apac--c.eu19.visual.force.com/0011i000001xobzAAA","Juliana, Bahadin")</f>
        <v>Juliana, Bahadin</v>
      </c>
      <c r="B2110" t="s">
        <v>4616</v>
      </c>
      <c r="C2110" t="s">
        <v>28</v>
      </c>
      <c r="D2110" t="s">
        <v>4617</v>
      </c>
      <c r="E2110" t="s">
        <v>8</v>
      </c>
      <c r="F2110" t="s">
        <v>4618</v>
      </c>
      <c r="G2110" t="s">
        <v>4618</v>
      </c>
      <c r="H2110" t="s">
        <v>8</v>
      </c>
      <c r="I2110" t="s">
        <v>4619</v>
      </c>
    </row>
    <row r="2111" spans="1:9" x14ac:dyDescent="0.25">
      <c r="A2111" s="1" t="str">
        <f>HYPERLINK("https://lynxcrm-apac--c.eu19.visual.force.com/0011i000001xo3AAAQ","Juliana, Bahadin")</f>
        <v>Juliana, Bahadin</v>
      </c>
      <c r="B2111" t="s">
        <v>4620</v>
      </c>
      <c r="C2111" t="s">
        <v>28</v>
      </c>
      <c r="D2111" t="s">
        <v>545</v>
      </c>
      <c r="E2111" t="s">
        <v>8</v>
      </c>
      <c r="F2111" t="s">
        <v>844</v>
      </c>
      <c r="G2111" t="s">
        <v>845</v>
      </c>
      <c r="H2111" t="s">
        <v>845</v>
      </c>
      <c r="I2111" t="s">
        <v>847</v>
      </c>
    </row>
    <row r="2112" spans="1:9" x14ac:dyDescent="0.25">
      <c r="A2112" s="1" t="str">
        <f>HYPERLINK("https://lynxcrm-apac--c.eu19.visual.force.com/0011i000001xmi1AAA","Julian Ong Endoscopy &amp; Surgery")</f>
        <v>Julian Ong Endoscopy &amp; Surgery</v>
      </c>
      <c r="B2112" t="s">
        <v>4621</v>
      </c>
      <c r="C2112" t="s">
        <v>10</v>
      </c>
      <c r="D2112" t="s">
        <v>8</v>
      </c>
      <c r="E2112" t="s">
        <v>8</v>
      </c>
      <c r="F2112" t="s">
        <v>4622</v>
      </c>
      <c r="G2112" t="s">
        <v>2731</v>
      </c>
      <c r="H2112" t="s">
        <v>2731</v>
      </c>
      <c r="I2112" t="s">
        <v>344</v>
      </c>
    </row>
    <row r="2113" spans="1:9" x14ac:dyDescent="0.25">
      <c r="A2113" s="1" t="str">
        <f>HYPERLINK("https://lynxcrm-apac--c.eu19.visual.force.com/0011i000001xnQfAAI","Junction 8 Family Clinic")</f>
        <v>Junction 8 Family Clinic</v>
      </c>
      <c r="B2113" t="s">
        <v>4623</v>
      </c>
      <c r="C2113" t="s">
        <v>10</v>
      </c>
      <c r="D2113" t="s">
        <v>8</v>
      </c>
      <c r="E2113" t="s">
        <v>8</v>
      </c>
      <c r="F2113" t="s">
        <v>4624</v>
      </c>
      <c r="G2113" t="s">
        <v>4625</v>
      </c>
      <c r="H2113" t="s">
        <v>4625</v>
      </c>
      <c r="I2113" t="s">
        <v>4626</v>
      </c>
    </row>
    <row r="2114" spans="1:9" x14ac:dyDescent="0.25">
      <c r="A2114" s="1" t="str">
        <f>HYPERLINK("https://lynxcrm-apac--c.eu19.visual.force.com/0011i00000oYB9kAAG","Jung, Se Ji")</f>
        <v>Jung, Se Ji</v>
      </c>
      <c r="B2114" t="s">
        <v>4627</v>
      </c>
      <c r="C2114" t="s">
        <v>28</v>
      </c>
      <c r="D2114" t="s">
        <v>8</v>
      </c>
      <c r="E2114" t="s">
        <v>8</v>
      </c>
      <c r="F2114" t="s">
        <v>393</v>
      </c>
      <c r="G2114" t="s">
        <v>394</v>
      </c>
      <c r="H2114" t="s">
        <v>395</v>
      </c>
      <c r="I2114" t="s">
        <v>396</v>
      </c>
    </row>
    <row r="2115" spans="1:9" x14ac:dyDescent="0.25">
      <c r="A2115" s="1" t="str">
        <f>HYPERLINK("https://lynxcrm-apac--c.eu19.visual.force.com/0011i00000oYB9kAAG","Jung, Se Ji")</f>
        <v>Jung, Se Ji</v>
      </c>
      <c r="B2115" t="s">
        <v>4627</v>
      </c>
      <c r="C2115" t="s">
        <v>28</v>
      </c>
      <c r="D2115" t="s">
        <v>392</v>
      </c>
      <c r="E2115" t="s">
        <v>8</v>
      </c>
      <c r="F2115" t="s">
        <v>393</v>
      </c>
      <c r="G2115" t="s">
        <v>394</v>
      </c>
      <c r="H2115" t="s">
        <v>395</v>
      </c>
      <c r="I2115" t="s">
        <v>396</v>
      </c>
    </row>
    <row r="2116" spans="1:9" x14ac:dyDescent="0.25">
      <c r="A2116" s="1" t="str">
        <f>HYPERLINK("https://lynxcrm-apac--c.eu19.visual.force.com/0011i000001xnYDAAY","Jurong East Avenue 1")</f>
        <v>Jurong East Avenue 1</v>
      </c>
      <c r="B2116" t="s">
        <v>4628</v>
      </c>
      <c r="C2116" t="s">
        <v>10</v>
      </c>
      <c r="D2116" t="s">
        <v>8</v>
      </c>
      <c r="E2116" t="s">
        <v>8</v>
      </c>
      <c r="F2116" t="s">
        <v>135</v>
      </c>
      <c r="G2116" t="s">
        <v>709</v>
      </c>
      <c r="H2116" t="s">
        <v>709</v>
      </c>
      <c r="I2116" t="s">
        <v>711</v>
      </c>
    </row>
    <row r="2117" spans="1:9" x14ac:dyDescent="0.25">
      <c r="A2117" s="1" t="str">
        <f>HYPERLINK("https://lynxcrm-apac--c.eu19.visual.force.com/0011i000001xmk6AAA","Jurong East Avenue 1")</f>
        <v>Jurong East Avenue 1</v>
      </c>
      <c r="B2117" t="s">
        <v>4629</v>
      </c>
      <c r="C2117" t="s">
        <v>10</v>
      </c>
      <c r="D2117" t="s">
        <v>8</v>
      </c>
      <c r="E2117" t="s">
        <v>8</v>
      </c>
      <c r="F2117" t="s">
        <v>135</v>
      </c>
      <c r="G2117" t="s">
        <v>709</v>
      </c>
      <c r="H2117" t="s">
        <v>709</v>
      </c>
      <c r="I2117" t="s">
        <v>711</v>
      </c>
    </row>
    <row r="2118" spans="1:9" x14ac:dyDescent="0.25">
      <c r="A2118" s="1" t="str">
        <f>HYPERLINK("https://lynxcrm-apac--c.eu19.visual.force.com/0011i000001xn58AAA","Jurong East Avenue 1")</f>
        <v>Jurong East Avenue 1</v>
      </c>
      <c r="B2118" t="s">
        <v>4630</v>
      </c>
      <c r="C2118" t="s">
        <v>10</v>
      </c>
      <c r="D2118" t="s">
        <v>8</v>
      </c>
      <c r="E2118" t="s">
        <v>8</v>
      </c>
      <c r="F2118" t="s">
        <v>135</v>
      </c>
      <c r="G2118" t="s">
        <v>709</v>
      </c>
      <c r="H2118" t="s">
        <v>709</v>
      </c>
      <c r="I2118" t="s">
        <v>711</v>
      </c>
    </row>
    <row r="2119" spans="1:9" x14ac:dyDescent="0.25">
      <c r="A2119" s="1" t="str">
        <f>HYPERLINK("https://lynxcrm-apac--c.eu19.visual.force.com/0011i000001xmzOAAQ","Jurong East Clinic")</f>
        <v>Jurong East Clinic</v>
      </c>
      <c r="B2119" t="s">
        <v>4631</v>
      </c>
      <c r="C2119" t="s">
        <v>10</v>
      </c>
      <c r="D2119" t="s">
        <v>8</v>
      </c>
      <c r="E2119" t="s">
        <v>8</v>
      </c>
      <c r="F2119" t="s">
        <v>4632</v>
      </c>
      <c r="G2119" t="s">
        <v>4633</v>
      </c>
      <c r="H2119" t="s">
        <v>4634</v>
      </c>
      <c r="I2119" t="s">
        <v>4635</v>
      </c>
    </row>
    <row r="2120" spans="1:9" x14ac:dyDescent="0.25">
      <c r="A2120" s="1" t="str">
        <f>HYPERLINK("https://lynxcrm-apac--c.eu19.visual.force.com/0011i000001xmkkAAA","Jurong Polyclinic")</f>
        <v>Jurong Polyclinic</v>
      </c>
      <c r="B2120" t="s">
        <v>4636</v>
      </c>
      <c r="C2120" t="s">
        <v>10</v>
      </c>
      <c r="D2120" t="s">
        <v>8</v>
      </c>
      <c r="E2120" t="s">
        <v>8</v>
      </c>
      <c r="F2120" t="s">
        <v>710</v>
      </c>
      <c r="G2120" t="s">
        <v>710</v>
      </c>
      <c r="H2120" t="s">
        <v>3293</v>
      </c>
      <c r="I2120" t="s">
        <v>711</v>
      </c>
    </row>
    <row r="2121" spans="1:9" x14ac:dyDescent="0.25">
      <c r="A2121" s="1" t="str">
        <f>HYPERLINK("https://lynxcrm-apac--c.eu19.visual.force.com/0011i000001xnVkAAI","Jurong Polyclinic")</f>
        <v>Jurong Polyclinic</v>
      </c>
      <c r="B2121" t="s">
        <v>4637</v>
      </c>
      <c r="C2121" t="s">
        <v>10</v>
      </c>
      <c r="D2121" t="s">
        <v>8</v>
      </c>
      <c r="E2121" t="s">
        <v>8</v>
      </c>
      <c r="F2121" t="s">
        <v>710</v>
      </c>
      <c r="G2121" t="s">
        <v>135</v>
      </c>
      <c r="H2121" t="s">
        <v>135</v>
      </c>
      <c r="I2121" t="s">
        <v>711</v>
      </c>
    </row>
    <row r="2122" spans="1:9" x14ac:dyDescent="0.25">
      <c r="A2122" s="1" t="str">
        <f>HYPERLINK("https://lynxcrm-apac--c.eu19.visual.force.com/0011i000001xmpTAAQ","Jurong Polyclinic")</f>
        <v>Jurong Polyclinic</v>
      </c>
      <c r="B2122" t="s">
        <v>4638</v>
      </c>
      <c r="C2122" t="s">
        <v>10</v>
      </c>
      <c r="D2122" t="s">
        <v>8</v>
      </c>
      <c r="E2122" t="s">
        <v>8</v>
      </c>
      <c r="F2122" t="s">
        <v>710</v>
      </c>
      <c r="G2122" t="s">
        <v>710</v>
      </c>
      <c r="H2122" t="s">
        <v>3293</v>
      </c>
      <c r="I2122" t="s">
        <v>711</v>
      </c>
    </row>
    <row r="2123" spans="1:9" x14ac:dyDescent="0.25">
      <c r="A2123" s="1" t="str">
        <f>HYPERLINK("https://lynxcrm-apac--c.eu19.visual.force.com/0011i000001xnOsAAI","Jurong Polyclinic")</f>
        <v>Jurong Polyclinic</v>
      </c>
      <c r="B2123" t="s">
        <v>4639</v>
      </c>
      <c r="C2123" t="s">
        <v>10</v>
      </c>
      <c r="D2123" t="s">
        <v>8</v>
      </c>
      <c r="E2123" t="s">
        <v>8</v>
      </c>
      <c r="F2123" t="s">
        <v>710</v>
      </c>
      <c r="G2123" t="s">
        <v>710</v>
      </c>
      <c r="H2123" t="s">
        <v>3293</v>
      </c>
      <c r="I2123" t="s">
        <v>711</v>
      </c>
    </row>
    <row r="2124" spans="1:9" x14ac:dyDescent="0.25">
      <c r="A2124" s="1" t="str">
        <f>HYPERLINK("https://lynxcrm-apac--c.eu19.visual.force.com/0011i000001xnUCAAY","Jurong Polyclinic")</f>
        <v>Jurong Polyclinic</v>
      </c>
      <c r="B2124" t="s">
        <v>4640</v>
      </c>
      <c r="C2124" t="s">
        <v>10</v>
      </c>
      <c r="D2124" t="s">
        <v>8</v>
      </c>
      <c r="E2124" t="s">
        <v>8</v>
      </c>
      <c r="F2124" t="s">
        <v>710</v>
      </c>
      <c r="G2124" t="s">
        <v>710</v>
      </c>
      <c r="H2124" t="s">
        <v>3293</v>
      </c>
      <c r="I2124" t="s">
        <v>711</v>
      </c>
    </row>
    <row r="2125" spans="1:9" x14ac:dyDescent="0.25">
      <c r="A2125" s="1" t="str">
        <f>HYPERLINK("https://lynxcrm-apac--c.eu19.visual.force.com/0011i000001xmlSAAQ","Jurong Polyclinic")</f>
        <v>Jurong Polyclinic</v>
      </c>
      <c r="B2125" t="s">
        <v>4641</v>
      </c>
      <c r="C2125" t="s">
        <v>10</v>
      </c>
      <c r="D2125" t="s">
        <v>8</v>
      </c>
      <c r="E2125" t="s">
        <v>8</v>
      </c>
      <c r="F2125" t="s">
        <v>710</v>
      </c>
      <c r="G2125" t="s">
        <v>710</v>
      </c>
      <c r="H2125" t="s">
        <v>1474</v>
      </c>
      <c r="I2125" t="s">
        <v>711</v>
      </c>
    </row>
    <row r="2126" spans="1:9" x14ac:dyDescent="0.25">
      <c r="A2126" s="1" t="str">
        <f>HYPERLINK("https://lynxcrm-apac--c.eu19.visual.force.com/0011i000001xnDCAAY","JW Corporation Clinic")</f>
        <v>JW Corporation Clinic</v>
      </c>
      <c r="B2126" t="s">
        <v>4642</v>
      </c>
      <c r="C2126" t="s">
        <v>10</v>
      </c>
      <c r="D2126" t="s">
        <v>8</v>
      </c>
      <c r="E2126" t="s">
        <v>8</v>
      </c>
      <c r="F2126" t="s">
        <v>4643</v>
      </c>
      <c r="G2126" t="s">
        <v>2326</v>
      </c>
      <c r="H2126" t="s">
        <v>2326</v>
      </c>
      <c r="I2126" t="s">
        <v>4644</v>
      </c>
    </row>
    <row r="2127" spans="1:9" x14ac:dyDescent="0.25">
      <c r="A2127" s="1" t="str">
        <f>HYPERLINK("https://lynxcrm-apac--c.eu19.visual.force.com/0011i000001xmyHAAQ","K.K. Ong Heart &amp; Lung Clinic Pte Ltd")</f>
        <v>K.K. Ong Heart &amp; Lung Clinic Pte Ltd</v>
      </c>
      <c r="B2127" t="s">
        <v>4645</v>
      </c>
      <c r="C2127" t="s">
        <v>10</v>
      </c>
      <c r="D2127" t="s">
        <v>8</v>
      </c>
      <c r="E2127" t="s">
        <v>8</v>
      </c>
      <c r="F2127" t="s">
        <v>69</v>
      </c>
      <c r="G2127" t="s">
        <v>4646</v>
      </c>
      <c r="H2127" t="s">
        <v>4647</v>
      </c>
      <c r="I2127" t="s">
        <v>67</v>
      </c>
    </row>
    <row r="2128" spans="1:9" x14ac:dyDescent="0.25">
      <c r="A2128" s="1" t="str">
        <f>HYPERLINK("https://lynxcrm-apac--c.eu19.visual.force.com/0011i000001xnaqAAA","Kai Clinic")</f>
        <v>Kai Clinic</v>
      </c>
      <c r="B2128" t="s">
        <v>4648</v>
      </c>
      <c r="C2128" t="s">
        <v>10</v>
      </c>
      <c r="D2128" t="s">
        <v>8</v>
      </c>
      <c r="E2128" t="s">
        <v>8</v>
      </c>
      <c r="F2128" t="s">
        <v>4227</v>
      </c>
      <c r="G2128" t="s">
        <v>4227</v>
      </c>
      <c r="H2128" t="s">
        <v>4228</v>
      </c>
      <c r="I2128" t="s">
        <v>4229</v>
      </c>
    </row>
    <row r="2129" spans="1:9" x14ac:dyDescent="0.25">
      <c r="A2129" s="1" t="str">
        <f>HYPERLINK("https://lynxcrm-apac--c.eu19.visual.force.com/0011i000001xnZyAAI","Kai Medical Cliinic")</f>
        <v>Kai Medical Cliinic</v>
      </c>
      <c r="B2129" t="s">
        <v>4649</v>
      </c>
      <c r="C2129" t="s">
        <v>10</v>
      </c>
      <c r="D2129" t="s">
        <v>8</v>
      </c>
      <c r="E2129" t="s">
        <v>8</v>
      </c>
      <c r="F2129" t="s">
        <v>4650</v>
      </c>
      <c r="G2129" t="s">
        <v>4651</v>
      </c>
      <c r="H2129" t="s">
        <v>4652</v>
      </c>
      <c r="I2129" t="s">
        <v>4653</v>
      </c>
    </row>
    <row r="2130" spans="1:9" x14ac:dyDescent="0.25">
      <c r="A2130" s="1" t="str">
        <f>HYPERLINK("https://lynxcrm-apac--c.eu19.visual.force.com/0011i000001xoGmAAI","Kalaimamani, d/o Kanadasabai")</f>
        <v>Kalaimamani, d/o Kanadasabai</v>
      </c>
      <c r="B2130" t="s">
        <v>4654</v>
      </c>
      <c r="C2130" t="s">
        <v>28</v>
      </c>
      <c r="D2130" t="s">
        <v>1305</v>
      </c>
      <c r="E2130" t="s">
        <v>8</v>
      </c>
      <c r="F2130" t="s">
        <v>609</v>
      </c>
      <c r="G2130" t="s">
        <v>1307</v>
      </c>
      <c r="H2130" t="s">
        <v>1307</v>
      </c>
      <c r="I2130" t="s">
        <v>610</v>
      </c>
    </row>
    <row r="2131" spans="1:9" x14ac:dyDescent="0.25">
      <c r="A2131" s="1" t="str">
        <f>HYPERLINK("https://lynxcrm-apac--c.eu19.visual.force.com/0011i000001xobhAAA","Kam, Shyan Chin")</f>
        <v>Kam, Shyan Chin</v>
      </c>
      <c r="B2131" t="s">
        <v>4655</v>
      </c>
      <c r="C2131" t="s">
        <v>28</v>
      </c>
      <c r="D2131" t="s">
        <v>4656</v>
      </c>
      <c r="E2131" t="s">
        <v>8</v>
      </c>
      <c r="F2131" t="s">
        <v>272</v>
      </c>
      <c r="G2131" t="s">
        <v>2906</v>
      </c>
      <c r="H2131" t="s">
        <v>2907</v>
      </c>
      <c r="I2131" t="s">
        <v>275</v>
      </c>
    </row>
    <row r="2132" spans="1:9" x14ac:dyDescent="0.25">
      <c r="A2132" s="1" t="str">
        <f>HYPERLINK("https://lynxcrm-apac--c.eu19.visual.force.com/0011i000001xog4AAA","Kamal, Bose")</f>
        <v>Kamal, Bose</v>
      </c>
      <c r="B2132" t="s">
        <v>4657</v>
      </c>
      <c r="C2132" t="s">
        <v>28</v>
      </c>
      <c r="D2132" t="s">
        <v>4658</v>
      </c>
      <c r="E2132" t="s">
        <v>8</v>
      </c>
      <c r="F2132" t="s">
        <v>377</v>
      </c>
      <c r="G2132" t="s">
        <v>956</v>
      </c>
      <c r="H2132" t="s">
        <v>957</v>
      </c>
      <c r="I2132" t="s">
        <v>123</v>
      </c>
    </row>
    <row r="2133" spans="1:9" x14ac:dyDescent="0.25">
      <c r="A2133" s="1" t="str">
        <f>HYPERLINK("https://lynxcrm-apac--c.eu19.visual.force.com/0011i000001xoK5AAI","Kamal, Kumar Verma")</f>
        <v>Kamal, Kumar Verma</v>
      </c>
      <c r="B2133" t="s">
        <v>4659</v>
      </c>
      <c r="C2133" t="s">
        <v>28</v>
      </c>
      <c r="D2133" t="s">
        <v>474</v>
      </c>
      <c r="E2133" t="s">
        <v>8</v>
      </c>
      <c r="F2133" t="s">
        <v>1263</v>
      </c>
      <c r="G2133" t="s">
        <v>258</v>
      </c>
      <c r="H2133" t="s">
        <v>259</v>
      </c>
      <c r="I2133" t="s">
        <v>260</v>
      </c>
    </row>
    <row r="2134" spans="1:9" x14ac:dyDescent="0.25">
      <c r="A2134" s="1" t="str">
        <f>HYPERLINK("https://lynxcrm-apac--c.eu19.visual.force.com/0011i000001xmpMAAQ","Kam Colorectal Centre")</f>
        <v>Kam Colorectal Centre</v>
      </c>
      <c r="B2134" t="s">
        <v>4660</v>
      </c>
      <c r="C2134" t="s">
        <v>10</v>
      </c>
      <c r="D2134" t="s">
        <v>8</v>
      </c>
      <c r="E2134" t="s">
        <v>8</v>
      </c>
      <c r="F2134" t="s">
        <v>4661</v>
      </c>
      <c r="G2134" t="s">
        <v>4662</v>
      </c>
      <c r="H2134" t="s">
        <v>4662</v>
      </c>
      <c r="I2134" t="s">
        <v>1803</v>
      </c>
    </row>
    <row r="2135" spans="1:9" x14ac:dyDescent="0.25">
      <c r="A2135" s="1" t="str">
        <f>HYPERLINK("https://lynxcrm-apac--c.eu19.visual.force.com/0011i00000uPQECAA4","Kan, Yaan Meng")</f>
        <v>Kan, Yaan Meng</v>
      </c>
      <c r="B2135" t="s">
        <v>4663</v>
      </c>
      <c r="C2135" t="s">
        <v>28</v>
      </c>
      <c r="D2135" t="s">
        <v>1462</v>
      </c>
      <c r="E2135" t="s">
        <v>8</v>
      </c>
      <c r="F2135" t="s">
        <v>1463</v>
      </c>
      <c r="G2135" t="s">
        <v>1464</v>
      </c>
      <c r="H2135" t="s">
        <v>8</v>
      </c>
      <c r="I2135" t="s">
        <v>1465</v>
      </c>
    </row>
    <row r="2136" spans="1:9" x14ac:dyDescent="0.25">
      <c r="A2136" s="1" t="str">
        <f>HYPERLINK("https://lynxcrm-apac--c.eu19.visual.force.com/0011i000001xoL7AAI","Kandasamy, Nirmala")</f>
        <v>Kandasamy, Nirmala</v>
      </c>
      <c r="B2136" t="s">
        <v>4664</v>
      </c>
      <c r="C2136" t="s">
        <v>28</v>
      </c>
      <c r="D2136" t="s">
        <v>21</v>
      </c>
      <c r="E2136" t="s">
        <v>8</v>
      </c>
      <c r="F2136" t="s">
        <v>699</v>
      </c>
      <c r="G2136" t="s">
        <v>699</v>
      </c>
      <c r="H2136" t="s">
        <v>8</v>
      </c>
      <c r="I2136" t="s">
        <v>22</v>
      </c>
    </row>
    <row r="2137" spans="1:9" x14ac:dyDescent="0.25">
      <c r="A2137" s="1" t="str">
        <f>HYPERLINK("https://lynxcrm-apac--c.eu19.visual.force.com/0011i000001xoL7AAI","Kandasamy, Nirmala")</f>
        <v>Kandasamy, Nirmala</v>
      </c>
      <c r="B2137" t="s">
        <v>4664</v>
      </c>
      <c r="C2137" t="s">
        <v>28</v>
      </c>
      <c r="D2137" t="s">
        <v>20</v>
      </c>
      <c r="E2137" t="s">
        <v>8</v>
      </c>
      <c r="F2137" t="s">
        <v>20</v>
      </c>
      <c r="G2137" t="s">
        <v>21</v>
      </c>
      <c r="H2137" t="s">
        <v>21</v>
      </c>
      <c r="I2137" t="s">
        <v>22</v>
      </c>
    </row>
    <row r="2138" spans="1:9" x14ac:dyDescent="0.25">
      <c r="A2138" s="1" t="str">
        <f>HYPERLINK("https://lynxcrm-apac--c.eu19.visual.force.com/0011i00000Xf1GsAAJ","Kaneswran, Ravindran")</f>
        <v>Kaneswran, Ravindran</v>
      </c>
      <c r="B2138" t="s">
        <v>4665</v>
      </c>
      <c r="C2138" t="s">
        <v>28</v>
      </c>
      <c r="D2138" t="s">
        <v>2027</v>
      </c>
      <c r="E2138" t="s">
        <v>8</v>
      </c>
      <c r="F2138" t="s">
        <v>2028</v>
      </c>
      <c r="G2138" t="s">
        <v>2029</v>
      </c>
      <c r="H2138" t="s">
        <v>8</v>
      </c>
      <c r="I2138" t="s">
        <v>488</v>
      </c>
    </row>
    <row r="2139" spans="1:9" x14ac:dyDescent="0.25">
      <c r="A2139" s="1" t="str">
        <f>HYPERLINK("https://lynxcrm-apac--c.eu19.visual.force.com/0011i000001xooOAAQ","Kang, Chung Meng")</f>
        <v>Kang, Chung Meng</v>
      </c>
      <c r="B2139" t="s">
        <v>4666</v>
      </c>
      <c r="C2139" t="s">
        <v>28</v>
      </c>
      <c r="D2139" t="s">
        <v>4667</v>
      </c>
      <c r="E2139" t="s">
        <v>8</v>
      </c>
      <c r="F2139" t="s">
        <v>4668</v>
      </c>
      <c r="G2139" t="s">
        <v>4668</v>
      </c>
      <c r="H2139" t="s">
        <v>4669</v>
      </c>
      <c r="I2139" t="s">
        <v>4670</v>
      </c>
    </row>
    <row r="2140" spans="1:9" x14ac:dyDescent="0.25">
      <c r="A2140" s="1" t="str">
        <f>HYPERLINK("https://lynxcrm-apac--c.eu19.visual.force.com/0011i00000oYBEvAAO","Kang, Gary")</f>
        <v>Kang, Gary</v>
      </c>
      <c r="B2140" t="s">
        <v>4671</v>
      </c>
      <c r="C2140" t="s">
        <v>28</v>
      </c>
      <c r="D2140" t="s">
        <v>8</v>
      </c>
      <c r="E2140" t="s">
        <v>8</v>
      </c>
      <c r="F2140" t="s">
        <v>393</v>
      </c>
      <c r="G2140" t="s">
        <v>394</v>
      </c>
      <c r="H2140" t="s">
        <v>395</v>
      </c>
      <c r="I2140" t="s">
        <v>396</v>
      </c>
    </row>
    <row r="2141" spans="1:9" x14ac:dyDescent="0.25">
      <c r="A2141" s="1" t="str">
        <f>HYPERLINK("https://lynxcrm-apac--c.eu19.visual.force.com/0011i00000oYBEvAAO","Kang, Gary")</f>
        <v>Kang, Gary</v>
      </c>
      <c r="B2141" t="s">
        <v>4671</v>
      </c>
      <c r="C2141" t="s">
        <v>28</v>
      </c>
      <c r="D2141" t="s">
        <v>392</v>
      </c>
      <c r="E2141" t="s">
        <v>8</v>
      </c>
      <c r="F2141" t="s">
        <v>393</v>
      </c>
      <c r="G2141" t="s">
        <v>394</v>
      </c>
      <c r="H2141" t="s">
        <v>395</v>
      </c>
      <c r="I2141" t="s">
        <v>396</v>
      </c>
    </row>
    <row r="2142" spans="1:9" x14ac:dyDescent="0.25">
      <c r="A2142" s="1" t="str">
        <f>HYPERLINK("https://lynxcrm-apac--c.eu19.visual.force.com/0011i000001xoOaAAI","Kang, Helen")</f>
        <v>Kang, Helen</v>
      </c>
      <c r="B2142" t="s">
        <v>4672</v>
      </c>
      <c r="C2142" t="s">
        <v>28</v>
      </c>
      <c r="D2142" t="s">
        <v>90</v>
      </c>
      <c r="E2142" t="s">
        <v>8</v>
      </c>
      <c r="F2142" t="s">
        <v>90</v>
      </c>
      <c r="G2142" t="s">
        <v>91</v>
      </c>
      <c r="H2142" t="s">
        <v>91</v>
      </c>
      <c r="I2142" t="s">
        <v>92</v>
      </c>
    </row>
    <row r="2143" spans="1:9" x14ac:dyDescent="0.25">
      <c r="A2143" s="1" t="str">
        <f>HYPERLINK("https://lynxcrm-apac--c.eu19.visual.force.com/0011i000001xoOaAAI","Kang, Helen")</f>
        <v>Kang, Helen</v>
      </c>
      <c r="B2143" t="s">
        <v>4672</v>
      </c>
      <c r="C2143" t="s">
        <v>28</v>
      </c>
      <c r="D2143" t="s">
        <v>520</v>
      </c>
      <c r="E2143" t="s">
        <v>8</v>
      </c>
      <c r="F2143" t="s">
        <v>90</v>
      </c>
      <c r="G2143" t="s">
        <v>521</v>
      </c>
      <c r="H2143" t="s">
        <v>521</v>
      </c>
      <c r="I2143" t="s">
        <v>92</v>
      </c>
    </row>
    <row r="2144" spans="1:9" x14ac:dyDescent="0.25">
      <c r="A2144" s="1" t="str">
        <f>HYPERLINK("https://lynxcrm-apac--c.eu19.visual.force.com/0011i000001xo26AAA","Kang, Wee")</f>
        <v>Kang, Wee</v>
      </c>
      <c r="B2144" t="s">
        <v>4673</v>
      </c>
      <c r="C2144" t="s">
        <v>28</v>
      </c>
      <c r="D2144" t="s">
        <v>4674</v>
      </c>
      <c r="E2144" t="s">
        <v>8</v>
      </c>
      <c r="F2144" t="s">
        <v>4675</v>
      </c>
      <c r="G2144" t="s">
        <v>4676</v>
      </c>
      <c r="H2144" t="s">
        <v>4676</v>
      </c>
      <c r="I2144" t="s">
        <v>200</v>
      </c>
    </row>
    <row r="2145" spans="1:9" x14ac:dyDescent="0.25">
      <c r="A2145" s="1" t="str">
        <f>HYPERLINK("https://lynxcrm-apac--c.eu19.visual.force.com/0011i000001xoJzAAI","Kang, Wee Lee")</f>
        <v>Kang, Wee Lee</v>
      </c>
      <c r="B2145" t="s">
        <v>4677</v>
      </c>
      <c r="C2145" t="s">
        <v>28</v>
      </c>
      <c r="D2145" t="s">
        <v>251</v>
      </c>
      <c r="E2145" t="s">
        <v>8</v>
      </c>
      <c r="F2145" t="s">
        <v>252</v>
      </c>
      <c r="G2145" t="s">
        <v>252</v>
      </c>
      <c r="H2145" t="s">
        <v>858</v>
      </c>
      <c r="I2145" t="s">
        <v>253</v>
      </c>
    </row>
    <row r="2146" spans="1:9" x14ac:dyDescent="0.25">
      <c r="A2146" s="1" t="str">
        <f>HYPERLINK("https://lynxcrm-apac--c.eu19.visual.force.com/0011i000001xoJzAAI","Kang, Wee Lee")</f>
        <v>Kang, Wee Lee</v>
      </c>
      <c r="B2146" t="s">
        <v>4677</v>
      </c>
      <c r="C2146" t="s">
        <v>28</v>
      </c>
      <c r="D2146" t="s">
        <v>261</v>
      </c>
      <c r="E2146" t="s">
        <v>8</v>
      </c>
      <c r="F2146" t="s">
        <v>261</v>
      </c>
      <c r="G2146" t="s">
        <v>347</v>
      </c>
      <c r="H2146" t="s">
        <v>347</v>
      </c>
      <c r="I2146" t="s">
        <v>260</v>
      </c>
    </row>
    <row r="2147" spans="1:9" x14ac:dyDescent="0.25">
      <c r="A2147" s="1" t="str">
        <f>HYPERLINK("https://lynxcrm-apac--c.eu19.visual.force.com/0011i000001xnBGAAY","Kang An Clinic Pte Ltd")</f>
        <v>Kang An Clinic Pte Ltd</v>
      </c>
      <c r="B2147" t="s">
        <v>4678</v>
      </c>
      <c r="C2147" t="s">
        <v>10</v>
      </c>
      <c r="D2147" t="s">
        <v>8</v>
      </c>
      <c r="E2147" t="s">
        <v>8</v>
      </c>
      <c r="F2147" t="s">
        <v>4679</v>
      </c>
      <c r="G2147" t="s">
        <v>4680</v>
      </c>
      <c r="H2147" t="s">
        <v>4681</v>
      </c>
      <c r="I2147" t="s">
        <v>3912</v>
      </c>
    </row>
    <row r="2148" spans="1:9" x14ac:dyDescent="0.25">
      <c r="A2148" s="1" t="str">
        <f>HYPERLINK("https://lynxcrm-apac--c.eu19.visual.force.com/0011i000001xnbNAAQ","Kang Clinic")</f>
        <v>Kang Clinic</v>
      </c>
      <c r="B2148" t="s">
        <v>4682</v>
      </c>
      <c r="C2148" t="s">
        <v>10</v>
      </c>
      <c r="D2148" t="s">
        <v>8</v>
      </c>
      <c r="E2148" t="s">
        <v>8</v>
      </c>
      <c r="F2148" t="s">
        <v>4668</v>
      </c>
      <c r="G2148" t="s">
        <v>4668</v>
      </c>
      <c r="H2148" t="s">
        <v>4669</v>
      </c>
      <c r="I2148" t="s">
        <v>4670</v>
      </c>
    </row>
    <row r="2149" spans="1:9" x14ac:dyDescent="0.25">
      <c r="A2149" s="1" t="str">
        <f>HYPERLINK("https://lynxcrm-apac--c.eu19.visual.force.com/0011i000001xnp5AAA","Kannan, s/o Kaliyaperumal")</f>
        <v>Kannan, s/o Kaliyaperumal</v>
      </c>
      <c r="B2149" t="s">
        <v>4683</v>
      </c>
      <c r="C2149" t="s">
        <v>28</v>
      </c>
      <c r="D2149" t="s">
        <v>4684</v>
      </c>
      <c r="E2149" t="s">
        <v>8</v>
      </c>
      <c r="F2149" t="s">
        <v>1102</v>
      </c>
      <c r="G2149" t="s">
        <v>1105</v>
      </c>
      <c r="H2149" t="s">
        <v>1105</v>
      </c>
      <c r="I2149" t="s">
        <v>123</v>
      </c>
    </row>
    <row r="2150" spans="1:9" x14ac:dyDescent="0.25">
      <c r="A2150" s="1" t="str">
        <f>HYPERLINK("https://lynxcrm-apac--c.eu19.visual.force.com/0011i000001xoZEAAY","Kao, Chin Yu")</f>
        <v>Kao, Chin Yu</v>
      </c>
      <c r="B2150" t="s">
        <v>4685</v>
      </c>
      <c r="C2150" t="s">
        <v>28</v>
      </c>
      <c r="D2150" t="s">
        <v>1661</v>
      </c>
      <c r="E2150" t="s">
        <v>8</v>
      </c>
      <c r="F2150" t="s">
        <v>627</v>
      </c>
      <c r="G2150" t="s">
        <v>628</v>
      </c>
      <c r="H2150" t="s">
        <v>628</v>
      </c>
      <c r="I2150" t="s">
        <v>624</v>
      </c>
    </row>
    <row r="2151" spans="1:9" x14ac:dyDescent="0.25">
      <c r="A2151" s="1" t="str">
        <f>HYPERLINK("https://lynxcrm-apac--c.eu19.visual.force.com/0011i000001xooQAAQ","Kao, Kheng Yew")</f>
        <v>Kao, Kheng Yew</v>
      </c>
      <c r="B2151" t="s">
        <v>4686</v>
      </c>
      <c r="C2151" t="s">
        <v>28</v>
      </c>
      <c r="D2151" t="s">
        <v>4687</v>
      </c>
      <c r="E2151" t="s">
        <v>8</v>
      </c>
      <c r="F2151" t="s">
        <v>4688</v>
      </c>
      <c r="G2151" t="s">
        <v>525</v>
      </c>
      <c r="H2151" t="s">
        <v>4689</v>
      </c>
      <c r="I2151" t="s">
        <v>4690</v>
      </c>
    </row>
    <row r="2152" spans="1:9" x14ac:dyDescent="0.25">
      <c r="A2152" s="1" t="str">
        <f>HYPERLINK("https://lynxcrm-apac--c.eu19.visual.force.com/0011i000001xohGAAQ","Kao, Shih Ling")</f>
        <v>Kao, Shih Ling</v>
      </c>
      <c r="B2152" t="s">
        <v>4691</v>
      </c>
      <c r="C2152" t="s">
        <v>28</v>
      </c>
      <c r="D2152" t="s">
        <v>429</v>
      </c>
      <c r="E2152" t="s">
        <v>8</v>
      </c>
      <c r="F2152" t="s">
        <v>246</v>
      </c>
      <c r="G2152" t="s">
        <v>428</v>
      </c>
      <c r="H2152" t="s">
        <v>428</v>
      </c>
      <c r="I2152" t="s">
        <v>430</v>
      </c>
    </row>
    <row r="2153" spans="1:9" x14ac:dyDescent="0.25">
      <c r="A2153" s="1" t="str">
        <f>HYPERLINK("https://lynxcrm-apac--c.eu19.visual.force.com/0011i000001xohGAAQ","Kao, Shih Ling")</f>
        <v>Kao, Shih Ling</v>
      </c>
      <c r="B2153" t="s">
        <v>4691</v>
      </c>
      <c r="C2153" t="s">
        <v>28</v>
      </c>
      <c r="D2153" t="s">
        <v>429</v>
      </c>
      <c r="E2153" t="s">
        <v>8</v>
      </c>
      <c r="F2153" t="s">
        <v>429</v>
      </c>
      <c r="G2153" t="s">
        <v>428</v>
      </c>
      <c r="H2153" t="s">
        <v>428</v>
      </c>
      <c r="I2153" t="s">
        <v>430</v>
      </c>
    </row>
    <row r="2154" spans="1:9" x14ac:dyDescent="0.25">
      <c r="A2154" s="1" t="str">
        <f>HYPERLINK("https://lynxcrm-apac--c.eu19.visual.force.com/0011i000001xoF8AAI","Kao, Wei Hsing")</f>
        <v>Kao, Wei Hsing</v>
      </c>
      <c r="B2154" t="s">
        <v>4692</v>
      </c>
      <c r="C2154" t="s">
        <v>28</v>
      </c>
      <c r="D2154" t="s">
        <v>4693</v>
      </c>
      <c r="E2154" t="s">
        <v>8</v>
      </c>
      <c r="F2154" t="s">
        <v>2263</v>
      </c>
      <c r="G2154" t="s">
        <v>4102</v>
      </c>
      <c r="H2154" t="s">
        <v>4694</v>
      </c>
      <c r="I2154" t="s">
        <v>2266</v>
      </c>
    </row>
    <row r="2155" spans="1:9" x14ac:dyDescent="0.25">
      <c r="A2155" s="1" t="str">
        <f>HYPERLINK("https://lynxcrm-apac--c.eu19.visual.force.com/0011i000001xnasAAA","Kao &amp; Tan Family Medical Centre &amp; Surgery")</f>
        <v>Kao &amp; Tan Family Medical Centre &amp; Surgery</v>
      </c>
      <c r="B2155" t="s">
        <v>4695</v>
      </c>
      <c r="C2155" t="s">
        <v>10</v>
      </c>
      <c r="D2155" t="s">
        <v>8</v>
      </c>
      <c r="E2155" t="s">
        <v>8</v>
      </c>
      <c r="F2155" t="s">
        <v>2263</v>
      </c>
      <c r="G2155" t="s">
        <v>4102</v>
      </c>
      <c r="H2155" t="s">
        <v>4694</v>
      </c>
      <c r="I2155" t="s">
        <v>2266</v>
      </c>
    </row>
    <row r="2156" spans="1:9" x14ac:dyDescent="0.25">
      <c r="A2156" s="1" t="str">
        <f>HYPERLINK("https://lynxcrm-apac--c.eu19.visual.force.com/0011i000001xo4qAAA","Karlou, Sanchez")</f>
        <v>Karlou, Sanchez</v>
      </c>
      <c r="B2156" t="s">
        <v>4696</v>
      </c>
      <c r="C2156" t="s">
        <v>28</v>
      </c>
      <c r="D2156" t="s">
        <v>429</v>
      </c>
      <c r="E2156" t="s">
        <v>8</v>
      </c>
      <c r="F2156" t="s">
        <v>429</v>
      </c>
      <c r="G2156" t="s">
        <v>428</v>
      </c>
      <c r="H2156" t="s">
        <v>428</v>
      </c>
      <c r="I2156" t="s">
        <v>430</v>
      </c>
    </row>
    <row r="2157" spans="1:9" x14ac:dyDescent="0.25">
      <c r="A2157" s="1" t="str">
        <f>HYPERLINK("https://lynxcrm-apac--c.eu19.visual.force.com/0011i000001xo4qAAA","Karlou, Sanchez")</f>
        <v>Karlou, Sanchez</v>
      </c>
      <c r="B2157" t="s">
        <v>4696</v>
      </c>
      <c r="C2157" t="s">
        <v>28</v>
      </c>
      <c r="D2157" t="s">
        <v>429</v>
      </c>
      <c r="E2157" t="s">
        <v>8</v>
      </c>
      <c r="F2157" t="s">
        <v>444</v>
      </c>
      <c r="G2157" t="s">
        <v>444</v>
      </c>
      <c r="H2157" t="s">
        <v>8</v>
      </c>
      <c r="I2157" t="s">
        <v>430</v>
      </c>
    </row>
    <row r="2158" spans="1:9" x14ac:dyDescent="0.25">
      <c r="A2158" s="1" t="str">
        <f>HYPERLINK("https://lynxcrm-apac--c.eu19.visual.force.com/0011i000001xo4qAAA","Karlou, Sanchez")</f>
        <v>Karlou, Sanchez</v>
      </c>
      <c r="B2158" t="s">
        <v>4696</v>
      </c>
      <c r="C2158" t="s">
        <v>28</v>
      </c>
      <c r="D2158" t="s">
        <v>429</v>
      </c>
      <c r="E2158" t="s">
        <v>8</v>
      </c>
      <c r="F2158" t="s">
        <v>445</v>
      </c>
      <c r="G2158" t="s">
        <v>428</v>
      </c>
      <c r="H2158" t="s">
        <v>428</v>
      </c>
      <c r="I2158" t="s">
        <v>430</v>
      </c>
    </row>
    <row r="2159" spans="1:9" x14ac:dyDescent="0.25">
      <c r="A2159" s="1" t="str">
        <f>HYPERLINK("https://lynxcrm-apac--c.eu19.visual.force.com/0011i000001xo4qAAA","Karlou, Sanchez")</f>
        <v>Karlou, Sanchez</v>
      </c>
      <c r="B2159" t="s">
        <v>4696</v>
      </c>
      <c r="C2159" t="s">
        <v>28</v>
      </c>
      <c r="D2159" t="s">
        <v>429</v>
      </c>
      <c r="E2159" t="s">
        <v>8</v>
      </c>
      <c r="F2159" t="s">
        <v>444</v>
      </c>
      <c r="G2159" t="s">
        <v>444</v>
      </c>
      <c r="H2159" t="s">
        <v>8</v>
      </c>
      <c r="I2159" t="s">
        <v>8</v>
      </c>
    </row>
    <row r="2160" spans="1:9" x14ac:dyDescent="0.25">
      <c r="A2160" s="1" t="str">
        <f>HYPERLINK("https://lynxcrm-apac--c.eu19.visual.force.com/0011i000001xml4AAA","Karmen Wong Oncology Pte Ltd")</f>
        <v>Karmen Wong Oncology Pte Ltd</v>
      </c>
      <c r="B2160" t="s">
        <v>4697</v>
      </c>
      <c r="C2160" t="s">
        <v>10</v>
      </c>
      <c r="D2160" t="s">
        <v>8</v>
      </c>
      <c r="E2160" t="s">
        <v>8</v>
      </c>
      <c r="F2160" t="s">
        <v>4698</v>
      </c>
      <c r="G2160" t="s">
        <v>4699</v>
      </c>
      <c r="H2160" t="s">
        <v>4700</v>
      </c>
      <c r="I2160" t="s">
        <v>67</v>
      </c>
    </row>
    <row r="2161" spans="1:9" x14ac:dyDescent="0.25">
      <c r="A2161" s="1" t="str">
        <f>HYPERLINK("https://lynxcrm-apac--c.eu19.visual.force.com/0011i000001xo8YAAQ","Kartika, Bte Hanafi")</f>
        <v>Kartika, Bte Hanafi</v>
      </c>
      <c r="B2161" t="s">
        <v>4701</v>
      </c>
      <c r="C2161" t="s">
        <v>28</v>
      </c>
      <c r="D2161" t="s">
        <v>4702</v>
      </c>
      <c r="E2161" t="s">
        <v>8</v>
      </c>
      <c r="F2161" t="s">
        <v>4703</v>
      </c>
      <c r="G2161" t="s">
        <v>4703</v>
      </c>
      <c r="H2161" t="s">
        <v>4704</v>
      </c>
      <c r="I2161" t="s">
        <v>4705</v>
      </c>
    </row>
    <row r="2162" spans="1:9" x14ac:dyDescent="0.25">
      <c r="A2162" s="1" t="str">
        <f>HYPERLINK("https://lynxcrm-apac--c.eu19.visual.force.com/0011i000001xoKrAAI","Karumar, Philip")</f>
        <v>Karumar, Philip</v>
      </c>
      <c r="B2162" t="s">
        <v>4706</v>
      </c>
      <c r="C2162" t="s">
        <v>28</v>
      </c>
      <c r="D2162" t="s">
        <v>251</v>
      </c>
      <c r="E2162" t="s">
        <v>8</v>
      </c>
      <c r="F2162" t="s">
        <v>251</v>
      </c>
      <c r="G2162" t="s">
        <v>252</v>
      </c>
      <c r="H2162" t="s">
        <v>252</v>
      </c>
      <c r="I2162" t="s">
        <v>253</v>
      </c>
    </row>
    <row r="2163" spans="1:9" x14ac:dyDescent="0.25">
      <c r="A2163" s="1" t="str">
        <f>HYPERLINK("https://lynxcrm-apac--c.eu19.visual.force.com/0011i000001xoKrAAI","Karumar, Philip")</f>
        <v>Karumar, Philip</v>
      </c>
      <c r="B2163" t="s">
        <v>4706</v>
      </c>
      <c r="C2163" t="s">
        <v>28</v>
      </c>
      <c r="D2163" t="s">
        <v>1242</v>
      </c>
      <c r="E2163" t="s">
        <v>8</v>
      </c>
      <c r="F2163" t="s">
        <v>252</v>
      </c>
      <c r="G2163" t="s">
        <v>251</v>
      </c>
      <c r="H2163" t="s">
        <v>251</v>
      </c>
      <c r="I2163" t="s">
        <v>253</v>
      </c>
    </row>
    <row r="2164" spans="1:9" x14ac:dyDescent="0.25">
      <c r="A2164" s="1" t="str">
        <f>HYPERLINK("https://lynxcrm-apac--c.eu19.visual.force.com/0011i00000oYBJpAAO","Kaur, Har-Amreeth")</f>
        <v>Kaur, Har-Amreeth</v>
      </c>
      <c r="B2164" t="s">
        <v>4707</v>
      </c>
      <c r="C2164" t="s">
        <v>28</v>
      </c>
      <c r="D2164" t="s">
        <v>8</v>
      </c>
      <c r="E2164" t="s">
        <v>8</v>
      </c>
      <c r="F2164" t="s">
        <v>8</v>
      </c>
      <c r="G2164" t="s">
        <v>8</v>
      </c>
      <c r="H2164" t="s">
        <v>8</v>
      </c>
      <c r="I2164" t="s">
        <v>8</v>
      </c>
    </row>
    <row r="2165" spans="1:9" x14ac:dyDescent="0.25">
      <c r="A2165" s="1" t="str">
        <f>HYPERLINK("https://lynxcrm-apac--c.eu19.visual.force.com/0011i00000oYBJkAAO","Kaur, Har-Amreeth")</f>
        <v>Kaur, Har-Amreeth</v>
      </c>
      <c r="B2165" t="s">
        <v>4708</v>
      </c>
      <c r="C2165" t="s">
        <v>28</v>
      </c>
      <c r="D2165" t="s">
        <v>8</v>
      </c>
      <c r="E2165" t="s">
        <v>8</v>
      </c>
      <c r="F2165" t="s">
        <v>393</v>
      </c>
      <c r="G2165" t="s">
        <v>394</v>
      </c>
      <c r="H2165" t="s">
        <v>395</v>
      </c>
      <c r="I2165" t="s">
        <v>396</v>
      </c>
    </row>
    <row r="2166" spans="1:9" x14ac:dyDescent="0.25">
      <c r="A2166" s="1" t="str">
        <f>HYPERLINK("https://lynxcrm-apac--c.eu19.visual.force.com/0011i00000oYBJkAAO","Kaur, Har-Amreeth")</f>
        <v>Kaur, Har-Amreeth</v>
      </c>
      <c r="B2166" t="s">
        <v>4708</v>
      </c>
      <c r="C2166" t="s">
        <v>28</v>
      </c>
      <c r="D2166" t="s">
        <v>392</v>
      </c>
      <c r="E2166" t="s">
        <v>8</v>
      </c>
      <c r="F2166" t="s">
        <v>393</v>
      </c>
      <c r="G2166" t="s">
        <v>394</v>
      </c>
      <c r="H2166" t="s">
        <v>395</v>
      </c>
      <c r="I2166" t="s">
        <v>396</v>
      </c>
    </row>
    <row r="2167" spans="1:9" x14ac:dyDescent="0.25">
      <c r="A2167" s="1" t="str">
        <f>HYPERLINK("https://lynxcrm-apac--c.eu19.visual.force.com/0011i000007FFcAAAW","Kaur, Rajinderdeep")</f>
        <v>Kaur, Rajinderdeep</v>
      </c>
      <c r="B2167" t="s">
        <v>4709</v>
      </c>
      <c r="C2167" t="s">
        <v>28</v>
      </c>
      <c r="D2167" t="s">
        <v>429</v>
      </c>
      <c r="E2167" t="s">
        <v>8</v>
      </c>
      <c r="F2167" t="s">
        <v>429</v>
      </c>
      <c r="G2167" t="s">
        <v>428</v>
      </c>
      <c r="H2167" t="s">
        <v>428</v>
      </c>
      <c r="I2167" t="s">
        <v>430</v>
      </c>
    </row>
    <row r="2168" spans="1:9" x14ac:dyDescent="0.25">
      <c r="A2168" s="1" t="str">
        <f>HYPERLINK("https://lynxcrm-apac--c.eu19.visual.force.com/0011i000001xoKkAAI","Kaur, Sharon")</f>
        <v>Kaur, Sharon</v>
      </c>
      <c r="B2168" t="s">
        <v>4710</v>
      </c>
      <c r="C2168" t="s">
        <v>28</v>
      </c>
      <c r="D2168" t="s">
        <v>1661</v>
      </c>
      <c r="E2168" t="s">
        <v>8</v>
      </c>
      <c r="F2168" t="s">
        <v>627</v>
      </c>
      <c r="G2168" t="s">
        <v>628</v>
      </c>
      <c r="H2168" t="s">
        <v>628</v>
      </c>
      <c r="I2168" t="s">
        <v>624</v>
      </c>
    </row>
    <row r="2169" spans="1:9" x14ac:dyDescent="0.25">
      <c r="A2169" s="1" t="str">
        <f>HYPERLINK("https://lynxcrm-apac--c.eu19.visual.force.com/0011i000007DNKMAA4","Kaurs, Reshvinder")</f>
        <v>Kaurs, Reshvinder</v>
      </c>
      <c r="B2169" t="s">
        <v>4711</v>
      </c>
      <c r="C2169" t="s">
        <v>28</v>
      </c>
      <c r="D2169" t="s">
        <v>709</v>
      </c>
      <c r="E2169" t="s">
        <v>8</v>
      </c>
      <c r="F2169" t="s">
        <v>710</v>
      </c>
      <c r="G2169" t="s">
        <v>135</v>
      </c>
      <c r="H2169" t="s">
        <v>135</v>
      </c>
      <c r="I2169" t="s">
        <v>711</v>
      </c>
    </row>
    <row r="2170" spans="1:9" x14ac:dyDescent="0.25">
      <c r="A2170" s="1" t="str">
        <f>HYPERLINK("https://lynxcrm-apac--c.eu19.visual.force.com/0011i000001xooZAAQ","Kavipurapu, Venkata Ratnam")</f>
        <v>Kavipurapu, Venkata Ratnam</v>
      </c>
      <c r="B2170" t="s">
        <v>4712</v>
      </c>
      <c r="C2170" t="s">
        <v>28</v>
      </c>
      <c r="D2170" t="s">
        <v>4713</v>
      </c>
      <c r="E2170" t="s">
        <v>8</v>
      </c>
      <c r="F2170" t="s">
        <v>41</v>
      </c>
      <c r="G2170" t="s">
        <v>42</v>
      </c>
      <c r="H2170" t="s">
        <v>42</v>
      </c>
      <c r="I2170" t="s">
        <v>43</v>
      </c>
    </row>
    <row r="2171" spans="1:9" x14ac:dyDescent="0.25">
      <c r="A2171" s="1" t="str">
        <f>HYPERLINK("https://lynxcrm-apac--c.eu19.visual.force.com/0011i000001xoPSAAY","Kaw, Wei Hung")</f>
        <v>Kaw, Wei Hung</v>
      </c>
      <c r="B2171" t="s">
        <v>4714</v>
      </c>
      <c r="C2171" t="s">
        <v>28</v>
      </c>
      <c r="D2171" t="s">
        <v>4715</v>
      </c>
      <c r="E2171" t="s">
        <v>8</v>
      </c>
      <c r="F2171" t="s">
        <v>4716</v>
      </c>
      <c r="G2171" t="s">
        <v>749</v>
      </c>
      <c r="H2171" t="s">
        <v>749</v>
      </c>
      <c r="I2171" t="s">
        <v>4717</v>
      </c>
    </row>
    <row r="2172" spans="1:9" x14ac:dyDescent="0.25">
      <c r="A2172" s="1" t="str">
        <f>HYPERLINK("https://lynxcrm-apac--c.eu19.visual.force.com/0011i000001xoSSAAY","Kawasaki, Takako")</f>
        <v>Kawasaki, Takako</v>
      </c>
      <c r="B2172" t="s">
        <v>4718</v>
      </c>
      <c r="C2172" t="s">
        <v>28</v>
      </c>
      <c r="D2172" t="s">
        <v>164</v>
      </c>
      <c r="E2172" t="s">
        <v>8</v>
      </c>
      <c r="F2172" t="s">
        <v>163</v>
      </c>
      <c r="G2172" t="s">
        <v>228</v>
      </c>
      <c r="H2172" t="s">
        <v>228</v>
      </c>
      <c r="I2172" t="s">
        <v>165</v>
      </c>
    </row>
    <row r="2173" spans="1:9" x14ac:dyDescent="0.25">
      <c r="A2173" s="1" t="str">
        <f>HYPERLINK("https://lynxcrm-apac--c.eu19.visual.force.com/0011i000001xoSSAAY","Kawasaki, Takako")</f>
        <v>Kawasaki, Takako</v>
      </c>
      <c r="B2173" t="s">
        <v>4718</v>
      </c>
      <c r="C2173" t="s">
        <v>28</v>
      </c>
      <c r="D2173" t="s">
        <v>164</v>
      </c>
      <c r="E2173" t="s">
        <v>8</v>
      </c>
      <c r="F2173" t="s">
        <v>229</v>
      </c>
      <c r="G2173" t="s">
        <v>163</v>
      </c>
      <c r="H2173" t="s">
        <v>163</v>
      </c>
      <c r="I2173" t="s">
        <v>165</v>
      </c>
    </row>
    <row r="2174" spans="1:9" x14ac:dyDescent="0.25">
      <c r="A2174" s="1" t="str">
        <f>HYPERLINK("https://lynxcrm-apac--c.eu19.visual.force.com/0011i000001xoRbAAI","Kaysar, Mamun")</f>
        <v>Kaysar, Mamun</v>
      </c>
      <c r="B2174" t="s">
        <v>4719</v>
      </c>
      <c r="C2174" t="s">
        <v>28</v>
      </c>
      <c r="D2174" t="s">
        <v>251</v>
      </c>
      <c r="E2174" t="s">
        <v>8</v>
      </c>
      <c r="F2174" t="s">
        <v>4720</v>
      </c>
      <c r="G2174" t="s">
        <v>4721</v>
      </c>
      <c r="H2174" t="s">
        <v>4721</v>
      </c>
      <c r="I2174" t="s">
        <v>253</v>
      </c>
    </row>
    <row r="2175" spans="1:9" x14ac:dyDescent="0.25">
      <c r="A2175" s="1" t="str">
        <f>HYPERLINK("https://lynxcrm-apac--c.eu19.visual.force.com/0011i000001xmjZAAQ","K C Chee Surgery")</f>
        <v>K C Chee Surgery</v>
      </c>
      <c r="B2175" t="s">
        <v>4722</v>
      </c>
      <c r="C2175" t="s">
        <v>10</v>
      </c>
      <c r="D2175" t="s">
        <v>8</v>
      </c>
      <c r="E2175" t="s">
        <v>8</v>
      </c>
      <c r="F2175" t="s">
        <v>1511</v>
      </c>
      <c r="G2175" t="s">
        <v>121</v>
      </c>
      <c r="H2175" t="s">
        <v>121</v>
      </c>
      <c r="I2175" t="s">
        <v>123</v>
      </c>
    </row>
    <row r="2176" spans="1:9" x14ac:dyDescent="0.25">
      <c r="A2176" s="1" t="str">
        <f>HYPERLINK("https://lynxcrm-apac--c.eu19.visual.force.com/0011i000001xmgJAAQ","KC Ching Clinic &amp; Surgery for Women")</f>
        <v>KC Ching Clinic &amp; Surgery for Women</v>
      </c>
      <c r="B2176" t="s">
        <v>4723</v>
      </c>
      <c r="C2176" t="s">
        <v>10</v>
      </c>
      <c r="D2176" t="s">
        <v>8</v>
      </c>
      <c r="E2176" t="s">
        <v>8</v>
      </c>
      <c r="F2176" t="s">
        <v>377</v>
      </c>
      <c r="G2176" t="s">
        <v>4724</v>
      </c>
      <c r="H2176" t="s">
        <v>4725</v>
      </c>
      <c r="I2176" t="s">
        <v>123</v>
      </c>
    </row>
    <row r="2177" spans="1:9" x14ac:dyDescent="0.25">
      <c r="A2177" s="1" t="str">
        <f>HYPERLINK("https://lynxcrm-apac--c.eu19.visual.force.com/0011i000001xmlxAAA","KC Ong Chest &amp; Medical Clinic")</f>
        <v>KC Ong Chest &amp; Medical Clinic</v>
      </c>
      <c r="B2177" t="s">
        <v>4726</v>
      </c>
      <c r="C2177" t="s">
        <v>10</v>
      </c>
      <c r="D2177" t="s">
        <v>8</v>
      </c>
      <c r="E2177" t="s">
        <v>8</v>
      </c>
      <c r="F2177" t="s">
        <v>377</v>
      </c>
      <c r="G2177" t="s">
        <v>4727</v>
      </c>
      <c r="H2177" t="s">
        <v>4728</v>
      </c>
      <c r="I2177" t="s">
        <v>123</v>
      </c>
    </row>
    <row r="2178" spans="1:9" x14ac:dyDescent="0.25">
      <c r="A2178" s="1" t="str">
        <f>HYPERLINK("https://lynxcrm-apac--c.eu19.visual.force.com/0011i000001xnHZAAY","KCS Medical Centre Pte Ltd")</f>
        <v>KCS Medical Centre Pte Ltd</v>
      </c>
      <c r="B2178" t="s">
        <v>4729</v>
      </c>
      <c r="C2178" t="s">
        <v>10</v>
      </c>
      <c r="D2178" t="s">
        <v>8</v>
      </c>
      <c r="E2178" t="s">
        <v>8</v>
      </c>
      <c r="F2178" t="s">
        <v>4730</v>
      </c>
      <c r="G2178" t="s">
        <v>1221</v>
      </c>
      <c r="H2178" t="s">
        <v>4731</v>
      </c>
      <c r="I2178" t="s">
        <v>4732</v>
      </c>
    </row>
    <row r="2179" spans="1:9" x14ac:dyDescent="0.25">
      <c r="A2179" s="1" t="str">
        <f>HYPERLINK("https://lynxcrm-apac--c.eu19.visual.force.com/0011i000001xmbOAAQ","K C Tan's Clinic")</f>
        <v>K C Tan's Clinic</v>
      </c>
      <c r="B2179" t="s">
        <v>4733</v>
      </c>
      <c r="C2179" t="s">
        <v>10</v>
      </c>
      <c r="D2179" t="s">
        <v>8</v>
      </c>
      <c r="E2179" t="s">
        <v>8</v>
      </c>
      <c r="F2179" t="s">
        <v>4734</v>
      </c>
      <c r="G2179" t="s">
        <v>4734</v>
      </c>
      <c r="H2179" t="s">
        <v>8</v>
      </c>
      <c r="I2179" t="s">
        <v>4735</v>
      </c>
    </row>
    <row r="2180" spans="1:9" x14ac:dyDescent="0.25">
      <c r="A2180" s="1" t="str">
        <f>HYPERLINK("https://lynxcrm-apac--c.eu19.visual.force.com/0011i000001xnWwAAI","KC Yeo Clinic &amp; Surgery For Women")</f>
        <v>KC Yeo Clinic &amp; Surgery For Women</v>
      </c>
      <c r="B2180" t="s">
        <v>4736</v>
      </c>
      <c r="C2180" t="s">
        <v>10</v>
      </c>
      <c r="D2180" t="s">
        <v>8</v>
      </c>
      <c r="E2180" t="s">
        <v>8</v>
      </c>
      <c r="F2180" t="s">
        <v>4737</v>
      </c>
      <c r="G2180" t="s">
        <v>4738</v>
      </c>
      <c r="H2180" t="s">
        <v>4738</v>
      </c>
      <c r="I2180" t="s">
        <v>4739</v>
      </c>
    </row>
    <row r="2181" spans="1:9" x14ac:dyDescent="0.25">
      <c r="A2181" s="1" t="str">
        <f>HYPERLINK("https://lynxcrm-apac--c.eu19.visual.force.com/0011i000001xoQrAAI","Kee, Kok Wai")</f>
        <v>Kee, Kok Wai</v>
      </c>
      <c r="B2181" t="s">
        <v>4740</v>
      </c>
      <c r="C2181" t="s">
        <v>28</v>
      </c>
      <c r="D2181" t="s">
        <v>54</v>
      </c>
      <c r="E2181" t="s">
        <v>8</v>
      </c>
      <c r="F2181" t="s">
        <v>1225</v>
      </c>
      <c r="G2181" t="s">
        <v>1225</v>
      </c>
      <c r="H2181" t="s">
        <v>8</v>
      </c>
      <c r="I2181" t="s">
        <v>55</v>
      </c>
    </row>
    <row r="2182" spans="1:9" x14ac:dyDescent="0.25">
      <c r="A2182" s="1" t="str">
        <f>HYPERLINK("https://lynxcrm-apac--c.eu19.visual.force.com/0011i000001xooeAAA","Kee, Loo")</f>
        <v>Kee, Loo</v>
      </c>
      <c r="B2182" t="s">
        <v>4741</v>
      </c>
      <c r="C2182" t="s">
        <v>28</v>
      </c>
      <c r="D2182" t="s">
        <v>4742</v>
      </c>
      <c r="E2182" t="s">
        <v>8</v>
      </c>
      <c r="F2182" t="s">
        <v>4743</v>
      </c>
      <c r="G2182" t="s">
        <v>4744</v>
      </c>
      <c r="H2182" t="s">
        <v>4745</v>
      </c>
      <c r="I2182" t="s">
        <v>4746</v>
      </c>
    </row>
    <row r="2183" spans="1:9" x14ac:dyDescent="0.25">
      <c r="A2183" s="1" t="str">
        <f>HYPERLINK("https://lynxcrm-apac--c.eu19.visual.force.com/0011i000001xoogAAA","Kee, Sue Gee")</f>
        <v>Kee, Sue Gee</v>
      </c>
      <c r="B2183" t="s">
        <v>4747</v>
      </c>
      <c r="C2183" t="s">
        <v>28</v>
      </c>
      <c r="D2183" t="s">
        <v>4748</v>
      </c>
      <c r="E2183" t="s">
        <v>8</v>
      </c>
      <c r="F2183" t="s">
        <v>69</v>
      </c>
      <c r="G2183" t="s">
        <v>3654</v>
      </c>
      <c r="H2183" t="s">
        <v>4749</v>
      </c>
      <c r="I2183" t="s">
        <v>67</v>
      </c>
    </row>
    <row r="2184" spans="1:9" x14ac:dyDescent="0.25">
      <c r="A2184" s="1" t="str">
        <f>HYPERLINK("https://lynxcrm-apac--c.eu19.visual.force.com/0011i000001xookAAA","Kee, Wee Kenneth")</f>
        <v>Kee, Wee Kenneth</v>
      </c>
      <c r="B2184" t="s">
        <v>4750</v>
      </c>
      <c r="C2184" t="s">
        <v>28</v>
      </c>
      <c r="D2184" t="s">
        <v>4751</v>
      </c>
      <c r="E2184" t="s">
        <v>8</v>
      </c>
      <c r="F2184" t="s">
        <v>4752</v>
      </c>
      <c r="G2184" t="s">
        <v>4753</v>
      </c>
      <c r="H2184" t="s">
        <v>4753</v>
      </c>
      <c r="I2184" t="s">
        <v>4754</v>
      </c>
    </row>
    <row r="2185" spans="1:9" x14ac:dyDescent="0.25">
      <c r="A2185" s="1" t="str">
        <f>HYPERLINK("https://lynxcrm-apac--c.eu19.visual.force.com/0011i000001xoomAAA","Kee, Wei Heong")</f>
        <v>Kee, Wei Heong</v>
      </c>
      <c r="B2185" t="s">
        <v>4755</v>
      </c>
      <c r="C2185" t="s">
        <v>28</v>
      </c>
      <c r="D2185" t="s">
        <v>4756</v>
      </c>
      <c r="E2185" t="s">
        <v>8</v>
      </c>
      <c r="F2185" t="s">
        <v>4757</v>
      </c>
      <c r="G2185" t="s">
        <v>964</v>
      </c>
      <c r="H2185" t="s">
        <v>964</v>
      </c>
      <c r="I2185" t="s">
        <v>266</v>
      </c>
    </row>
    <row r="2186" spans="1:9" x14ac:dyDescent="0.25">
      <c r="A2186" s="1" t="str">
        <f>HYPERLINK("https://lynxcrm-apac--c.eu19.visual.force.com/0011i000001xmdHAAQ","Kee &amp; Partners Family Clinic")</f>
        <v>Kee &amp; Partners Family Clinic</v>
      </c>
      <c r="B2186" t="s">
        <v>4758</v>
      </c>
      <c r="C2186" t="s">
        <v>10</v>
      </c>
      <c r="D2186" t="s">
        <v>8</v>
      </c>
      <c r="E2186" t="s">
        <v>8</v>
      </c>
      <c r="F2186" t="s">
        <v>4759</v>
      </c>
      <c r="G2186" t="s">
        <v>1454</v>
      </c>
      <c r="H2186" t="s">
        <v>4760</v>
      </c>
      <c r="I2186" t="s">
        <v>4761</v>
      </c>
    </row>
    <row r="2187" spans="1:9" x14ac:dyDescent="0.25">
      <c r="A2187" s="1" t="str">
        <f>HYPERLINK("https://lynxcrm-apac--c.eu19.visual.force.com/0011i000001xmt4AAA","Kee Clinic &amp; Surgery")</f>
        <v>Kee Clinic &amp; Surgery</v>
      </c>
      <c r="B2187" t="s">
        <v>4762</v>
      </c>
      <c r="C2187" t="s">
        <v>10</v>
      </c>
      <c r="D2187" t="s">
        <v>8</v>
      </c>
      <c r="E2187" t="s">
        <v>8</v>
      </c>
      <c r="F2187" t="s">
        <v>4752</v>
      </c>
      <c r="G2187" t="s">
        <v>4753</v>
      </c>
      <c r="H2187" t="s">
        <v>4753</v>
      </c>
      <c r="I2187" t="s">
        <v>4754</v>
      </c>
    </row>
    <row r="2188" spans="1:9" x14ac:dyDescent="0.25">
      <c r="A2188" s="1" t="str">
        <f>HYPERLINK("https://lynxcrm-apac--c.eu19.visual.force.com/0011i000001xngxAAA","Keh, Yann Shan")</f>
        <v>Keh, Yann Shan</v>
      </c>
      <c r="B2188" t="s">
        <v>4763</v>
      </c>
      <c r="C2188" t="s">
        <v>28</v>
      </c>
      <c r="D2188" t="s">
        <v>449</v>
      </c>
      <c r="E2188" t="s">
        <v>8</v>
      </c>
      <c r="F2188" t="s">
        <v>450</v>
      </c>
      <c r="G2188" t="s">
        <v>449</v>
      </c>
      <c r="H2188" t="s">
        <v>449</v>
      </c>
      <c r="I2188" t="s">
        <v>451</v>
      </c>
    </row>
    <row r="2189" spans="1:9" x14ac:dyDescent="0.25">
      <c r="A2189" s="1" t="str">
        <f>HYPERLINK("https://lynxcrm-apac--c.eu19.visual.force.com/0011i000001xngxAAA","Keh, Yann Shan")</f>
        <v>Keh, Yann Shan</v>
      </c>
      <c r="B2189" t="s">
        <v>4763</v>
      </c>
      <c r="C2189" t="s">
        <v>28</v>
      </c>
      <c r="D2189" t="s">
        <v>449</v>
      </c>
      <c r="E2189" t="s">
        <v>8</v>
      </c>
      <c r="F2189" t="s">
        <v>234</v>
      </c>
      <c r="G2189" t="s">
        <v>452</v>
      </c>
      <c r="H2189" t="s">
        <v>453</v>
      </c>
      <c r="I2189" t="s">
        <v>454</v>
      </c>
    </row>
    <row r="2190" spans="1:9" x14ac:dyDescent="0.25">
      <c r="A2190" s="1" t="str">
        <f>HYPERLINK("https://lynxcrm-apac--c.eu19.visual.force.com/0011i000001xmkUAAQ","Kek LP Clinic &amp; Surgery For Women")</f>
        <v>Kek LP Clinic &amp; Surgery For Women</v>
      </c>
      <c r="B2190" t="s">
        <v>4764</v>
      </c>
      <c r="C2190" t="s">
        <v>10</v>
      </c>
      <c r="D2190" t="s">
        <v>8</v>
      </c>
      <c r="E2190" t="s">
        <v>8</v>
      </c>
      <c r="F2190" t="s">
        <v>377</v>
      </c>
      <c r="G2190" t="s">
        <v>4765</v>
      </c>
      <c r="H2190" t="s">
        <v>4766</v>
      </c>
      <c r="I2190" t="s">
        <v>123</v>
      </c>
    </row>
    <row r="2191" spans="1:9" x14ac:dyDescent="0.25">
      <c r="A2191" s="1" t="str">
        <f>HYPERLINK("https://lynxcrm-apac--c.eu19.visual.force.com/0011i000001xoaPAAQ","Keng, Victor")</f>
        <v>Keng, Victor</v>
      </c>
      <c r="B2191" t="s">
        <v>4767</v>
      </c>
      <c r="C2191" t="s">
        <v>28</v>
      </c>
      <c r="D2191" t="s">
        <v>4768</v>
      </c>
      <c r="E2191" t="s">
        <v>8</v>
      </c>
      <c r="F2191" t="s">
        <v>202</v>
      </c>
      <c r="G2191" t="s">
        <v>4769</v>
      </c>
      <c r="H2191" t="s">
        <v>4770</v>
      </c>
      <c r="I2191" t="s">
        <v>200</v>
      </c>
    </row>
    <row r="2192" spans="1:9" x14ac:dyDescent="0.25">
      <c r="A2192" s="1" t="str">
        <f>HYPERLINK("https://lynxcrm-apac--c.eu19.visual.force.com/0011i000001xo27AAA","Keng, Yung Jih Felix")</f>
        <v>Keng, Yung Jih Felix</v>
      </c>
      <c r="B2192" t="s">
        <v>4771</v>
      </c>
      <c r="C2192" t="s">
        <v>28</v>
      </c>
      <c r="D2192" t="s">
        <v>449</v>
      </c>
      <c r="E2192" t="s">
        <v>8</v>
      </c>
      <c r="F2192" t="s">
        <v>450</v>
      </c>
      <c r="G2192" t="s">
        <v>449</v>
      </c>
      <c r="H2192" t="s">
        <v>449</v>
      </c>
      <c r="I2192" t="s">
        <v>451</v>
      </c>
    </row>
    <row r="2193" spans="1:9" x14ac:dyDescent="0.25">
      <c r="A2193" s="1" t="str">
        <f>HYPERLINK("https://lynxcrm-apac--c.eu19.visual.force.com/0011i000001xo27AAA","Keng, Yung Jih Felix")</f>
        <v>Keng, Yung Jih Felix</v>
      </c>
      <c r="B2193" t="s">
        <v>4771</v>
      </c>
      <c r="C2193" t="s">
        <v>28</v>
      </c>
      <c r="D2193" t="s">
        <v>449</v>
      </c>
      <c r="E2193" t="s">
        <v>8</v>
      </c>
      <c r="F2193" t="s">
        <v>234</v>
      </c>
      <c r="G2193" t="s">
        <v>452</v>
      </c>
      <c r="H2193" t="s">
        <v>453</v>
      </c>
      <c r="I2193" t="s">
        <v>454</v>
      </c>
    </row>
    <row r="2194" spans="1:9" x14ac:dyDescent="0.25">
      <c r="A2194" s="1" t="str">
        <f>HYPERLINK("https://lynxcrm-apac--c.eu19.visual.force.com/0011i000005IdSEAA0","Kenneth Chew Yun Chi")</f>
        <v>Kenneth Chew Yun Chi</v>
      </c>
      <c r="B2194" t="s">
        <v>4772</v>
      </c>
      <c r="C2194" t="s">
        <v>10</v>
      </c>
      <c r="D2194" t="s">
        <v>449</v>
      </c>
      <c r="E2194" t="s">
        <v>8</v>
      </c>
      <c r="F2194" t="s">
        <v>450</v>
      </c>
      <c r="G2194" t="s">
        <v>449</v>
      </c>
      <c r="H2194" t="s">
        <v>449</v>
      </c>
      <c r="I2194" t="s">
        <v>451</v>
      </c>
    </row>
    <row r="2195" spans="1:9" x14ac:dyDescent="0.25">
      <c r="A2195" s="1" t="str">
        <f>HYPERLINK("https://lynxcrm-apac--c.eu19.visual.force.com/0011i000005IdSEAA0","Kenneth Chew Yun Chi")</f>
        <v>Kenneth Chew Yun Chi</v>
      </c>
      <c r="B2195" t="s">
        <v>4772</v>
      </c>
      <c r="C2195" t="s">
        <v>10</v>
      </c>
      <c r="D2195" t="s">
        <v>449</v>
      </c>
      <c r="E2195" t="s">
        <v>8</v>
      </c>
      <c r="F2195" t="s">
        <v>234</v>
      </c>
      <c r="G2195" t="s">
        <v>452</v>
      </c>
      <c r="H2195" t="s">
        <v>453</v>
      </c>
      <c r="I2195" t="s">
        <v>454</v>
      </c>
    </row>
    <row r="2196" spans="1:9" x14ac:dyDescent="0.25">
      <c r="A2196" s="1" t="str">
        <f>HYPERLINK("https://lynxcrm-apac--c.eu19.visual.force.com/0011i000001xnVGAAY","Kensington Family Clinic")</f>
        <v>Kensington Family Clinic</v>
      </c>
      <c r="B2196" t="s">
        <v>4773</v>
      </c>
      <c r="C2196" t="s">
        <v>10</v>
      </c>
      <c r="D2196" t="s">
        <v>8</v>
      </c>
      <c r="E2196" t="s">
        <v>8</v>
      </c>
      <c r="F2196" t="s">
        <v>3598</v>
      </c>
      <c r="G2196" t="s">
        <v>3598</v>
      </c>
      <c r="H2196" t="s">
        <v>8</v>
      </c>
      <c r="I2196" t="s">
        <v>3599</v>
      </c>
    </row>
    <row r="2197" spans="1:9" x14ac:dyDescent="0.25">
      <c r="A2197" s="1" t="str">
        <f>HYPERLINK("https://lynxcrm-apac--c.eu19.visual.force.com/0011i000001xmwVAAQ","Kensington Family Clinic")</f>
        <v>Kensington Family Clinic</v>
      </c>
      <c r="B2197" t="s">
        <v>4774</v>
      </c>
      <c r="C2197" t="s">
        <v>10</v>
      </c>
      <c r="D2197" t="s">
        <v>8</v>
      </c>
      <c r="E2197" t="s">
        <v>8</v>
      </c>
      <c r="F2197" t="s">
        <v>3598</v>
      </c>
      <c r="G2197" t="s">
        <v>3598</v>
      </c>
      <c r="H2197" t="s">
        <v>8</v>
      </c>
      <c r="I2197" t="s">
        <v>3599</v>
      </c>
    </row>
    <row r="2198" spans="1:9" x14ac:dyDescent="0.25">
      <c r="A2198" s="1" t="str">
        <f>HYPERLINK("https://lynxcrm-apac--c.eu19.visual.force.com/0011i000001xoovAAA","Keong, Kean Seng Gary")</f>
        <v>Keong, Kean Seng Gary</v>
      </c>
      <c r="B2198" t="s">
        <v>4775</v>
      </c>
      <c r="C2198" t="s">
        <v>28</v>
      </c>
      <c r="D2198" t="s">
        <v>4776</v>
      </c>
      <c r="E2198" t="s">
        <v>8</v>
      </c>
      <c r="F2198" t="s">
        <v>4777</v>
      </c>
      <c r="G2198" t="s">
        <v>4778</v>
      </c>
      <c r="H2198" t="s">
        <v>4778</v>
      </c>
      <c r="I2198" t="s">
        <v>115</v>
      </c>
    </row>
    <row r="2199" spans="1:9" x14ac:dyDescent="0.25">
      <c r="A2199" s="1" t="str">
        <f>HYPERLINK("https://lynxcrm-apac--c.eu19.visual.force.com/0011i000001xnVyAAI","Keppel Medical Group")</f>
        <v>Keppel Medical Group</v>
      </c>
      <c r="B2199" t="s">
        <v>4779</v>
      </c>
      <c r="C2199" t="s">
        <v>10</v>
      </c>
      <c r="D2199" t="s">
        <v>8</v>
      </c>
      <c r="E2199" t="s">
        <v>8</v>
      </c>
      <c r="F2199" t="s">
        <v>4780</v>
      </c>
      <c r="G2199" t="s">
        <v>841</v>
      </c>
      <c r="H2199" t="s">
        <v>841</v>
      </c>
      <c r="I2199" t="s">
        <v>4781</v>
      </c>
    </row>
    <row r="2200" spans="1:9" x14ac:dyDescent="0.25">
      <c r="A2200" s="1" t="str">
        <f>HYPERLINK("https://lynxcrm-apac--c.eu19.visual.force.com/0011i000001xosuAAA","Kesavaraj, Jayarajasigam")</f>
        <v>Kesavaraj, Jayarajasigam</v>
      </c>
      <c r="B2200" t="s">
        <v>4782</v>
      </c>
      <c r="C2200" t="s">
        <v>28</v>
      </c>
      <c r="D2200" t="s">
        <v>540</v>
      </c>
      <c r="E2200" t="s">
        <v>8</v>
      </c>
      <c r="F2200" t="s">
        <v>3374</v>
      </c>
      <c r="G2200" t="s">
        <v>3375</v>
      </c>
      <c r="H2200" t="s">
        <v>3375</v>
      </c>
      <c r="I2200" t="s">
        <v>3376</v>
      </c>
    </row>
    <row r="2201" spans="1:9" x14ac:dyDescent="0.25">
      <c r="A2201" s="1" t="str">
        <f>HYPERLINK("https://lynxcrm-apac--c.eu19.visual.force.com/0011i000001xo5SAAQ","Khairian, Mohd")</f>
        <v>Khairian, Mohd</v>
      </c>
      <c r="B2201" t="s">
        <v>4783</v>
      </c>
      <c r="C2201" t="s">
        <v>28</v>
      </c>
      <c r="D2201" t="s">
        <v>4784</v>
      </c>
      <c r="E2201" t="s">
        <v>8</v>
      </c>
      <c r="F2201" t="s">
        <v>3945</v>
      </c>
      <c r="G2201" t="s">
        <v>3946</v>
      </c>
      <c r="H2201" t="s">
        <v>3946</v>
      </c>
      <c r="I2201" t="s">
        <v>3947</v>
      </c>
    </row>
    <row r="2202" spans="1:9" x14ac:dyDescent="0.25">
      <c r="A2202" s="1" t="str">
        <f>HYPERLINK("https://lynxcrm-apac--c.eu19.visual.force.com/0011i000001xo28AAA","Khairul, Bin Abdul Rahman")</f>
        <v>Khairul, Bin Abdul Rahman</v>
      </c>
      <c r="B2202" t="s">
        <v>4785</v>
      </c>
      <c r="C2202" t="s">
        <v>28</v>
      </c>
      <c r="D2202" t="s">
        <v>4786</v>
      </c>
      <c r="E2202" t="s">
        <v>8</v>
      </c>
      <c r="F2202" t="s">
        <v>4787</v>
      </c>
      <c r="G2202" t="s">
        <v>2973</v>
      </c>
      <c r="H2202" t="s">
        <v>2973</v>
      </c>
      <c r="I2202" t="s">
        <v>2974</v>
      </c>
    </row>
    <row r="2203" spans="1:9" x14ac:dyDescent="0.25">
      <c r="A2203" s="1" t="str">
        <f>HYPERLINK("https://lynxcrm-apac--c.eu19.visual.force.com/0011i00000Q2V7yAAF","Khan, Behram")</f>
        <v>Khan, Behram</v>
      </c>
      <c r="B2203" t="s">
        <v>4788</v>
      </c>
      <c r="C2203" t="s">
        <v>28</v>
      </c>
      <c r="D2203" t="s">
        <v>8</v>
      </c>
      <c r="E2203" t="s">
        <v>8</v>
      </c>
      <c r="F2203" t="s">
        <v>2128</v>
      </c>
      <c r="G2203" t="s">
        <v>428</v>
      </c>
      <c r="H2203" t="s">
        <v>1320</v>
      </c>
      <c r="I2203" t="s">
        <v>430</v>
      </c>
    </row>
    <row r="2204" spans="1:9" x14ac:dyDescent="0.25">
      <c r="A2204" s="1" t="str">
        <f>HYPERLINK("https://lynxcrm-apac--c.eu19.visual.force.com/0011i00000Q2V7yAAF","Khan, Behram")</f>
        <v>Khan, Behram</v>
      </c>
      <c r="B2204" t="s">
        <v>4788</v>
      </c>
      <c r="C2204" t="s">
        <v>28</v>
      </c>
      <c r="D2204" t="s">
        <v>429</v>
      </c>
      <c r="E2204" t="s">
        <v>8</v>
      </c>
      <c r="F2204" t="s">
        <v>2128</v>
      </c>
      <c r="G2204" t="s">
        <v>428</v>
      </c>
      <c r="H2204" t="s">
        <v>1320</v>
      </c>
      <c r="I2204" t="s">
        <v>430</v>
      </c>
    </row>
    <row r="2205" spans="1:9" x14ac:dyDescent="0.25">
      <c r="A2205" s="1" t="str">
        <f>HYPERLINK("https://lynxcrm-apac--c.eu19.visual.force.com/0011i000001xooyAAA","Khaw, Chin Choon Peter")</f>
        <v>Khaw, Chin Choon Peter</v>
      </c>
      <c r="B2205" t="s">
        <v>4789</v>
      </c>
      <c r="C2205" t="s">
        <v>28</v>
      </c>
      <c r="D2205" t="s">
        <v>4790</v>
      </c>
      <c r="E2205" t="s">
        <v>8</v>
      </c>
      <c r="F2205" t="s">
        <v>4791</v>
      </c>
      <c r="G2205" t="s">
        <v>1330</v>
      </c>
      <c r="H2205" t="s">
        <v>4792</v>
      </c>
      <c r="I2205" t="s">
        <v>4020</v>
      </c>
    </row>
    <row r="2206" spans="1:9" x14ac:dyDescent="0.25">
      <c r="A2206" s="1" t="str">
        <f>HYPERLINK("https://lynxcrm-apac--c.eu19.visual.force.com/0011i000001xnkpAAA","Khaw, Lai Guan Daniel")</f>
        <v>Khaw, Lai Guan Daniel</v>
      </c>
      <c r="B2206" t="s">
        <v>4793</v>
      </c>
      <c r="C2206" t="s">
        <v>28</v>
      </c>
      <c r="D2206" t="s">
        <v>1486</v>
      </c>
      <c r="E2206" t="s">
        <v>8</v>
      </c>
      <c r="F2206" t="s">
        <v>1486</v>
      </c>
      <c r="G2206" t="s">
        <v>1487</v>
      </c>
      <c r="H2206" t="s">
        <v>1487</v>
      </c>
      <c r="I2206" t="s">
        <v>1488</v>
      </c>
    </row>
    <row r="2207" spans="1:9" x14ac:dyDescent="0.25">
      <c r="A2207" s="1" t="str">
        <f>HYPERLINK("https://lynxcrm-apac--c.eu19.visual.force.com/0011i00000S3HHuAAN","Khaw, Mei Lin")</f>
        <v>Khaw, Mei Lin</v>
      </c>
      <c r="B2207" t="s">
        <v>4794</v>
      </c>
      <c r="C2207" t="s">
        <v>28</v>
      </c>
      <c r="D2207" t="s">
        <v>147</v>
      </c>
      <c r="E2207" t="s">
        <v>8</v>
      </c>
      <c r="F2207" t="s">
        <v>147</v>
      </c>
      <c r="G2207" t="s">
        <v>148</v>
      </c>
      <c r="H2207" t="s">
        <v>148</v>
      </c>
      <c r="I2207" t="s">
        <v>149</v>
      </c>
    </row>
    <row r="2208" spans="1:9" x14ac:dyDescent="0.25">
      <c r="A2208" s="1" t="str">
        <f>HYPERLINK("https://lynxcrm-apac--c.eu19.visual.force.com/0011i000001xo2CAAQ","Khemani, Neeta Parshotam")</f>
        <v>Khemani, Neeta Parshotam</v>
      </c>
      <c r="B2208" t="s">
        <v>4795</v>
      </c>
      <c r="C2208" t="s">
        <v>28</v>
      </c>
      <c r="D2208" t="s">
        <v>4796</v>
      </c>
      <c r="E2208" t="s">
        <v>8</v>
      </c>
      <c r="F2208" t="s">
        <v>4797</v>
      </c>
      <c r="G2208" t="s">
        <v>4798</v>
      </c>
      <c r="H2208" t="s">
        <v>4799</v>
      </c>
      <c r="I2208" t="s">
        <v>3927</v>
      </c>
    </row>
    <row r="2209" spans="1:9" x14ac:dyDescent="0.25">
      <c r="A2209" s="1" t="str">
        <f>HYPERLINK("https://lynxcrm-apac--c.eu19.visual.force.com/0011i00000oYBIXAA4","Kheng, Kok Kok")</f>
        <v>Kheng, Kok Kok</v>
      </c>
      <c r="B2209" t="s">
        <v>4800</v>
      </c>
      <c r="C2209" t="s">
        <v>28</v>
      </c>
      <c r="D2209" t="s">
        <v>8</v>
      </c>
      <c r="E2209" t="s">
        <v>8</v>
      </c>
      <c r="F2209" t="s">
        <v>393</v>
      </c>
      <c r="G2209" t="s">
        <v>394</v>
      </c>
      <c r="H2209" t="s">
        <v>395</v>
      </c>
      <c r="I2209" t="s">
        <v>396</v>
      </c>
    </row>
    <row r="2210" spans="1:9" x14ac:dyDescent="0.25">
      <c r="A2210" s="1" t="str">
        <f>HYPERLINK("https://lynxcrm-apac--c.eu19.visual.force.com/0011i00000oYBIXAA4","Kheng, Kok Kok")</f>
        <v>Kheng, Kok Kok</v>
      </c>
      <c r="B2210" t="s">
        <v>4800</v>
      </c>
      <c r="C2210" t="s">
        <v>28</v>
      </c>
      <c r="D2210" t="s">
        <v>392</v>
      </c>
      <c r="E2210" t="s">
        <v>8</v>
      </c>
      <c r="F2210" t="s">
        <v>393</v>
      </c>
      <c r="G2210" t="s">
        <v>394</v>
      </c>
      <c r="H2210" t="s">
        <v>395</v>
      </c>
      <c r="I2210" t="s">
        <v>396</v>
      </c>
    </row>
    <row r="2211" spans="1:9" x14ac:dyDescent="0.25">
      <c r="A2211" s="1" t="str">
        <f>HYPERLINK("https://lynxcrm-apac--c.eu19.visual.force.com/0011i000001xoVvAAI","Khi, Yu May Caroline")</f>
        <v>Khi, Yu May Caroline</v>
      </c>
      <c r="B2211" t="s">
        <v>4801</v>
      </c>
      <c r="C2211" t="s">
        <v>28</v>
      </c>
      <c r="D2211" t="s">
        <v>4802</v>
      </c>
      <c r="E2211" t="s">
        <v>8</v>
      </c>
      <c r="F2211" t="s">
        <v>263</v>
      </c>
      <c r="G2211" t="s">
        <v>264</v>
      </c>
      <c r="H2211" t="s">
        <v>265</v>
      </c>
      <c r="I2211" t="s">
        <v>266</v>
      </c>
    </row>
    <row r="2212" spans="1:9" x14ac:dyDescent="0.25">
      <c r="A2212" s="1" t="str">
        <f>HYPERLINK("https://lynxcrm-apac--c.eu19.visual.force.com/0011i000001xmsCAAQ","KH Mak Heart Clinic Pte Ltd")</f>
        <v>KH Mak Heart Clinic Pte Ltd</v>
      </c>
      <c r="B2212" t="s">
        <v>4803</v>
      </c>
      <c r="C2212" t="s">
        <v>10</v>
      </c>
      <c r="D2212" t="s">
        <v>8</v>
      </c>
      <c r="E2212" t="s">
        <v>8</v>
      </c>
      <c r="F2212" t="s">
        <v>69</v>
      </c>
      <c r="G2212" t="s">
        <v>1314</v>
      </c>
      <c r="H2212" t="s">
        <v>4804</v>
      </c>
      <c r="I2212" t="s">
        <v>67</v>
      </c>
    </row>
    <row r="2213" spans="1:9" x14ac:dyDescent="0.25">
      <c r="A2213" s="1" t="str">
        <f>HYPERLINK("https://lynxcrm-apac--c.eu19.visual.force.com/0011i000001xop3AAA","Kho, Guan Hoon Annet")</f>
        <v>Kho, Guan Hoon Annet</v>
      </c>
      <c r="B2213" t="s">
        <v>4805</v>
      </c>
      <c r="C2213" t="s">
        <v>28</v>
      </c>
      <c r="D2213" t="s">
        <v>4806</v>
      </c>
      <c r="E2213" t="s">
        <v>8</v>
      </c>
      <c r="F2213" t="s">
        <v>4807</v>
      </c>
      <c r="G2213" t="s">
        <v>4808</v>
      </c>
      <c r="H2213" t="s">
        <v>4808</v>
      </c>
      <c r="I2213" t="s">
        <v>4809</v>
      </c>
    </row>
    <row r="2214" spans="1:9" x14ac:dyDescent="0.25">
      <c r="A2214" s="1" t="str">
        <f>HYPERLINK("https://lynxcrm-apac--c.eu19.visual.force.com/0011i000001xop6AAA","Kho, Keng How")</f>
        <v>Kho, Keng How</v>
      </c>
      <c r="B2214" t="s">
        <v>4810</v>
      </c>
      <c r="C2214" t="s">
        <v>28</v>
      </c>
      <c r="D2214" t="s">
        <v>4811</v>
      </c>
      <c r="E2214" t="s">
        <v>8</v>
      </c>
      <c r="F2214" t="s">
        <v>4812</v>
      </c>
      <c r="G2214" t="s">
        <v>4813</v>
      </c>
      <c r="H2214" t="s">
        <v>4813</v>
      </c>
      <c r="I2214" t="s">
        <v>2423</v>
      </c>
    </row>
    <row r="2215" spans="1:9" x14ac:dyDescent="0.25">
      <c r="A2215" s="1" t="str">
        <f>HYPERLINK("https://lynxcrm-apac--c.eu19.visual.force.com/0011i000001xoFoAAI","Kho, Soo Ee Karina")</f>
        <v>Kho, Soo Ee Karina</v>
      </c>
      <c r="B2215" t="s">
        <v>4814</v>
      </c>
      <c r="C2215" t="s">
        <v>28</v>
      </c>
      <c r="D2215" t="s">
        <v>4815</v>
      </c>
      <c r="E2215" t="s">
        <v>8</v>
      </c>
      <c r="F2215" t="s">
        <v>4816</v>
      </c>
      <c r="G2215" t="s">
        <v>4817</v>
      </c>
      <c r="H2215" t="s">
        <v>4818</v>
      </c>
      <c r="I2215" t="s">
        <v>3716</v>
      </c>
    </row>
    <row r="2216" spans="1:9" x14ac:dyDescent="0.25">
      <c r="A2216" s="1" t="str">
        <f>HYPERLINK("https://lynxcrm-apac--c.eu19.visual.force.com/0011i000001xo2DAAQ","Kho, Sunn Sunn Patrick")</f>
        <v>Kho, Sunn Sunn Patrick</v>
      </c>
      <c r="B2216" t="s">
        <v>4819</v>
      </c>
      <c r="C2216" t="s">
        <v>28</v>
      </c>
      <c r="D2216" t="s">
        <v>261</v>
      </c>
      <c r="E2216" t="s">
        <v>8</v>
      </c>
      <c r="F2216" t="s">
        <v>261</v>
      </c>
      <c r="G2216" t="s">
        <v>347</v>
      </c>
      <c r="H2216" t="s">
        <v>347</v>
      </c>
      <c r="I2216" t="s">
        <v>260</v>
      </c>
    </row>
    <row r="2217" spans="1:9" x14ac:dyDescent="0.25">
      <c r="A2217" s="1" t="str">
        <f>HYPERLINK("https://lynxcrm-apac--c.eu19.visual.force.com/0011i000001xo2DAAQ","Kho, Sunn Sunn Patrick")</f>
        <v>Kho, Sunn Sunn Patrick</v>
      </c>
      <c r="B2217" t="s">
        <v>4819</v>
      </c>
      <c r="C2217" t="s">
        <v>28</v>
      </c>
      <c r="D2217" t="s">
        <v>261</v>
      </c>
      <c r="E2217" t="s">
        <v>8</v>
      </c>
      <c r="F2217" t="s">
        <v>514</v>
      </c>
      <c r="G2217" t="s">
        <v>258</v>
      </c>
      <c r="H2217" t="s">
        <v>259</v>
      </c>
      <c r="I2217" t="s">
        <v>260</v>
      </c>
    </row>
    <row r="2218" spans="1:9" x14ac:dyDescent="0.25">
      <c r="A2218" s="1" t="str">
        <f>HYPERLINK("https://lynxcrm-apac--c.eu19.visual.force.com/0011i000001xoeWAAQ","Khong, Kok Sun")</f>
        <v>Khong, Kok Sun</v>
      </c>
      <c r="B2218" t="s">
        <v>4820</v>
      </c>
      <c r="C2218" t="s">
        <v>28</v>
      </c>
      <c r="D2218" t="s">
        <v>4821</v>
      </c>
      <c r="E2218" t="s">
        <v>8</v>
      </c>
      <c r="F2218" t="s">
        <v>377</v>
      </c>
      <c r="G2218" t="s">
        <v>4822</v>
      </c>
      <c r="H2218" t="s">
        <v>4823</v>
      </c>
      <c r="I2218" t="s">
        <v>123</v>
      </c>
    </row>
    <row r="2219" spans="1:9" x14ac:dyDescent="0.25">
      <c r="A2219" s="1" t="str">
        <f>HYPERLINK("https://lynxcrm-apac--c.eu19.visual.force.com/0011i000001xopHAAQ","Khoo, Buk Kwong")</f>
        <v>Khoo, Buk Kwong</v>
      </c>
      <c r="B2219" t="s">
        <v>4824</v>
      </c>
      <c r="C2219" t="s">
        <v>28</v>
      </c>
      <c r="D2219" t="s">
        <v>4825</v>
      </c>
      <c r="E2219" t="s">
        <v>8</v>
      </c>
      <c r="F2219" t="s">
        <v>4826</v>
      </c>
      <c r="G2219" t="s">
        <v>4827</v>
      </c>
      <c r="H2219" t="s">
        <v>4827</v>
      </c>
      <c r="I2219" t="s">
        <v>4828</v>
      </c>
    </row>
    <row r="2220" spans="1:9" x14ac:dyDescent="0.25">
      <c r="A2220" s="1" t="str">
        <f>HYPERLINK("https://lynxcrm-apac--c.eu19.visual.force.com/0011i000001xopUAAQ","Khoo, C H Brian")</f>
        <v>Khoo, C H Brian</v>
      </c>
      <c r="B2220" t="s">
        <v>4829</v>
      </c>
      <c r="C2220" t="s">
        <v>28</v>
      </c>
      <c r="D2220" t="s">
        <v>4830</v>
      </c>
      <c r="E2220" t="s">
        <v>8</v>
      </c>
      <c r="F2220" t="s">
        <v>4831</v>
      </c>
      <c r="G2220" t="s">
        <v>2979</v>
      </c>
      <c r="H2220" t="s">
        <v>2979</v>
      </c>
      <c r="I2220" t="s">
        <v>200</v>
      </c>
    </row>
    <row r="2221" spans="1:9" x14ac:dyDescent="0.25">
      <c r="A2221" s="1" t="str">
        <f>HYPERLINK("https://lynxcrm-apac--c.eu19.visual.force.com/0011i000001xopUAAQ","Khoo, C H Brian")</f>
        <v>Khoo, C H Brian</v>
      </c>
      <c r="B2221" t="s">
        <v>4829</v>
      </c>
      <c r="C2221" t="s">
        <v>28</v>
      </c>
      <c r="D2221" t="s">
        <v>4832</v>
      </c>
      <c r="E2221" t="s">
        <v>8</v>
      </c>
      <c r="F2221" t="s">
        <v>1324</v>
      </c>
      <c r="G2221" t="s">
        <v>202</v>
      </c>
      <c r="H2221" t="s">
        <v>8</v>
      </c>
      <c r="I2221" t="s">
        <v>4833</v>
      </c>
    </row>
    <row r="2222" spans="1:9" x14ac:dyDescent="0.25">
      <c r="A2222" s="1" t="str">
        <f>HYPERLINK("https://lynxcrm-apac--c.eu19.visual.force.com/0011i000001xopJAAQ","Khoo, Chee Min James")</f>
        <v>Khoo, Chee Min James</v>
      </c>
      <c r="B2222" t="s">
        <v>4834</v>
      </c>
      <c r="C2222" t="s">
        <v>28</v>
      </c>
      <c r="D2222" t="s">
        <v>4835</v>
      </c>
      <c r="E2222" t="s">
        <v>8</v>
      </c>
      <c r="F2222" t="s">
        <v>377</v>
      </c>
      <c r="G2222" t="s">
        <v>4836</v>
      </c>
      <c r="H2222" t="s">
        <v>4836</v>
      </c>
      <c r="I2222" t="s">
        <v>123</v>
      </c>
    </row>
    <row r="2223" spans="1:9" x14ac:dyDescent="0.25">
      <c r="A2223" s="1" t="str">
        <f>HYPERLINK("https://lynxcrm-apac--c.eu19.visual.force.com/0011i000001xopKAAQ","Khoo, Chong Yew")</f>
        <v>Khoo, Chong Yew</v>
      </c>
      <c r="B2223" t="s">
        <v>4837</v>
      </c>
      <c r="C2223" t="s">
        <v>28</v>
      </c>
      <c r="D2223" t="s">
        <v>468</v>
      </c>
      <c r="E2223" t="s">
        <v>8</v>
      </c>
      <c r="F2223" t="s">
        <v>469</v>
      </c>
      <c r="G2223" t="s">
        <v>470</v>
      </c>
      <c r="H2223" t="s">
        <v>471</v>
      </c>
      <c r="I2223" t="s">
        <v>67</v>
      </c>
    </row>
    <row r="2224" spans="1:9" x14ac:dyDescent="0.25">
      <c r="A2224" s="1" t="str">
        <f>HYPERLINK("https://lynxcrm-apac--c.eu19.visual.force.com/0011i000001xoF9AAI","Khoo, Chooi Yong")</f>
        <v>Khoo, Chooi Yong</v>
      </c>
      <c r="B2224" t="s">
        <v>4838</v>
      </c>
      <c r="C2224" t="s">
        <v>28</v>
      </c>
      <c r="D2224" t="s">
        <v>583</v>
      </c>
      <c r="E2224" t="s">
        <v>8</v>
      </c>
      <c r="F2224" t="s">
        <v>368</v>
      </c>
      <c r="G2224" t="s">
        <v>584</v>
      </c>
      <c r="H2224" t="s">
        <v>1386</v>
      </c>
      <c r="I2224" t="s">
        <v>585</v>
      </c>
    </row>
    <row r="2225" spans="1:9" x14ac:dyDescent="0.25">
      <c r="A2225" s="1" t="str">
        <f>HYPERLINK("https://lynxcrm-apac--c.eu19.visual.force.com/0011i000001xnpeAAA","Khoo, Chun Leng William")</f>
        <v>Khoo, Chun Leng William</v>
      </c>
      <c r="B2225" t="s">
        <v>4839</v>
      </c>
      <c r="C2225" t="s">
        <v>28</v>
      </c>
      <c r="D2225" t="s">
        <v>4840</v>
      </c>
      <c r="E2225" t="s">
        <v>8</v>
      </c>
      <c r="F2225" t="s">
        <v>1891</v>
      </c>
      <c r="G2225" t="s">
        <v>1221</v>
      </c>
      <c r="H2225" t="s">
        <v>4841</v>
      </c>
      <c r="I2225" t="s">
        <v>1892</v>
      </c>
    </row>
    <row r="2226" spans="1:9" x14ac:dyDescent="0.25">
      <c r="A2226" s="1" t="str">
        <f>HYPERLINK("https://lynxcrm-apac--c.eu19.visual.force.com/0011i000001xnfjAAA","Khoo, Chun Yuan")</f>
        <v>Khoo, Chun Yuan</v>
      </c>
      <c r="B2226" t="s">
        <v>4842</v>
      </c>
      <c r="C2226" t="s">
        <v>28</v>
      </c>
      <c r="D2226" t="s">
        <v>449</v>
      </c>
      <c r="E2226" t="s">
        <v>8</v>
      </c>
      <c r="F2226" t="s">
        <v>450</v>
      </c>
      <c r="G2226" t="s">
        <v>449</v>
      </c>
      <c r="H2226" t="s">
        <v>449</v>
      </c>
      <c r="I2226" t="s">
        <v>451</v>
      </c>
    </row>
    <row r="2227" spans="1:9" x14ac:dyDescent="0.25">
      <c r="A2227" s="1" t="str">
        <f>HYPERLINK("https://lynxcrm-apac--c.eu19.visual.force.com/0011i000001xnfjAAA","Khoo, Chun Yuan")</f>
        <v>Khoo, Chun Yuan</v>
      </c>
      <c r="B2227" t="s">
        <v>4842</v>
      </c>
      <c r="C2227" t="s">
        <v>28</v>
      </c>
      <c r="D2227" t="s">
        <v>449</v>
      </c>
      <c r="E2227" t="s">
        <v>8</v>
      </c>
      <c r="F2227" t="s">
        <v>234</v>
      </c>
      <c r="G2227" t="s">
        <v>452</v>
      </c>
      <c r="H2227" t="s">
        <v>453</v>
      </c>
      <c r="I2227" t="s">
        <v>454</v>
      </c>
    </row>
    <row r="2228" spans="1:9" x14ac:dyDescent="0.25">
      <c r="A2228" s="1" t="str">
        <f>HYPERLINK("https://lynxcrm-apac--c.eu19.visual.force.com/0011i000001xnuRAAQ","Khoo, Deanna")</f>
        <v>Khoo, Deanna</v>
      </c>
      <c r="B2228" t="s">
        <v>4843</v>
      </c>
      <c r="C2228" t="s">
        <v>28</v>
      </c>
      <c r="D2228" t="s">
        <v>261</v>
      </c>
      <c r="E2228" t="s">
        <v>8</v>
      </c>
      <c r="F2228" t="s">
        <v>261</v>
      </c>
      <c r="G2228" t="s">
        <v>347</v>
      </c>
      <c r="H2228" t="s">
        <v>347</v>
      </c>
      <c r="I2228" t="s">
        <v>260</v>
      </c>
    </row>
    <row r="2229" spans="1:9" x14ac:dyDescent="0.25">
      <c r="A2229" s="1" t="str">
        <f>HYPERLINK("https://lynxcrm-apac--c.eu19.visual.force.com/0011i000007DbT9AAK","Khoo, Eric")</f>
        <v>Khoo, Eric</v>
      </c>
      <c r="B2229" t="s">
        <v>4844</v>
      </c>
      <c r="C2229" t="s">
        <v>28</v>
      </c>
      <c r="D2229" t="s">
        <v>4845</v>
      </c>
      <c r="E2229" t="s">
        <v>8</v>
      </c>
      <c r="F2229" t="s">
        <v>3044</v>
      </c>
      <c r="G2229" t="s">
        <v>65</v>
      </c>
      <c r="H2229" t="s">
        <v>65</v>
      </c>
      <c r="I2229" t="s">
        <v>67</v>
      </c>
    </row>
    <row r="2230" spans="1:9" x14ac:dyDescent="0.25">
      <c r="A2230" s="1" t="str">
        <f>HYPERLINK("https://lynxcrm-apac--c.eu19.visual.force.com/0011i000001xoh5AAA","Khoo, Hui Leng")</f>
        <v>Khoo, Hui Leng</v>
      </c>
      <c r="B2230" t="s">
        <v>4846</v>
      </c>
      <c r="C2230" t="s">
        <v>28</v>
      </c>
      <c r="D2230" t="s">
        <v>58</v>
      </c>
      <c r="E2230" t="s">
        <v>8</v>
      </c>
      <c r="F2230" t="s">
        <v>57</v>
      </c>
      <c r="G2230" t="s">
        <v>57</v>
      </c>
      <c r="H2230" t="s">
        <v>8</v>
      </c>
      <c r="I2230" t="s">
        <v>59</v>
      </c>
    </row>
    <row r="2231" spans="1:9" x14ac:dyDescent="0.25">
      <c r="A2231" s="1" t="str">
        <f>HYPERLINK("https://lynxcrm-apac--c.eu19.visual.force.com/0011i000001xoP8AAI","Khoo, Joo Ching Joan")</f>
        <v>Khoo, Joo Ching Joan</v>
      </c>
      <c r="B2231" t="s">
        <v>4847</v>
      </c>
      <c r="C2231" t="s">
        <v>28</v>
      </c>
      <c r="D2231" t="s">
        <v>583</v>
      </c>
      <c r="E2231" t="s">
        <v>8</v>
      </c>
      <c r="F2231" t="s">
        <v>246</v>
      </c>
      <c r="G2231" t="s">
        <v>584</v>
      </c>
      <c r="H2231" t="s">
        <v>1386</v>
      </c>
      <c r="I2231" t="s">
        <v>585</v>
      </c>
    </row>
    <row r="2232" spans="1:9" x14ac:dyDescent="0.25">
      <c r="A2232" s="1" t="str">
        <f>HYPERLINK("https://lynxcrm-apac--c.eu19.visual.force.com/0011i00000Xf1I0AAJ","Khoo, Kei Siong")</f>
        <v>Khoo, Kei Siong</v>
      </c>
      <c r="B2232" t="s">
        <v>4848</v>
      </c>
      <c r="C2232" t="s">
        <v>28</v>
      </c>
      <c r="D2232" t="s">
        <v>4849</v>
      </c>
      <c r="E2232" t="s">
        <v>8</v>
      </c>
      <c r="F2232" t="s">
        <v>4850</v>
      </c>
      <c r="G2232" t="s">
        <v>1040</v>
      </c>
      <c r="H2232" t="s">
        <v>8</v>
      </c>
      <c r="I2232" t="s">
        <v>123</v>
      </c>
    </row>
    <row r="2233" spans="1:9" x14ac:dyDescent="0.25">
      <c r="A2233" s="1" t="str">
        <f>HYPERLINK("https://lynxcrm-apac--c.eu19.visual.force.com/0011i000001xo2JAAQ","Khoo, Li-Chung Mark")</f>
        <v>Khoo, Li-Chung Mark</v>
      </c>
      <c r="B2233" t="s">
        <v>4851</v>
      </c>
      <c r="C2233" t="s">
        <v>28</v>
      </c>
      <c r="D2233" t="s">
        <v>261</v>
      </c>
      <c r="E2233" t="s">
        <v>8</v>
      </c>
      <c r="F2233" t="s">
        <v>514</v>
      </c>
      <c r="G2233" t="s">
        <v>258</v>
      </c>
      <c r="H2233" t="s">
        <v>258</v>
      </c>
      <c r="I2233" t="s">
        <v>260</v>
      </c>
    </row>
    <row r="2234" spans="1:9" x14ac:dyDescent="0.25">
      <c r="A2234" s="1" t="str">
        <f>HYPERLINK("https://lynxcrm-apac--c.eu19.visual.force.com/0011i000001xo2JAAQ","Khoo, Li-Chung Mark")</f>
        <v>Khoo, Li-Chung Mark</v>
      </c>
      <c r="B2234" t="s">
        <v>4851</v>
      </c>
      <c r="C2234" t="s">
        <v>28</v>
      </c>
      <c r="D2234" t="s">
        <v>261</v>
      </c>
      <c r="E2234" t="s">
        <v>8</v>
      </c>
      <c r="F2234" t="s">
        <v>261</v>
      </c>
      <c r="G2234" t="s">
        <v>347</v>
      </c>
      <c r="H2234" t="s">
        <v>347</v>
      </c>
      <c r="I2234" t="s">
        <v>260</v>
      </c>
    </row>
    <row r="2235" spans="1:9" x14ac:dyDescent="0.25">
      <c r="A2235" s="1" t="str">
        <f>HYPERLINK("https://lynxcrm-apac--c.eu19.visual.force.com/0011i000001xoOZAAY","Khoo, S N Rosalind")</f>
        <v>Khoo, S N Rosalind</v>
      </c>
      <c r="B2235" t="s">
        <v>4852</v>
      </c>
      <c r="C2235" t="s">
        <v>28</v>
      </c>
      <c r="D2235" t="s">
        <v>4853</v>
      </c>
      <c r="E2235" t="s">
        <v>8</v>
      </c>
      <c r="F2235" t="s">
        <v>121</v>
      </c>
      <c r="G2235" t="s">
        <v>127</v>
      </c>
      <c r="H2235" t="s">
        <v>127</v>
      </c>
      <c r="I2235" t="s">
        <v>123</v>
      </c>
    </row>
    <row r="2236" spans="1:9" x14ac:dyDescent="0.25">
      <c r="A2236" s="1" t="str">
        <f>HYPERLINK("https://lynxcrm-apac--c.eu19.visual.force.com/0011i000001xo8aAAA","Khoo, Sook Neo")</f>
        <v>Khoo, Sook Neo</v>
      </c>
      <c r="B2236" t="s">
        <v>4854</v>
      </c>
      <c r="C2236" t="s">
        <v>28</v>
      </c>
      <c r="D2236" t="s">
        <v>1253</v>
      </c>
      <c r="E2236" t="s">
        <v>8</v>
      </c>
      <c r="F2236" t="s">
        <v>368</v>
      </c>
      <c r="G2236" t="s">
        <v>360</v>
      </c>
      <c r="H2236" t="s">
        <v>360</v>
      </c>
      <c r="I2236" t="s">
        <v>362</v>
      </c>
    </row>
    <row r="2237" spans="1:9" x14ac:dyDescent="0.25">
      <c r="A2237" s="1" t="str">
        <f>HYPERLINK("https://lynxcrm-apac--c.eu19.visual.force.com/0011i000001xopTAAQ","Khoo, S S Janice")</f>
        <v>Khoo, S S Janice</v>
      </c>
      <c r="B2237" t="s">
        <v>4855</v>
      </c>
      <c r="C2237" t="s">
        <v>28</v>
      </c>
      <c r="D2237" t="s">
        <v>4856</v>
      </c>
      <c r="E2237" t="s">
        <v>8</v>
      </c>
      <c r="F2237" t="s">
        <v>4857</v>
      </c>
      <c r="G2237" t="s">
        <v>885</v>
      </c>
      <c r="H2237" t="s">
        <v>885</v>
      </c>
      <c r="I2237" t="s">
        <v>887</v>
      </c>
    </row>
    <row r="2238" spans="1:9" x14ac:dyDescent="0.25">
      <c r="A2238" s="1" t="str">
        <f>HYPERLINK("https://lynxcrm-apac--c.eu19.visual.force.com/0011i000001xopYAAQ","Khoo, Wu Ming Kenneth")</f>
        <v>Khoo, Wu Ming Kenneth</v>
      </c>
      <c r="B2238" t="s">
        <v>4858</v>
      </c>
      <c r="C2238" t="s">
        <v>28</v>
      </c>
      <c r="D2238" t="s">
        <v>4859</v>
      </c>
      <c r="E2238" t="s">
        <v>8</v>
      </c>
      <c r="F2238" t="s">
        <v>3915</v>
      </c>
      <c r="G2238" t="s">
        <v>3915</v>
      </c>
      <c r="H2238" t="s">
        <v>8</v>
      </c>
      <c r="I2238" t="s">
        <v>3916</v>
      </c>
    </row>
    <row r="2239" spans="1:9" x14ac:dyDescent="0.25">
      <c r="A2239" s="1" t="str">
        <f>HYPERLINK("https://lynxcrm-apac--c.eu19.visual.force.com/0011i000001xo8mAAA","Khoo, Yin Hao Eric")</f>
        <v>Khoo, Yin Hao Eric</v>
      </c>
      <c r="B2239" t="s">
        <v>4860</v>
      </c>
      <c r="C2239" t="s">
        <v>28</v>
      </c>
      <c r="D2239" t="s">
        <v>429</v>
      </c>
      <c r="E2239" t="s">
        <v>8</v>
      </c>
      <c r="F2239" t="s">
        <v>429</v>
      </c>
      <c r="G2239" t="s">
        <v>428</v>
      </c>
      <c r="H2239" t="s">
        <v>428</v>
      </c>
      <c r="I2239" t="s">
        <v>430</v>
      </c>
    </row>
    <row r="2240" spans="1:9" x14ac:dyDescent="0.25">
      <c r="A2240" s="1" t="str">
        <f>HYPERLINK("https://lynxcrm-apac--c.eu19.visual.force.com/0011i000001xo8mAAA","Khoo, Yin Hao Eric")</f>
        <v>Khoo, Yin Hao Eric</v>
      </c>
      <c r="B2240" t="s">
        <v>4860</v>
      </c>
      <c r="C2240" t="s">
        <v>28</v>
      </c>
      <c r="D2240" t="s">
        <v>4845</v>
      </c>
      <c r="E2240" t="s">
        <v>8</v>
      </c>
      <c r="F2240" t="s">
        <v>3044</v>
      </c>
      <c r="G2240" t="s">
        <v>65</v>
      </c>
      <c r="H2240" t="s">
        <v>65</v>
      </c>
      <c r="I2240" t="s">
        <v>67</v>
      </c>
    </row>
    <row r="2241" spans="1:9" x14ac:dyDescent="0.25">
      <c r="A2241" s="1" t="str">
        <f>HYPERLINK("https://lynxcrm-apac--c.eu19.visual.force.com/0011i000001xo8mAAA","Khoo, Yin Hao Eric")</f>
        <v>Khoo, Yin Hao Eric</v>
      </c>
      <c r="B2241" t="s">
        <v>4860</v>
      </c>
      <c r="C2241" t="s">
        <v>28</v>
      </c>
      <c r="D2241" t="s">
        <v>429</v>
      </c>
      <c r="E2241" t="s">
        <v>8</v>
      </c>
      <c r="F2241" t="s">
        <v>444</v>
      </c>
      <c r="G2241" t="s">
        <v>444</v>
      </c>
      <c r="H2241" t="s">
        <v>8</v>
      </c>
      <c r="I2241" t="s">
        <v>430</v>
      </c>
    </row>
    <row r="2242" spans="1:9" x14ac:dyDescent="0.25">
      <c r="A2242" s="1" t="str">
        <f>HYPERLINK("https://lynxcrm-apac--c.eu19.visual.force.com/0011i000001xo8mAAA","Khoo, Yin Hao Eric")</f>
        <v>Khoo, Yin Hao Eric</v>
      </c>
      <c r="B2242" t="s">
        <v>4860</v>
      </c>
      <c r="C2242" t="s">
        <v>28</v>
      </c>
      <c r="D2242" t="s">
        <v>429</v>
      </c>
      <c r="E2242" t="s">
        <v>8</v>
      </c>
      <c r="F2242" t="s">
        <v>445</v>
      </c>
      <c r="G2242" t="s">
        <v>428</v>
      </c>
      <c r="H2242" t="s">
        <v>428</v>
      </c>
      <c r="I2242" t="s">
        <v>430</v>
      </c>
    </row>
    <row r="2243" spans="1:9" x14ac:dyDescent="0.25">
      <c r="A2243" s="1" t="str">
        <f>HYPERLINK("https://lynxcrm-apac--c.eu19.visual.force.com/0011i000001xo8mAAA","Khoo, Yin Hao Eric")</f>
        <v>Khoo, Yin Hao Eric</v>
      </c>
      <c r="B2243" t="s">
        <v>4860</v>
      </c>
      <c r="C2243" t="s">
        <v>28</v>
      </c>
      <c r="D2243" t="s">
        <v>429</v>
      </c>
      <c r="E2243" t="s">
        <v>8</v>
      </c>
      <c r="F2243" t="s">
        <v>444</v>
      </c>
      <c r="G2243" t="s">
        <v>444</v>
      </c>
      <c r="H2243" t="s">
        <v>8</v>
      </c>
      <c r="I2243" t="s">
        <v>8</v>
      </c>
    </row>
    <row r="2244" spans="1:9" x14ac:dyDescent="0.25">
      <c r="A2244" s="1" t="str">
        <f>HYPERLINK("https://lynxcrm-apac--c.eu19.visual.force.com/0011i000001xmwEAAQ","Khoo Clinic &amp; Surgery")</f>
        <v>Khoo Clinic &amp; Surgery</v>
      </c>
      <c r="B2244" t="s">
        <v>4861</v>
      </c>
      <c r="C2244" t="s">
        <v>10</v>
      </c>
      <c r="D2244" t="s">
        <v>8</v>
      </c>
      <c r="E2244" t="s">
        <v>8</v>
      </c>
      <c r="F2244" t="s">
        <v>4862</v>
      </c>
      <c r="G2244" t="s">
        <v>4862</v>
      </c>
      <c r="H2244" t="s">
        <v>8</v>
      </c>
      <c r="I2244" t="s">
        <v>4863</v>
      </c>
    </row>
    <row r="2245" spans="1:9" x14ac:dyDescent="0.25">
      <c r="A2245" s="1" t="str">
        <f>HYPERLINK("https://lynxcrm-apac--c.eu19.visual.force.com/0011i000001xmhCAAQ","Khoo Medical Clinic &amp; Surgery")</f>
        <v>Khoo Medical Clinic &amp; Surgery</v>
      </c>
      <c r="B2245" t="s">
        <v>4864</v>
      </c>
      <c r="C2245" t="s">
        <v>10</v>
      </c>
      <c r="D2245" t="s">
        <v>8</v>
      </c>
      <c r="E2245" t="s">
        <v>8</v>
      </c>
      <c r="F2245" t="s">
        <v>4865</v>
      </c>
      <c r="G2245" t="s">
        <v>4866</v>
      </c>
      <c r="H2245" t="s">
        <v>4867</v>
      </c>
      <c r="I2245" t="s">
        <v>4828</v>
      </c>
    </row>
    <row r="2246" spans="1:9" x14ac:dyDescent="0.25">
      <c r="A2246" s="1" t="str">
        <f>HYPERLINK("https://lynxcrm-apac--c.eu19.visual.force.com/0011i000001xmkXAAQ","Khoo Teck Phuat Hospital")</f>
        <v>Khoo Teck Phuat Hospital</v>
      </c>
      <c r="B2246" t="s">
        <v>4868</v>
      </c>
      <c r="C2246" t="s">
        <v>10</v>
      </c>
      <c r="D2246" t="s">
        <v>8</v>
      </c>
      <c r="E2246" t="s">
        <v>8</v>
      </c>
      <c r="F2246" t="s">
        <v>502</v>
      </c>
      <c r="G2246" t="s">
        <v>502</v>
      </c>
      <c r="H2246" t="s">
        <v>8</v>
      </c>
      <c r="I2246" t="s">
        <v>506</v>
      </c>
    </row>
    <row r="2247" spans="1:9" x14ac:dyDescent="0.25">
      <c r="A2247" s="1" t="str">
        <f>HYPERLINK("https://lynxcrm-apac--c.eu19.visual.force.com/0011i000001xmmKAAQ","Khoo Teck Puat Hospital")</f>
        <v>Khoo Teck Puat Hospital</v>
      </c>
      <c r="B2247" t="s">
        <v>4869</v>
      </c>
      <c r="C2247" t="s">
        <v>10</v>
      </c>
      <c r="D2247" t="s">
        <v>8</v>
      </c>
      <c r="E2247" t="s">
        <v>8</v>
      </c>
      <c r="F2247" t="s">
        <v>359</v>
      </c>
      <c r="G2247" t="s">
        <v>502</v>
      </c>
      <c r="H2247" t="s">
        <v>503</v>
      </c>
      <c r="I2247" t="s">
        <v>506</v>
      </c>
    </row>
    <row r="2248" spans="1:9" x14ac:dyDescent="0.25">
      <c r="A2248" s="1" t="str">
        <f>HYPERLINK("https://lynxcrm-apac--c.eu19.visual.force.com/0011i000001xnSwAAI","Khoo Teck Puat Hospital")</f>
        <v>Khoo Teck Puat Hospital</v>
      </c>
      <c r="B2248" t="s">
        <v>4870</v>
      </c>
      <c r="C2248" t="s">
        <v>10</v>
      </c>
      <c r="D2248" t="s">
        <v>8</v>
      </c>
      <c r="E2248" t="s">
        <v>8</v>
      </c>
      <c r="F2248" t="s">
        <v>359</v>
      </c>
      <c r="G2248" t="s">
        <v>502</v>
      </c>
      <c r="H2248" t="s">
        <v>502</v>
      </c>
      <c r="I2248" t="s">
        <v>506</v>
      </c>
    </row>
    <row r="2249" spans="1:9" x14ac:dyDescent="0.25">
      <c r="A2249" s="1" t="str">
        <f>HYPERLINK("https://lynxcrm-apac--c.eu19.visual.force.com/0011i000001xnY5AAI","Khoo Teck Puat Hospital")</f>
        <v>Khoo Teck Puat Hospital</v>
      </c>
      <c r="B2249" t="s">
        <v>4871</v>
      </c>
      <c r="C2249" t="s">
        <v>10</v>
      </c>
      <c r="D2249" t="s">
        <v>8</v>
      </c>
      <c r="E2249" t="s">
        <v>8</v>
      </c>
      <c r="F2249" t="s">
        <v>4872</v>
      </c>
      <c r="G2249" t="s">
        <v>502</v>
      </c>
      <c r="H2249" t="s">
        <v>502</v>
      </c>
      <c r="I2249" t="s">
        <v>506</v>
      </c>
    </row>
    <row r="2250" spans="1:9" x14ac:dyDescent="0.25">
      <c r="A2250" s="1" t="str">
        <f>HYPERLINK("https://lynxcrm-apac--c.eu19.visual.force.com/0011i000001xnbdAAA","Khoo Teck Puat Hospital")</f>
        <v>Khoo Teck Puat Hospital</v>
      </c>
      <c r="B2250" t="s">
        <v>4873</v>
      </c>
      <c r="C2250" t="s">
        <v>10</v>
      </c>
      <c r="D2250" t="s">
        <v>8</v>
      </c>
      <c r="E2250" t="s">
        <v>8</v>
      </c>
      <c r="F2250" t="s">
        <v>359</v>
      </c>
      <c r="G2250" t="s">
        <v>502</v>
      </c>
      <c r="H2250" t="s">
        <v>503</v>
      </c>
      <c r="I2250" t="s">
        <v>506</v>
      </c>
    </row>
    <row r="2251" spans="1:9" x14ac:dyDescent="0.25">
      <c r="A2251" s="1" t="str">
        <f>HYPERLINK("https://lynxcrm-apac--c.eu19.visual.force.com/0011i000001xnbhAAA","Khoo Teck Puat Hospital")</f>
        <v>Khoo Teck Puat Hospital</v>
      </c>
      <c r="B2251" t="s">
        <v>4874</v>
      </c>
      <c r="C2251" t="s">
        <v>10</v>
      </c>
      <c r="D2251" t="s">
        <v>8</v>
      </c>
      <c r="E2251" t="s">
        <v>8</v>
      </c>
      <c r="F2251" t="s">
        <v>359</v>
      </c>
      <c r="G2251" t="s">
        <v>502</v>
      </c>
      <c r="H2251" t="s">
        <v>503</v>
      </c>
      <c r="I2251" t="s">
        <v>506</v>
      </c>
    </row>
    <row r="2252" spans="1:9" x14ac:dyDescent="0.25">
      <c r="A2252" s="1" t="str">
        <f>HYPERLINK("https://lynxcrm-apac--c.eu19.visual.force.com/0011i000001xmmLAAQ","Khoo Teck Puat Hospital")</f>
        <v>Khoo Teck Puat Hospital</v>
      </c>
      <c r="B2252" t="s">
        <v>4875</v>
      </c>
      <c r="C2252" t="s">
        <v>10</v>
      </c>
      <c r="D2252" t="s">
        <v>8</v>
      </c>
      <c r="E2252" t="s">
        <v>8</v>
      </c>
      <c r="F2252" t="s">
        <v>359</v>
      </c>
      <c r="G2252" t="s">
        <v>502</v>
      </c>
      <c r="H2252" t="s">
        <v>503</v>
      </c>
      <c r="I2252" t="s">
        <v>506</v>
      </c>
    </row>
    <row r="2253" spans="1:9" x14ac:dyDescent="0.25">
      <c r="A2253" s="1" t="str">
        <f>HYPERLINK("https://lynxcrm-apac--c.eu19.visual.force.com/0011i000001xmt7AAA","Khoo Teck Puat Hospital")</f>
        <v>Khoo Teck Puat Hospital</v>
      </c>
      <c r="B2253" t="s">
        <v>4876</v>
      </c>
      <c r="C2253" t="s">
        <v>10</v>
      </c>
      <c r="D2253" t="s">
        <v>8</v>
      </c>
      <c r="E2253" t="s">
        <v>8</v>
      </c>
      <c r="F2253" t="s">
        <v>359</v>
      </c>
      <c r="G2253" t="s">
        <v>502</v>
      </c>
      <c r="H2253" t="s">
        <v>503</v>
      </c>
      <c r="I2253" t="s">
        <v>506</v>
      </c>
    </row>
    <row r="2254" spans="1:9" x14ac:dyDescent="0.25">
      <c r="A2254" s="1" t="str">
        <f>HYPERLINK("https://lynxcrm-apac--c.eu19.visual.force.com/0011i000001xn9xAAA","Khoo Teck Puat Hospital")</f>
        <v>Khoo Teck Puat Hospital</v>
      </c>
      <c r="B2254" t="s">
        <v>4877</v>
      </c>
      <c r="C2254" t="s">
        <v>10</v>
      </c>
      <c r="D2254" t="s">
        <v>8</v>
      </c>
      <c r="E2254" t="s">
        <v>8</v>
      </c>
      <c r="F2254" t="s">
        <v>246</v>
      </c>
      <c r="G2254" t="s">
        <v>502</v>
      </c>
      <c r="H2254" t="s">
        <v>503</v>
      </c>
      <c r="I2254" t="s">
        <v>504</v>
      </c>
    </row>
    <row r="2255" spans="1:9" x14ac:dyDescent="0.25">
      <c r="A2255" s="1" t="str">
        <f>HYPERLINK("https://lynxcrm-apac--c.eu19.visual.force.com/0011i000001xnG4AAI","Khoo Teck Puat Hospital")</f>
        <v>Khoo Teck Puat Hospital</v>
      </c>
      <c r="B2255" t="s">
        <v>4878</v>
      </c>
      <c r="C2255" t="s">
        <v>10</v>
      </c>
      <c r="D2255" t="s">
        <v>8</v>
      </c>
      <c r="E2255" t="s">
        <v>8</v>
      </c>
      <c r="F2255" t="s">
        <v>359</v>
      </c>
      <c r="G2255" t="s">
        <v>502</v>
      </c>
      <c r="H2255" t="s">
        <v>503</v>
      </c>
      <c r="I2255" t="s">
        <v>506</v>
      </c>
    </row>
    <row r="2256" spans="1:9" x14ac:dyDescent="0.25">
      <c r="A2256" s="1" t="str">
        <f>HYPERLINK("https://lynxcrm-apac--c.eu19.visual.force.com/0011i000001xopbAAA","Khor, Beng Lee")</f>
        <v>Khor, Beng Lee</v>
      </c>
      <c r="B2256" t="s">
        <v>4879</v>
      </c>
      <c r="C2256" t="s">
        <v>28</v>
      </c>
      <c r="D2256" t="s">
        <v>4880</v>
      </c>
      <c r="E2256" t="s">
        <v>8</v>
      </c>
      <c r="F2256" t="s">
        <v>4881</v>
      </c>
      <c r="G2256" t="s">
        <v>4882</v>
      </c>
      <c r="H2256" t="s">
        <v>4882</v>
      </c>
      <c r="I2256" t="s">
        <v>4883</v>
      </c>
    </row>
    <row r="2257" spans="1:9" x14ac:dyDescent="0.25">
      <c r="A2257" s="1" t="str">
        <f>HYPERLINK("https://lynxcrm-apac--c.eu19.visual.force.com/0011i000001xnr3AAA","Khor, Hong Tar")</f>
        <v>Khor, Hong Tar</v>
      </c>
      <c r="B2257" t="s">
        <v>4884</v>
      </c>
      <c r="C2257" t="s">
        <v>28</v>
      </c>
      <c r="D2257" t="s">
        <v>261</v>
      </c>
      <c r="E2257" t="s">
        <v>8</v>
      </c>
      <c r="F2257" t="s">
        <v>246</v>
      </c>
      <c r="G2257" t="s">
        <v>258</v>
      </c>
      <c r="H2257" t="s">
        <v>258</v>
      </c>
      <c r="I2257" t="s">
        <v>260</v>
      </c>
    </row>
    <row r="2258" spans="1:9" x14ac:dyDescent="0.25">
      <c r="A2258" s="1" t="str">
        <f>HYPERLINK("https://lynxcrm-apac--c.eu19.visual.force.com/0011i000007DNM8AAO","Khor, Huiyi Joanne")</f>
        <v>Khor, Huiyi Joanne</v>
      </c>
      <c r="B2258" t="s">
        <v>4885</v>
      </c>
      <c r="C2258" t="s">
        <v>28</v>
      </c>
      <c r="D2258" t="s">
        <v>709</v>
      </c>
      <c r="E2258" t="s">
        <v>8</v>
      </c>
      <c r="F2258" t="s">
        <v>710</v>
      </c>
      <c r="G2258" t="s">
        <v>135</v>
      </c>
      <c r="H2258" t="s">
        <v>135</v>
      </c>
      <c r="I2258" t="s">
        <v>711</v>
      </c>
    </row>
    <row r="2259" spans="1:9" x14ac:dyDescent="0.25">
      <c r="A2259" s="1" t="str">
        <f>HYPERLINK("https://lynxcrm-apac--c.eu19.visual.force.com/0011i000001xoQXAAY","Khor, Yee Han")</f>
        <v>Khor, Yee Han</v>
      </c>
      <c r="B2259" t="s">
        <v>4886</v>
      </c>
      <c r="C2259" t="s">
        <v>28</v>
      </c>
      <c r="D2259" t="s">
        <v>54</v>
      </c>
      <c r="E2259" t="s">
        <v>8</v>
      </c>
      <c r="F2259" t="s">
        <v>1225</v>
      </c>
      <c r="G2259" t="s">
        <v>1225</v>
      </c>
      <c r="H2259" t="s">
        <v>8</v>
      </c>
      <c r="I2259" t="s">
        <v>55</v>
      </c>
    </row>
    <row r="2260" spans="1:9" x14ac:dyDescent="0.25">
      <c r="A2260" s="1" t="str">
        <f>HYPERLINK("https://lynxcrm-apac--c.eu19.visual.force.com/0011i000001xnHRAAY","Khor Clinic &amp; Surgery")</f>
        <v>Khor Clinic &amp; Surgery</v>
      </c>
      <c r="B2260" t="s">
        <v>4887</v>
      </c>
      <c r="C2260" t="s">
        <v>10</v>
      </c>
      <c r="D2260" t="s">
        <v>8</v>
      </c>
      <c r="E2260" t="s">
        <v>8</v>
      </c>
      <c r="F2260" t="s">
        <v>4881</v>
      </c>
      <c r="G2260" t="s">
        <v>4882</v>
      </c>
      <c r="H2260" t="s">
        <v>4882</v>
      </c>
      <c r="I2260" t="s">
        <v>4883</v>
      </c>
    </row>
    <row r="2261" spans="1:9" x14ac:dyDescent="0.25">
      <c r="A2261" s="1" t="str">
        <f>HYPERLINK("https://lynxcrm-apac--c.eu19.visual.force.com/0011i000001xoCMAAY","Khurana, Rohit")</f>
        <v>Khurana, Rohit</v>
      </c>
      <c r="B2261" t="s">
        <v>4888</v>
      </c>
      <c r="C2261" t="s">
        <v>28</v>
      </c>
      <c r="D2261" t="s">
        <v>4889</v>
      </c>
      <c r="E2261" t="s">
        <v>8</v>
      </c>
      <c r="F2261" t="s">
        <v>4890</v>
      </c>
      <c r="G2261" t="s">
        <v>4890</v>
      </c>
      <c r="H2261" t="s">
        <v>8</v>
      </c>
      <c r="I2261" t="s">
        <v>466</v>
      </c>
    </row>
    <row r="2262" spans="1:9" x14ac:dyDescent="0.25">
      <c r="A2262" s="1" t="str">
        <f>HYPERLINK("https://lynxcrm-apac--c.eu19.visual.force.com/0011i000001xoCMAAY","Khurana, Rohit")</f>
        <v>Khurana, Rohit</v>
      </c>
      <c r="B2262" t="s">
        <v>4888</v>
      </c>
      <c r="C2262" t="s">
        <v>28</v>
      </c>
      <c r="D2262" t="s">
        <v>4889</v>
      </c>
      <c r="E2262" t="s">
        <v>8</v>
      </c>
      <c r="F2262" t="s">
        <v>4891</v>
      </c>
      <c r="G2262" t="s">
        <v>4890</v>
      </c>
      <c r="H2262" t="s">
        <v>4890</v>
      </c>
      <c r="I2262" t="s">
        <v>466</v>
      </c>
    </row>
    <row r="2263" spans="1:9" x14ac:dyDescent="0.25">
      <c r="A2263" s="1" t="str">
        <f>HYPERLINK("https://lynxcrm-apac--c.eu19.visual.force.com/0011i000001xoKoAAI","Khwaja, Asif")</f>
        <v>Khwaja, Asif</v>
      </c>
      <c r="B2263" t="s">
        <v>4892</v>
      </c>
      <c r="C2263" t="s">
        <v>28</v>
      </c>
      <c r="D2263" t="s">
        <v>516</v>
      </c>
      <c r="E2263" t="s">
        <v>8</v>
      </c>
      <c r="F2263" t="s">
        <v>517</v>
      </c>
      <c r="G2263" t="s">
        <v>517</v>
      </c>
      <c r="H2263" t="s">
        <v>8</v>
      </c>
      <c r="I2263" t="s">
        <v>518</v>
      </c>
    </row>
    <row r="2264" spans="1:9" x14ac:dyDescent="0.25">
      <c r="A2264" s="1" t="str">
        <f>HYPERLINK("https://lynxcrm-apac--c.eu19.visual.force.com/0011i00000FF7QdAAL","Kiew, Jolene")</f>
        <v>Kiew, Jolene</v>
      </c>
      <c r="B2264" t="s">
        <v>4893</v>
      </c>
      <c r="C2264" t="s">
        <v>28</v>
      </c>
      <c r="D2264" t="s">
        <v>429</v>
      </c>
      <c r="E2264" t="s">
        <v>8</v>
      </c>
      <c r="F2264" t="s">
        <v>429</v>
      </c>
      <c r="G2264" t="s">
        <v>428</v>
      </c>
      <c r="H2264" t="s">
        <v>428</v>
      </c>
      <c r="I2264" t="s">
        <v>430</v>
      </c>
    </row>
    <row r="2265" spans="1:9" x14ac:dyDescent="0.25">
      <c r="A2265" s="1" t="str">
        <f>HYPERLINK("https://lynxcrm-apac--c.eu19.visual.force.com/0011i000001xopiAAA","Kim, Alana Hayes")</f>
        <v>Kim, Alana Hayes</v>
      </c>
      <c r="B2265" t="s">
        <v>4894</v>
      </c>
      <c r="C2265" t="s">
        <v>28</v>
      </c>
      <c r="D2265" t="s">
        <v>819</v>
      </c>
      <c r="E2265" t="s">
        <v>8</v>
      </c>
      <c r="F2265" t="s">
        <v>820</v>
      </c>
      <c r="G2265" t="s">
        <v>820</v>
      </c>
      <c r="H2265" t="s">
        <v>821</v>
      </c>
      <c r="I2265" t="s">
        <v>822</v>
      </c>
    </row>
    <row r="2266" spans="1:9" x14ac:dyDescent="0.25">
      <c r="A2266" s="1" t="str">
        <f>HYPERLINK("https://lynxcrm-apac--c.eu19.visual.force.com/0011i000001xmfLAAQ","Ki Medical Clinic")</f>
        <v>Ki Medical Clinic</v>
      </c>
      <c r="B2266" t="s">
        <v>4895</v>
      </c>
      <c r="C2266" t="s">
        <v>10</v>
      </c>
      <c r="D2266" t="s">
        <v>8</v>
      </c>
      <c r="E2266" t="s">
        <v>8</v>
      </c>
      <c r="F2266" t="s">
        <v>4896</v>
      </c>
      <c r="G2266" t="s">
        <v>4897</v>
      </c>
      <c r="H2266" t="s">
        <v>4897</v>
      </c>
      <c r="I2266" t="s">
        <v>4898</v>
      </c>
    </row>
    <row r="2267" spans="1:9" x14ac:dyDescent="0.25">
      <c r="A2267" s="1" t="str">
        <f>HYPERLINK("https://lynxcrm-apac--c.eu19.visual.force.com/0011i000001xmmrAAA","Kim Mun Clinic")</f>
        <v>Kim Mun Clinic</v>
      </c>
      <c r="B2267" t="s">
        <v>4899</v>
      </c>
      <c r="C2267" t="s">
        <v>10</v>
      </c>
      <c r="D2267" t="s">
        <v>8</v>
      </c>
      <c r="E2267" t="s">
        <v>8</v>
      </c>
      <c r="F2267" t="s">
        <v>4900</v>
      </c>
      <c r="G2267" t="s">
        <v>3919</v>
      </c>
      <c r="H2267" t="s">
        <v>3919</v>
      </c>
      <c r="I2267" t="s">
        <v>4901</v>
      </c>
    </row>
    <row r="2268" spans="1:9" x14ac:dyDescent="0.25">
      <c r="A2268" s="1" t="str">
        <f>HYPERLINK("https://lynxcrm-apac--c.eu19.visual.force.com/0011i000001xmiXAAQ","Kim Tian Clinic")</f>
        <v>Kim Tian Clinic</v>
      </c>
      <c r="B2268" t="s">
        <v>4902</v>
      </c>
      <c r="C2268" t="s">
        <v>10</v>
      </c>
      <c r="D2268" t="s">
        <v>8</v>
      </c>
      <c r="E2268" t="s">
        <v>8</v>
      </c>
      <c r="F2268" t="s">
        <v>4903</v>
      </c>
      <c r="G2268" t="s">
        <v>2191</v>
      </c>
      <c r="H2268" t="s">
        <v>4904</v>
      </c>
      <c r="I2268" t="s">
        <v>4905</v>
      </c>
    </row>
    <row r="2269" spans="1:9" x14ac:dyDescent="0.25">
      <c r="A2269" s="1" t="str">
        <f>HYPERLINK("https://lynxcrm-apac--c.eu19.visual.force.com/0011i000001xngUAAQ","King, Thomas")</f>
        <v>King, Thomas</v>
      </c>
      <c r="B2269" t="s">
        <v>4906</v>
      </c>
      <c r="C2269" t="s">
        <v>28</v>
      </c>
      <c r="D2269" t="s">
        <v>583</v>
      </c>
      <c r="E2269" t="s">
        <v>8</v>
      </c>
      <c r="F2269" t="s">
        <v>583</v>
      </c>
      <c r="G2269" t="s">
        <v>584</v>
      </c>
      <c r="H2269" t="s">
        <v>584</v>
      </c>
      <c r="I2269" t="s">
        <v>585</v>
      </c>
    </row>
    <row r="2270" spans="1:9" x14ac:dyDescent="0.25">
      <c r="A2270" s="1" t="str">
        <f>HYPERLINK("https://lynxcrm-apac--c.eu19.visual.force.com/0011i000001xnNMAAY","King's Medical Clinic")</f>
        <v>King's Medical Clinic</v>
      </c>
      <c r="B2270" t="s">
        <v>4907</v>
      </c>
      <c r="C2270" t="s">
        <v>10</v>
      </c>
      <c r="D2270" t="s">
        <v>8</v>
      </c>
      <c r="E2270" t="s">
        <v>8</v>
      </c>
      <c r="F2270" t="s">
        <v>4908</v>
      </c>
      <c r="G2270" t="s">
        <v>4908</v>
      </c>
      <c r="H2270" t="s">
        <v>4909</v>
      </c>
      <c r="I2270" t="s">
        <v>4910</v>
      </c>
    </row>
    <row r="2271" spans="1:9" x14ac:dyDescent="0.25">
      <c r="A2271" s="1" t="str">
        <f>HYPERLINK("https://lynxcrm-apac--c.eu19.visual.force.com/0011i000001xmvOAAQ","King George's Medical Centre")</f>
        <v>King George's Medical Centre</v>
      </c>
      <c r="B2271" t="s">
        <v>4911</v>
      </c>
      <c r="C2271" t="s">
        <v>10</v>
      </c>
      <c r="D2271" t="s">
        <v>8</v>
      </c>
      <c r="E2271" t="s">
        <v>8</v>
      </c>
      <c r="F2271" t="s">
        <v>4912</v>
      </c>
      <c r="G2271" t="s">
        <v>478</v>
      </c>
      <c r="H2271" t="s">
        <v>4913</v>
      </c>
      <c r="I2271" t="s">
        <v>4914</v>
      </c>
    </row>
    <row r="2272" spans="1:9" x14ac:dyDescent="0.25">
      <c r="A2272" s="1" t="str">
        <f>HYPERLINK("https://lynxcrm-apac--c.eu19.visual.force.com/0011i00000ufvLiAAI","Kingsway Medical Clinic")</f>
        <v>Kingsway Medical Clinic</v>
      </c>
      <c r="B2272" t="s">
        <v>4915</v>
      </c>
      <c r="C2272" t="s">
        <v>10</v>
      </c>
      <c r="D2272" t="s">
        <v>8</v>
      </c>
      <c r="E2272" t="s">
        <v>8</v>
      </c>
      <c r="F2272" t="s">
        <v>4916</v>
      </c>
      <c r="G2272" t="s">
        <v>4917</v>
      </c>
      <c r="H2272" t="s">
        <v>8</v>
      </c>
      <c r="I2272" t="s">
        <v>1783</v>
      </c>
    </row>
    <row r="2273" spans="1:9" x14ac:dyDescent="0.25">
      <c r="A2273" s="1" t="str">
        <f>HYPERLINK("https://lynxcrm-apac--c.eu19.visual.force.com/0011i000001xnuGAAQ","Kinjal, Vidyut Mehta")</f>
        <v>Kinjal, Vidyut Mehta</v>
      </c>
      <c r="B2273" t="s">
        <v>4918</v>
      </c>
      <c r="C2273" t="s">
        <v>28</v>
      </c>
      <c r="D2273" t="s">
        <v>583</v>
      </c>
      <c r="E2273" t="s">
        <v>8</v>
      </c>
      <c r="F2273" t="s">
        <v>583</v>
      </c>
      <c r="G2273" t="s">
        <v>584</v>
      </c>
      <c r="H2273" t="s">
        <v>584</v>
      </c>
      <c r="I2273" t="s">
        <v>585</v>
      </c>
    </row>
    <row r="2274" spans="1:9" x14ac:dyDescent="0.25">
      <c r="A2274" s="1" t="str">
        <f>HYPERLINK("https://lynxcrm-apac--c.eu19.visual.force.com/0011i000001xoplAAA","Kiran, Kashyap")</f>
        <v>Kiran, Kashyap</v>
      </c>
      <c r="B2274" t="s">
        <v>4919</v>
      </c>
      <c r="C2274" t="s">
        <v>28</v>
      </c>
      <c r="D2274" t="s">
        <v>4920</v>
      </c>
      <c r="E2274" t="s">
        <v>8</v>
      </c>
      <c r="F2274" t="s">
        <v>2945</v>
      </c>
      <c r="G2274" t="s">
        <v>2946</v>
      </c>
      <c r="H2274" t="s">
        <v>2947</v>
      </c>
      <c r="I2274" t="s">
        <v>2948</v>
      </c>
    </row>
    <row r="2275" spans="1:9" x14ac:dyDescent="0.25">
      <c r="A2275" s="1" t="str">
        <f>HYPERLINK("https://lynxcrm-apac--c.eu19.visual.force.com/0011i000001xopnAAA","Kishan, Dhakshayani")</f>
        <v>Kishan, Dhakshayani</v>
      </c>
      <c r="B2275" t="s">
        <v>4921</v>
      </c>
      <c r="C2275" t="s">
        <v>28</v>
      </c>
      <c r="D2275" t="s">
        <v>4922</v>
      </c>
      <c r="E2275" t="s">
        <v>8</v>
      </c>
      <c r="F2275" t="s">
        <v>4923</v>
      </c>
      <c r="G2275" t="s">
        <v>173</v>
      </c>
      <c r="H2275" t="s">
        <v>173</v>
      </c>
      <c r="I2275" t="s">
        <v>175</v>
      </c>
    </row>
    <row r="2276" spans="1:9" x14ac:dyDescent="0.25">
      <c r="A2276" s="1" t="str">
        <f>HYPERLINK("https://lynxcrm-apac--c.eu19.visual.force.com/0011i000001xmhmAAA","KK Chew Ear, Nose &amp; Throat Surgery")</f>
        <v>KK Chew Ear, Nose &amp; Throat Surgery</v>
      </c>
      <c r="B2276" t="s">
        <v>4924</v>
      </c>
      <c r="C2276" t="s">
        <v>10</v>
      </c>
      <c r="D2276" t="s">
        <v>8</v>
      </c>
      <c r="E2276" t="s">
        <v>8</v>
      </c>
      <c r="F2276" t="s">
        <v>69</v>
      </c>
      <c r="G2276" t="s">
        <v>1714</v>
      </c>
      <c r="H2276" t="s">
        <v>1715</v>
      </c>
      <c r="I2276" t="s">
        <v>67</v>
      </c>
    </row>
    <row r="2277" spans="1:9" x14ac:dyDescent="0.25">
      <c r="A2277" s="1" t="str">
        <f>HYPERLINK("https://lynxcrm-apac--c.eu19.visual.force.com/0011i000001xmezAAA","K K Tang Adult and Paediatric Neuro")</f>
        <v>K K Tang Adult and Paediatric Neuro</v>
      </c>
      <c r="B2277" t="s">
        <v>4925</v>
      </c>
      <c r="C2277" t="s">
        <v>10</v>
      </c>
      <c r="D2277" t="s">
        <v>8</v>
      </c>
      <c r="E2277" t="s">
        <v>8</v>
      </c>
      <c r="F2277" t="s">
        <v>4926</v>
      </c>
      <c r="G2277" t="s">
        <v>1838</v>
      </c>
      <c r="H2277" t="s">
        <v>1838</v>
      </c>
      <c r="I2277" t="s">
        <v>344</v>
      </c>
    </row>
    <row r="2278" spans="1:9" x14ac:dyDescent="0.25">
      <c r="A2278" s="1" t="str">
        <f>HYPERLINK("https://lynxcrm-apac--c.eu19.visual.force.com/0011i000001xmbNAAQ","K K Tan Medical Clinic")</f>
        <v>K K Tan Medical Clinic</v>
      </c>
      <c r="B2278" t="s">
        <v>4927</v>
      </c>
      <c r="C2278" t="s">
        <v>10</v>
      </c>
      <c r="D2278" t="s">
        <v>8</v>
      </c>
      <c r="E2278" t="s">
        <v>8</v>
      </c>
      <c r="F2278" t="s">
        <v>4928</v>
      </c>
      <c r="G2278" t="s">
        <v>4929</v>
      </c>
      <c r="H2278" t="s">
        <v>4930</v>
      </c>
      <c r="I2278" t="s">
        <v>4931</v>
      </c>
    </row>
    <row r="2279" spans="1:9" x14ac:dyDescent="0.25">
      <c r="A2279" s="1" t="str">
        <f>HYPERLINK("https://lynxcrm-apac--c.eu19.visual.force.com/0011i000001xndFAAQ","Klinik Omar")</f>
        <v>Klinik Omar</v>
      </c>
      <c r="B2279" t="s">
        <v>4932</v>
      </c>
      <c r="C2279" t="s">
        <v>10</v>
      </c>
      <c r="D2279" t="s">
        <v>8</v>
      </c>
      <c r="E2279" t="s">
        <v>8</v>
      </c>
      <c r="F2279" t="s">
        <v>4933</v>
      </c>
      <c r="G2279" t="s">
        <v>4934</v>
      </c>
      <c r="H2279" t="s">
        <v>4934</v>
      </c>
      <c r="I2279" t="s">
        <v>4935</v>
      </c>
    </row>
    <row r="2280" spans="1:9" x14ac:dyDescent="0.25">
      <c r="A2280" s="1" t="str">
        <f>HYPERLINK("https://lynxcrm-apac--c.eu19.visual.force.com/0011i000001xnE3AAI","KM Seng's O.G. Practice - Dr K M Seng")</f>
        <v>KM Seng's O.G. Practice - Dr K M Seng</v>
      </c>
      <c r="B2280" t="s">
        <v>4936</v>
      </c>
      <c r="C2280" t="s">
        <v>10</v>
      </c>
      <c r="D2280" t="s">
        <v>8</v>
      </c>
      <c r="E2280" t="s">
        <v>8</v>
      </c>
      <c r="F2280" t="s">
        <v>69</v>
      </c>
      <c r="G2280" t="s">
        <v>4937</v>
      </c>
      <c r="H2280" t="s">
        <v>4938</v>
      </c>
      <c r="I2280" t="s">
        <v>67</v>
      </c>
    </row>
    <row r="2281" spans="1:9" x14ac:dyDescent="0.25">
      <c r="A2281" s="1" t="str">
        <f>HYPERLINK("https://lynxcrm-apac--c.eu19.visual.force.com/0011i000001xmiOAAQ","K N Chin &amp; Associates Pte Ltd")</f>
        <v>K N Chin &amp; Associates Pte Ltd</v>
      </c>
      <c r="B2281" t="s">
        <v>4939</v>
      </c>
      <c r="C2281" t="s">
        <v>10</v>
      </c>
      <c r="D2281" t="s">
        <v>8</v>
      </c>
      <c r="E2281" t="s">
        <v>8</v>
      </c>
      <c r="F2281" t="s">
        <v>2910</v>
      </c>
      <c r="G2281" t="s">
        <v>4940</v>
      </c>
      <c r="H2281" t="s">
        <v>4941</v>
      </c>
      <c r="I2281" t="s">
        <v>2340</v>
      </c>
    </row>
    <row r="2282" spans="1:9" x14ac:dyDescent="0.25">
      <c r="A2282" s="1" t="str">
        <f>HYPERLINK("https://lynxcrm-apac--c.eu19.visual.force.com/0011i000001xncJAAQ","K N Lau Clinic")</f>
        <v>K N Lau Clinic</v>
      </c>
      <c r="B2282" t="s">
        <v>4942</v>
      </c>
      <c r="C2282" t="s">
        <v>10</v>
      </c>
      <c r="D2282" t="s">
        <v>8</v>
      </c>
      <c r="E2282" t="s">
        <v>8</v>
      </c>
      <c r="F2282" t="s">
        <v>4943</v>
      </c>
      <c r="G2282" t="s">
        <v>4944</v>
      </c>
      <c r="H2282" t="s">
        <v>4945</v>
      </c>
      <c r="I2282" t="s">
        <v>4946</v>
      </c>
    </row>
    <row r="2283" spans="1:9" x14ac:dyDescent="0.25">
      <c r="A2283" s="1" t="str">
        <f>HYPERLINK("https://lynxcrm-apac--c.eu19.visual.force.com/0011i000001xokdAAA","Ko, Ko Aung")</f>
        <v>Ko, Ko Aung</v>
      </c>
      <c r="B2283" t="s">
        <v>4947</v>
      </c>
      <c r="C2283" t="s">
        <v>28</v>
      </c>
      <c r="D2283" t="s">
        <v>662</v>
      </c>
      <c r="E2283" t="s">
        <v>8</v>
      </c>
      <c r="F2283" t="s">
        <v>662</v>
      </c>
      <c r="G2283" t="s">
        <v>663</v>
      </c>
      <c r="H2283" t="s">
        <v>663</v>
      </c>
      <c r="I2283" t="s">
        <v>664</v>
      </c>
    </row>
    <row r="2284" spans="1:9" x14ac:dyDescent="0.25">
      <c r="A2284" s="1" t="str">
        <f>HYPERLINK("https://lynxcrm-apac--c.eu19.visual.force.com/0011i000001xnADAAY","Ko Family Clinic")</f>
        <v>Ko Family Clinic</v>
      </c>
      <c r="B2284" t="s">
        <v>4948</v>
      </c>
      <c r="C2284" t="s">
        <v>10</v>
      </c>
      <c r="D2284" t="s">
        <v>8</v>
      </c>
      <c r="E2284" t="s">
        <v>8</v>
      </c>
      <c r="F2284" t="s">
        <v>4949</v>
      </c>
      <c r="G2284" t="s">
        <v>4950</v>
      </c>
      <c r="H2284" t="s">
        <v>4950</v>
      </c>
      <c r="I2284" t="s">
        <v>4951</v>
      </c>
    </row>
    <row r="2285" spans="1:9" x14ac:dyDescent="0.25">
      <c r="A2285" s="1" t="str">
        <f>HYPERLINK("https://lynxcrm-apac--c.eu19.visual.force.com/0011i000001xopwAAA","Koh, Boon Wah")</f>
        <v>Koh, Boon Wah</v>
      </c>
      <c r="B2285" t="s">
        <v>4952</v>
      </c>
      <c r="C2285" t="s">
        <v>28</v>
      </c>
      <c r="D2285" t="s">
        <v>4953</v>
      </c>
      <c r="E2285" t="s">
        <v>8</v>
      </c>
      <c r="F2285" t="s">
        <v>4954</v>
      </c>
      <c r="G2285" t="s">
        <v>1719</v>
      </c>
      <c r="H2285" t="s">
        <v>1719</v>
      </c>
      <c r="I2285" t="s">
        <v>4955</v>
      </c>
    </row>
    <row r="2286" spans="1:9" x14ac:dyDescent="0.25">
      <c r="A2286" s="1" t="str">
        <f>HYPERLINK("https://lynxcrm-apac--c.eu19.visual.force.com/0011i000001xoJNAAY","Koh, Cheong Boo Rodney")</f>
        <v>Koh, Cheong Boo Rodney</v>
      </c>
      <c r="B2286" t="s">
        <v>4956</v>
      </c>
      <c r="C2286" t="s">
        <v>28</v>
      </c>
      <c r="D2286" t="s">
        <v>4957</v>
      </c>
      <c r="E2286" t="s">
        <v>8</v>
      </c>
      <c r="F2286" t="s">
        <v>4958</v>
      </c>
      <c r="G2286" t="s">
        <v>3175</v>
      </c>
      <c r="H2286" t="s">
        <v>3175</v>
      </c>
      <c r="I2286" t="s">
        <v>3177</v>
      </c>
    </row>
    <row r="2287" spans="1:9" x14ac:dyDescent="0.25">
      <c r="A2287" s="1" t="str">
        <f>HYPERLINK("https://lynxcrm-apac--c.eu19.visual.force.com/0011i000001xoq3AAA","Koh, Chin Huat Winston")</f>
        <v>Koh, Chin Huat Winston</v>
      </c>
      <c r="B2287" t="s">
        <v>4959</v>
      </c>
      <c r="C2287" t="s">
        <v>28</v>
      </c>
      <c r="D2287" t="s">
        <v>4960</v>
      </c>
      <c r="E2287" t="s">
        <v>8</v>
      </c>
      <c r="F2287" t="s">
        <v>4961</v>
      </c>
      <c r="G2287" t="s">
        <v>4962</v>
      </c>
      <c r="H2287" t="s">
        <v>4963</v>
      </c>
      <c r="I2287" t="s">
        <v>4964</v>
      </c>
    </row>
    <row r="2288" spans="1:9" x14ac:dyDescent="0.25">
      <c r="A2288" s="1" t="str">
        <f>HYPERLINK("https://lynxcrm-apac--c.eu19.visual.force.com/0011i00000Eh4YGAAZ","Koh, Choong Hou")</f>
        <v>Koh, Choong Hou</v>
      </c>
      <c r="B2288" t="s">
        <v>4965</v>
      </c>
      <c r="C2288" t="s">
        <v>28</v>
      </c>
      <c r="D2288" t="s">
        <v>449</v>
      </c>
      <c r="E2288" t="s">
        <v>8</v>
      </c>
      <c r="F2288" t="s">
        <v>450</v>
      </c>
      <c r="G2288" t="s">
        <v>449</v>
      </c>
      <c r="H2288" t="s">
        <v>449</v>
      </c>
      <c r="I2288" t="s">
        <v>451</v>
      </c>
    </row>
    <row r="2289" spans="1:9" x14ac:dyDescent="0.25">
      <c r="A2289" s="1" t="str">
        <f>HYPERLINK("https://lynxcrm-apac--c.eu19.visual.force.com/0011i00000Eh4YGAAZ","Koh, Choong Hou")</f>
        <v>Koh, Choong Hou</v>
      </c>
      <c r="B2289" t="s">
        <v>4965</v>
      </c>
      <c r="C2289" t="s">
        <v>28</v>
      </c>
      <c r="D2289" t="s">
        <v>449</v>
      </c>
      <c r="E2289" t="s">
        <v>8</v>
      </c>
      <c r="F2289" t="s">
        <v>234</v>
      </c>
      <c r="G2289" t="s">
        <v>452</v>
      </c>
      <c r="H2289" t="s">
        <v>453</v>
      </c>
      <c r="I2289" t="s">
        <v>454</v>
      </c>
    </row>
    <row r="2290" spans="1:9" x14ac:dyDescent="0.25">
      <c r="A2290" s="1" t="str">
        <f>HYPERLINK("https://lynxcrm-apac--c.eu19.visual.force.com/0011i000001xnxnAAA","Koh, Chow Kun")</f>
        <v>Koh, Chow Kun</v>
      </c>
      <c r="B2290" t="s">
        <v>4966</v>
      </c>
      <c r="C2290" t="s">
        <v>28</v>
      </c>
      <c r="D2290" t="s">
        <v>4967</v>
      </c>
      <c r="E2290" t="s">
        <v>8</v>
      </c>
      <c r="F2290" t="s">
        <v>4968</v>
      </c>
      <c r="G2290" t="s">
        <v>4969</v>
      </c>
      <c r="H2290" t="s">
        <v>4969</v>
      </c>
      <c r="I2290" t="s">
        <v>4970</v>
      </c>
    </row>
    <row r="2291" spans="1:9" x14ac:dyDescent="0.25">
      <c r="A2291" s="1" t="str">
        <f>HYPERLINK("https://lynxcrm-apac--c.eu19.visual.force.com/0011i00000FGud6AAD","Koh, Darren")</f>
        <v>Koh, Darren</v>
      </c>
      <c r="B2291" t="s">
        <v>4971</v>
      </c>
      <c r="C2291" t="s">
        <v>28</v>
      </c>
      <c r="D2291" t="s">
        <v>959</v>
      </c>
      <c r="E2291" t="s">
        <v>8</v>
      </c>
      <c r="F2291" t="s">
        <v>959</v>
      </c>
      <c r="G2291" t="s">
        <v>960</v>
      </c>
      <c r="H2291" t="s">
        <v>8</v>
      </c>
      <c r="I2291" t="s">
        <v>961</v>
      </c>
    </row>
    <row r="2292" spans="1:9" x14ac:dyDescent="0.25">
      <c r="A2292" s="1" t="str">
        <f>HYPERLINK("https://lynxcrm-apac--c.eu19.visual.force.com/0011i000007EVHkAAO","Koh, Dennis")</f>
        <v>Koh, Dennis</v>
      </c>
      <c r="B2292" t="s">
        <v>4972</v>
      </c>
      <c r="C2292" t="s">
        <v>28</v>
      </c>
      <c r="D2292" t="s">
        <v>1927</v>
      </c>
      <c r="E2292" t="s">
        <v>8</v>
      </c>
      <c r="F2292" t="s">
        <v>786</v>
      </c>
      <c r="G2292" t="s">
        <v>1928</v>
      </c>
      <c r="H2292" t="s">
        <v>8</v>
      </c>
      <c r="I2292" t="s">
        <v>788</v>
      </c>
    </row>
    <row r="2293" spans="1:9" x14ac:dyDescent="0.25">
      <c r="A2293" s="1" t="str">
        <f>HYPERLINK("https://lynxcrm-apac--c.eu19.visual.force.com/0011i000001xoqfAAA","Koh, Elisa")</f>
        <v>Koh, Elisa</v>
      </c>
      <c r="B2293" t="s">
        <v>4973</v>
      </c>
      <c r="C2293" t="s">
        <v>28</v>
      </c>
      <c r="D2293" t="s">
        <v>4974</v>
      </c>
      <c r="E2293" t="s">
        <v>8</v>
      </c>
      <c r="F2293" t="s">
        <v>3004</v>
      </c>
      <c r="G2293" t="s">
        <v>2490</v>
      </c>
      <c r="H2293" t="s">
        <v>2490</v>
      </c>
      <c r="I2293" t="s">
        <v>344</v>
      </c>
    </row>
    <row r="2294" spans="1:9" x14ac:dyDescent="0.25">
      <c r="A2294" s="1" t="str">
        <f>HYPERLINK("https://lynxcrm-apac--c.eu19.visual.force.com/0011i000001xoqBAAQ","Koh, Eng Soo")</f>
        <v>Koh, Eng Soo</v>
      </c>
      <c r="B2294" t="s">
        <v>4975</v>
      </c>
      <c r="C2294" t="s">
        <v>28</v>
      </c>
      <c r="D2294" t="s">
        <v>4976</v>
      </c>
      <c r="E2294" t="s">
        <v>8</v>
      </c>
      <c r="F2294" t="s">
        <v>2405</v>
      </c>
      <c r="G2294" t="s">
        <v>2405</v>
      </c>
      <c r="H2294" t="s">
        <v>8</v>
      </c>
      <c r="I2294" t="s">
        <v>2406</v>
      </c>
    </row>
    <row r="2295" spans="1:9" x14ac:dyDescent="0.25">
      <c r="A2295" s="1" t="str">
        <f>HYPERLINK("https://lynxcrm-apac--c.eu19.visual.force.com/0011i000001xoQ4AAI","Koh, Fang Yung Angela")</f>
        <v>Koh, Fang Yung Angela</v>
      </c>
      <c r="B2295" t="s">
        <v>4977</v>
      </c>
      <c r="C2295" t="s">
        <v>28</v>
      </c>
      <c r="D2295" t="s">
        <v>1486</v>
      </c>
      <c r="E2295" t="s">
        <v>8</v>
      </c>
      <c r="F2295" t="s">
        <v>1486</v>
      </c>
      <c r="G2295" t="s">
        <v>1487</v>
      </c>
      <c r="H2295" t="s">
        <v>1487</v>
      </c>
      <c r="I2295" t="s">
        <v>1488</v>
      </c>
    </row>
    <row r="2296" spans="1:9" x14ac:dyDescent="0.25">
      <c r="A2296" s="1" t="str">
        <f>HYPERLINK("https://lynxcrm-apac--c.eu19.visual.force.com/0011i000001xoqDAAQ","Koh, Gim Hwee")</f>
        <v>Koh, Gim Hwee</v>
      </c>
      <c r="B2296" t="s">
        <v>4978</v>
      </c>
      <c r="C2296" t="s">
        <v>28</v>
      </c>
      <c r="D2296" t="s">
        <v>164</v>
      </c>
      <c r="E2296" t="s">
        <v>8</v>
      </c>
      <c r="F2296" t="s">
        <v>2244</v>
      </c>
      <c r="G2296" t="s">
        <v>163</v>
      </c>
      <c r="H2296" t="s">
        <v>242</v>
      </c>
      <c r="I2296" t="s">
        <v>165</v>
      </c>
    </row>
    <row r="2297" spans="1:9" x14ac:dyDescent="0.25">
      <c r="A2297" s="1" t="str">
        <f>HYPERLINK("https://lynxcrm-apac--c.eu19.visual.force.com/0011i000001xoqFAAQ","Koh, Gin Poh")</f>
        <v>Koh, Gin Poh</v>
      </c>
      <c r="B2297" t="s">
        <v>4979</v>
      </c>
      <c r="C2297" t="s">
        <v>28</v>
      </c>
      <c r="D2297" t="s">
        <v>4980</v>
      </c>
      <c r="E2297" t="s">
        <v>8</v>
      </c>
      <c r="F2297" t="s">
        <v>4981</v>
      </c>
      <c r="G2297" t="s">
        <v>4982</v>
      </c>
      <c r="H2297" t="s">
        <v>4983</v>
      </c>
      <c r="I2297" t="s">
        <v>4984</v>
      </c>
    </row>
    <row r="2298" spans="1:9" x14ac:dyDescent="0.25">
      <c r="A2298" s="1" t="str">
        <f>HYPERLINK("https://lynxcrm-apac--c.eu19.visual.force.com/0011i000001xoqHAAQ","Koh, Hang Yong")</f>
        <v>Koh, Hang Yong</v>
      </c>
      <c r="B2298" t="s">
        <v>4985</v>
      </c>
      <c r="C2298" t="s">
        <v>28</v>
      </c>
      <c r="D2298" t="s">
        <v>4986</v>
      </c>
      <c r="E2298" t="s">
        <v>8</v>
      </c>
      <c r="F2298" t="s">
        <v>2413</v>
      </c>
      <c r="G2298" t="s">
        <v>2414</v>
      </c>
      <c r="H2298" t="s">
        <v>2415</v>
      </c>
      <c r="I2298" t="s">
        <v>2416</v>
      </c>
    </row>
    <row r="2299" spans="1:9" x14ac:dyDescent="0.25">
      <c r="A2299" s="1" t="str">
        <f>HYPERLINK("https://lynxcrm-apac--c.eu19.visual.force.com/0011i000007E9yjAAC","Koh, Ian")</f>
        <v>Koh, Ian</v>
      </c>
      <c r="B2299" t="s">
        <v>4987</v>
      </c>
      <c r="C2299" t="s">
        <v>28</v>
      </c>
      <c r="D2299" t="s">
        <v>54</v>
      </c>
      <c r="E2299" t="s">
        <v>8</v>
      </c>
      <c r="F2299" t="s">
        <v>1225</v>
      </c>
      <c r="G2299" t="s">
        <v>1225</v>
      </c>
      <c r="H2299" t="s">
        <v>8</v>
      </c>
      <c r="I2299" t="s">
        <v>55</v>
      </c>
    </row>
    <row r="2300" spans="1:9" x14ac:dyDescent="0.25">
      <c r="A2300" s="1" t="str">
        <f>HYPERLINK("https://lynxcrm-apac--c.eu19.visual.force.com/0011i000007E9yeAAC","Koh, Jeremy")</f>
        <v>Koh, Jeremy</v>
      </c>
      <c r="B2300" t="s">
        <v>4988</v>
      </c>
      <c r="C2300" t="s">
        <v>28</v>
      </c>
      <c r="D2300" t="s">
        <v>8</v>
      </c>
      <c r="E2300" t="s">
        <v>8</v>
      </c>
      <c r="F2300" t="s">
        <v>3046</v>
      </c>
      <c r="G2300" t="s">
        <v>3046</v>
      </c>
      <c r="H2300" t="s">
        <v>3047</v>
      </c>
      <c r="I2300" t="s">
        <v>518</v>
      </c>
    </row>
    <row r="2301" spans="1:9" x14ac:dyDescent="0.25">
      <c r="A2301" s="1" t="str">
        <f>HYPERLINK("https://lynxcrm-apac--c.eu19.visual.force.com/0011i000007E9yeAAC","Koh, Jeremy")</f>
        <v>Koh, Jeremy</v>
      </c>
      <c r="B2301" t="s">
        <v>4988</v>
      </c>
      <c r="C2301" t="s">
        <v>28</v>
      </c>
      <c r="D2301" t="s">
        <v>516</v>
      </c>
      <c r="E2301" t="s">
        <v>8</v>
      </c>
      <c r="F2301" t="s">
        <v>3046</v>
      </c>
      <c r="G2301" t="s">
        <v>3046</v>
      </c>
      <c r="H2301" t="s">
        <v>3047</v>
      </c>
      <c r="I2301" t="s">
        <v>518</v>
      </c>
    </row>
    <row r="2302" spans="1:9" x14ac:dyDescent="0.25">
      <c r="A2302" s="1" t="str">
        <f>HYPERLINK("https://lynxcrm-apac--c.eu19.visual.force.com/0011i000007E9yZAAS","Koh, Jeremy")</f>
        <v>Koh, Jeremy</v>
      </c>
      <c r="B2302" t="s">
        <v>4989</v>
      </c>
      <c r="C2302" t="s">
        <v>28</v>
      </c>
      <c r="D2302" t="s">
        <v>8</v>
      </c>
      <c r="E2302" t="s">
        <v>8</v>
      </c>
      <c r="F2302" t="s">
        <v>3046</v>
      </c>
      <c r="G2302" t="s">
        <v>3046</v>
      </c>
      <c r="H2302" t="s">
        <v>3047</v>
      </c>
      <c r="I2302" t="s">
        <v>518</v>
      </c>
    </row>
    <row r="2303" spans="1:9" x14ac:dyDescent="0.25">
      <c r="A2303" s="1" t="str">
        <f>HYPERLINK("https://lynxcrm-apac--c.eu19.visual.force.com/0011i000007E9yZAAS","Koh, Jeremy")</f>
        <v>Koh, Jeremy</v>
      </c>
      <c r="B2303" t="s">
        <v>4989</v>
      </c>
      <c r="C2303" t="s">
        <v>28</v>
      </c>
      <c r="D2303" t="s">
        <v>516</v>
      </c>
      <c r="E2303" t="s">
        <v>8</v>
      </c>
      <c r="F2303" t="s">
        <v>3046</v>
      </c>
      <c r="G2303" t="s">
        <v>3046</v>
      </c>
      <c r="H2303" t="s">
        <v>3047</v>
      </c>
      <c r="I2303" t="s">
        <v>518</v>
      </c>
    </row>
    <row r="2304" spans="1:9" x14ac:dyDescent="0.25">
      <c r="A2304" s="1" t="str">
        <f>HYPERLINK("https://lynxcrm-apac--c.eu19.visual.force.com/0011i00000wTa4zAAC","Koh, June Zhi Yun")</f>
        <v>Koh, June Zhi Yun</v>
      </c>
      <c r="B2304" t="s">
        <v>4990</v>
      </c>
      <c r="C2304" t="s">
        <v>28</v>
      </c>
      <c r="D2304" t="s">
        <v>8</v>
      </c>
      <c r="E2304" t="s">
        <v>8</v>
      </c>
      <c r="F2304" t="s">
        <v>257</v>
      </c>
      <c r="G2304" t="s">
        <v>258</v>
      </c>
      <c r="H2304" t="s">
        <v>259</v>
      </c>
      <c r="I2304" t="s">
        <v>260</v>
      </c>
    </row>
    <row r="2305" spans="1:9" x14ac:dyDescent="0.25">
      <c r="A2305" s="1" t="str">
        <f>HYPERLINK("https://lynxcrm-apac--c.eu19.visual.force.com/0011i00000wTa4zAAC","Koh, June Zhi Yun")</f>
        <v>Koh, June Zhi Yun</v>
      </c>
      <c r="B2305" t="s">
        <v>4990</v>
      </c>
      <c r="C2305" t="s">
        <v>28</v>
      </c>
      <c r="D2305" t="s">
        <v>261</v>
      </c>
      <c r="E2305" t="s">
        <v>8</v>
      </c>
      <c r="F2305" t="s">
        <v>257</v>
      </c>
      <c r="G2305" t="s">
        <v>258</v>
      </c>
      <c r="H2305" t="s">
        <v>259</v>
      </c>
      <c r="I2305" t="s">
        <v>260</v>
      </c>
    </row>
    <row r="2306" spans="1:9" x14ac:dyDescent="0.25">
      <c r="A2306" s="1" t="str">
        <f>HYPERLINK("https://lynxcrm-apac--c.eu19.visual.force.com/0011i000001xor1AAA","Koh, Kar Wee")</f>
        <v>Koh, Kar Wee</v>
      </c>
      <c r="B2306" t="s">
        <v>4991</v>
      </c>
      <c r="C2306" t="s">
        <v>28</v>
      </c>
      <c r="D2306" t="s">
        <v>937</v>
      </c>
      <c r="E2306" t="s">
        <v>8</v>
      </c>
      <c r="F2306" t="s">
        <v>4051</v>
      </c>
      <c r="G2306" t="s">
        <v>1515</v>
      </c>
      <c r="H2306" t="s">
        <v>1515</v>
      </c>
      <c r="I2306" t="s">
        <v>4052</v>
      </c>
    </row>
    <row r="2307" spans="1:9" x14ac:dyDescent="0.25">
      <c r="A2307" s="1" t="str">
        <f>HYPERLINK("https://lynxcrm-apac--c.eu19.visual.force.com/0011i000001xor1AAA","Koh, Kar Wee")</f>
        <v>Koh, Kar Wee</v>
      </c>
      <c r="B2307" t="s">
        <v>4991</v>
      </c>
      <c r="C2307" t="s">
        <v>28</v>
      </c>
      <c r="D2307" t="s">
        <v>937</v>
      </c>
      <c r="E2307" t="s">
        <v>8</v>
      </c>
      <c r="F2307" t="s">
        <v>4080</v>
      </c>
      <c r="G2307" t="s">
        <v>4081</v>
      </c>
      <c r="H2307" t="s">
        <v>4081</v>
      </c>
      <c r="I2307" t="s">
        <v>4082</v>
      </c>
    </row>
    <row r="2308" spans="1:9" x14ac:dyDescent="0.25">
      <c r="A2308" s="1" t="str">
        <f>HYPERLINK("https://lynxcrm-apac--c.eu19.visual.force.com/0011i000001xor1AAA","Koh, Kar Wee")</f>
        <v>Koh, Kar Wee</v>
      </c>
      <c r="B2308" t="s">
        <v>4991</v>
      </c>
      <c r="C2308" t="s">
        <v>28</v>
      </c>
      <c r="D2308" t="s">
        <v>937</v>
      </c>
      <c r="E2308" t="s">
        <v>8</v>
      </c>
      <c r="F2308" t="s">
        <v>4054</v>
      </c>
      <c r="G2308" t="s">
        <v>4047</v>
      </c>
      <c r="H2308" t="s">
        <v>4047</v>
      </c>
      <c r="I2308" t="s">
        <v>4048</v>
      </c>
    </row>
    <row r="2309" spans="1:9" x14ac:dyDescent="0.25">
      <c r="A2309" s="1" t="str">
        <f>HYPERLINK("https://lynxcrm-apac--c.eu19.visual.force.com/0011i000001xor1AAA","Koh, Kar Wee")</f>
        <v>Koh, Kar Wee</v>
      </c>
      <c r="B2309" t="s">
        <v>4991</v>
      </c>
      <c r="C2309" t="s">
        <v>28</v>
      </c>
      <c r="D2309" t="s">
        <v>4992</v>
      </c>
      <c r="E2309" t="s">
        <v>8</v>
      </c>
      <c r="F2309" t="s">
        <v>4993</v>
      </c>
      <c r="G2309" t="s">
        <v>3286</v>
      </c>
      <c r="H2309" t="s">
        <v>3286</v>
      </c>
      <c r="I2309" t="s">
        <v>3287</v>
      </c>
    </row>
    <row r="2310" spans="1:9" x14ac:dyDescent="0.25">
      <c r="A2310" s="1" t="str">
        <f>HYPERLINK("https://lynxcrm-apac--c.eu19.visual.force.com/0011i000001xolrAAA","Koh, Kenneth")</f>
        <v>Koh, Kenneth</v>
      </c>
      <c r="B2310" t="s">
        <v>4994</v>
      </c>
      <c r="C2310" t="s">
        <v>28</v>
      </c>
      <c r="D2310" t="s">
        <v>4995</v>
      </c>
      <c r="E2310" t="s">
        <v>8</v>
      </c>
      <c r="F2310" t="s">
        <v>4996</v>
      </c>
      <c r="G2310" t="s">
        <v>4997</v>
      </c>
      <c r="H2310" t="s">
        <v>4997</v>
      </c>
      <c r="I2310" t="s">
        <v>4998</v>
      </c>
    </row>
    <row r="2311" spans="1:9" x14ac:dyDescent="0.25">
      <c r="A2311" s="1" t="str">
        <f>HYPERLINK("https://lynxcrm-apac--c.eu19.visual.force.com/0011i000001xokKAAQ","Koh, Kim Hwee")</f>
        <v>Koh, Kim Hwee</v>
      </c>
      <c r="B2311" t="s">
        <v>4999</v>
      </c>
      <c r="C2311" t="s">
        <v>28</v>
      </c>
      <c r="D2311" t="s">
        <v>701</v>
      </c>
      <c r="E2311" t="s">
        <v>8</v>
      </c>
      <c r="F2311" t="s">
        <v>1123</v>
      </c>
      <c r="G2311" t="s">
        <v>1123</v>
      </c>
      <c r="H2311" t="s">
        <v>8</v>
      </c>
      <c r="I2311" t="s">
        <v>703</v>
      </c>
    </row>
    <row r="2312" spans="1:9" x14ac:dyDescent="0.25">
      <c r="A2312" s="1" t="str">
        <f>HYPERLINK("https://lynxcrm-apac--c.eu19.visual.force.com/0011i00000Xf1HVAAZ","Koh, Liang Piu")</f>
        <v>Koh, Liang Piu</v>
      </c>
      <c r="B2312" t="s">
        <v>5000</v>
      </c>
      <c r="C2312" t="s">
        <v>28</v>
      </c>
      <c r="D2312" t="s">
        <v>429</v>
      </c>
      <c r="E2312" t="s">
        <v>8</v>
      </c>
      <c r="F2312" t="s">
        <v>594</v>
      </c>
      <c r="G2312" t="s">
        <v>595</v>
      </c>
      <c r="H2312" t="s">
        <v>8</v>
      </c>
      <c r="I2312" t="s">
        <v>596</v>
      </c>
    </row>
    <row r="2313" spans="1:9" x14ac:dyDescent="0.25">
      <c r="A2313" s="1" t="str">
        <f>HYPERLINK("https://lynxcrm-apac--c.eu19.visual.force.com/0011i000001xohwAAA","Koh, Lip Hoe")</f>
        <v>Koh, Lip Hoe</v>
      </c>
      <c r="B2313" t="s">
        <v>5001</v>
      </c>
      <c r="C2313" t="s">
        <v>28</v>
      </c>
      <c r="D2313" t="s">
        <v>583</v>
      </c>
      <c r="E2313" t="s">
        <v>8</v>
      </c>
      <c r="F2313" t="s">
        <v>359</v>
      </c>
      <c r="G2313" t="s">
        <v>584</v>
      </c>
      <c r="H2313" t="s">
        <v>1386</v>
      </c>
      <c r="I2313" t="s">
        <v>585</v>
      </c>
    </row>
    <row r="2314" spans="1:9" x14ac:dyDescent="0.25">
      <c r="A2314" s="1" t="str">
        <f>HYPERLINK("https://lynxcrm-apac--c.eu19.visual.force.com/0011i000001xoa4AAA","Koh, Mervin")</f>
        <v>Koh, Mervin</v>
      </c>
      <c r="B2314" t="s">
        <v>5002</v>
      </c>
      <c r="C2314" t="s">
        <v>28</v>
      </c>
      <c r="D2314" t="s">
        <v>261</v>
      </c>
      <c r="E2314" t="s">
        <v>8</v>
      </c>
      <c r="F2314" t="s">
        <v>248</v>
      </c>
      <c r="G2314" t="s">
        <v>258</v>
      </c>
      <c r="H2314" t="s">
        <v>259</v>
      </c>
      <c r="I2314" t="s">
        <v>260</v>
      </c>
    </row>
    <row r="2315" spans="1:9" x14ac:dyDescent="0.25">
      <c r="A2315" s="1" t="str">
        <f>HYPERLINK("https://lynxcrm-apac--c.eu19.visual.force.com/0011i000002IdAIAA0","Koh, Michelle")</f>
        <v>Koh, Michelle</v>
      </c>
      <c r="B2315" t="s">
        <v>5003</v>
      </c>
      <c r="C2315" t="s">
        <v>28</v>
      </c>
      <c r="D2315" t="s">
        <v>12</v>
      </c>
      <c r="E2315" t="s">
        <v>8</v>
      </c>
      <c r="F2315" t="s">
        <v>11</v>
      </c>
      <c r="G2315" t="s">
        <v>11</v>
      </c>
      <c r="H2315" t="s">
        <v>8</v>
      </c>
      <c r="I2315" t="s">
        <v>13</v>
      </c>
    </row>
    <row r="2316" spans="1:9" x14ac:dyDescent="0.25">
      <c r="A2316" s="1" t="str">
        <f>HYPERLINK("https://lynxcrm-apac--c.eu19.visual.force.com/0011i000001xoqSAAQ","Koh, Mui Noi Betty")</f>
        <v>Koh, Mui Noi Betty</v>
      </c>
      <c r="B2316" t="s">
        <v>5004</v>
      </c>
      <c r="C2316" t="s">
        <v>28</v>
      </c>
      <c r="D2316" t="s">
        <v>4384</v>
      </c>
      <c r="E2316" t="s">
        <v>8</v>
      </c>
      <c r="F2316" t="s">
        <v>5005</v>
      </c>
      <c r="G2316" t="s">
        <v>4386</v>
      </c>
      <c r="H2316" t="s">
        <v>4386</v>
      </c>
      <c r="I2316" t="s">
        <v>494</v>
      </c>
    </row>
    <row r="2317" spans="1:9" x14ac:dyDescent="0.25">
      <c r="A2317" s="1" t="str">
        <f>HYPERLINK("https://lynxcrm-apac--c.eu19.visual.force.com/0011i000001xoqUAAQ","Koh, Sek Khoon")</f>
        <v>Koh, Sek Khoon</v>
      </c>
      <c r="B2317" t="s">
        <v>5006</v>
      </c>
      <c r="C2317" t="s">
        <v>28</v>
      </c>
      <c r="D2317" t="s">
        <v>5007</v>
      </c>
      <c r="E2317" t="s">
        <v>8</v>
      </c>
      <c r="F2317" t="s">
        <v>5008</v>
      </c>
      <c r="G2317" t="s">
        <v>5009</v>
      </c>
      <c r="H2317" t="s">
        <v>5010</v>
      </c>
      <c r="I2317" t="s">
        <v>5011</v>
      </c>
    </row>
    <row r="2318" spans="1:9" x14ac:dyDescent="0.25">
      <c r="A2318" s="1" t="str">
        <f>HYPERLINK("https://lynxcrm-apac--c.eu19.visual.force.com/0011i000001xngwAAA","Koh, Shun Jie")</f>
        <v>Koh, Shun Jie</v>
      </c>
      <c r="B2318" t="s">
        <v>5012</v>
      </c>
      <c r="C2318" t="s">
        <v>28</v>
      </c>
      <c r="D2318" t="s">
        <v>5013</v>
      </c>
      <c r="E2318" t="s">
        <v>8</v>
      </c>
      <c r="F2318" t="s">
        <v>5014</v>
      </c>
      <c r="G2318" t="s">
        <v>1372</v>
      </c>
      <c r="H2318" t="s">
        <v>1372</v>
      </c>
      <c r="I2318" t="s">
        <v>1373</v>
      </c>
    </row>
    <row r="2319" spans="1:9" x14ac:dyDescent="0.25">
      <c r="A2319" s="1" t="str">
        <f>HYPERLINK("https://lynxcrm-apac--c.eu19.visual.force.com/0011i000001xnknAAA","Koh, Siak Meng")</f>
        <v>Koh, Siak Meng</v>
      </c>
      <c r="B2319" t="s">
        <v>5015</v>
      </c>
      <c r="C2319" t="s">
        <v>28</v>
      </c>
      <c r="D2319" t="s">
        <v>3821</v>
      </c>
      <c r="E2319" t="s">
        <v>8</v>
      </c>
      <c r="F2319" t="s">
        <v>3822</v>
      </c>
      <c r="G2319" t="s">
        <v>3823</v>
      </c>
      <c r="H2319" t="s">
        <v>3823</v>
      </c>
      <c r="I2319" t="s">
        <v>3824</v>
      </c>
    </row>
    <row r="2320" spans="1:9" x14ac:dyDescent="0.25">
      <c r="A2320" s="1" t="str">
        <f>HYPERLINK("https://lynxcrm-apac--c.eu19.visual.force.com/0011i000001xoqWAAQ","Koh, Siam Soon Philip")</f>
        <v>Koh, Siam Soon Philip</v>
      </c>
      <c r="B2320" t="s">
        <v>5016</v>
      </c>
      <c r="C2320" t="s">
        <v>28</v>
      </c>
      <c r="D2320" t="s">
        <v>5017</v>
      </c>
      <c r="E2320" t="s">
        <v>8</v>
      </c>
      <c r="F2320" t="s">
        <v>373</v>
      </c>
      <c r="G2320" t="s">
        <v>5018</v>
      </c>
      <c r="H2320" t="s">
        <v>5019</v>
      </c>
      <c r="I2320" t="s">
        <v>123</v>
      </c>
    </row>
    <row r="2321" spans="1:9" x14ac:dyDescent="0.25">
      <c r="A2321" s="1" t="str">
        <f>HYPERLINK("https://lynxcrm-apac--c.eu19.visual.force.com/0011i000001xoecAAA","Koh, Suang Bee Joyce")</f>
        <v>Koh, Suang Bee Joyce</v>
      </c>
      <c r="B2321" t="s">
        <v>5020</v>
      </c>
      <c r="C2321" t="s">
        <v>28</v>
      </c>
      <c r="D2321" t="s">
        <v>251</v>
      </c>
      <c r="E2321" t="s">
        <v>8</v>
      </c>
      <c r="F2321" t="s">
        <v>5021</v>
      </c>
      <c r="G2321" t="s">
        <v>252</v>
      </c>
      <c r="H2321" t="s">
        <v>252</v>
      </c>
      <c r="I2321" t="s">
        <v>253</v>
      </c>
    </row>
    <row r="2322" spans="1:9" x14ac:dyDescent="0.25">
      <c r="A2322" s="1" t="str">
        <f>HYPERLINK("https://lynxcrm-apac--c.eu19.visual.force.com/0011i000001xoqcAAA","Koh, Swee Hiang")</f>
        <v>Koh, Swee Hiang</v>
      </c>
      <c r="B2322" t="s">
        <v>5022</v>
      </c>
      <c r="C2322" t="s">
        <v>28</v>
      </c>
      <c r="D2322" t="s">
        <v>5023</v>
      </c>
      <c r="E2322" t="s">
        <v>8</v>
      </c>
      <c r="F2322" t="s">
        <v>5024</v>
      </c>
      <c r="G2322" t="s">
        <v>5024</v>
      </c>
      <c r="H2322" t="s">
        <v>5025</v>
      </c>
      <c r="I2322" t="s">
        <v>5026</v>
      </c>
    </row>
    <row r="2323" spans="1:9" x14ac:dyDescent="0.25">
      <c r="A2323" s="1" t="str">
        <f>HYPERLINK("https://lynxcrm-apac--c.eu19.visual.force.com/0011i000001xoqeAAA","Koh, Tann Long")</f>
        <v>Koh, Tann Long</v>
      </c>
      <c r="B2323" t="s">
        <v>5027</v>
      </c>
      <c r="C2323" t="s">
        <v>28</v>
      </c>
      <c r="D2323" t="s">
        <v>5028</v>
      </c>
      <c r="E2323" t="s">
        <v>8</v>
      </c>
      <c r="F2323" t="s">
        <v>5029</v>
      </c>
      <c r="G2323" t="s">
        <v>5030</v>
      </c>
      <c r="H2323" t="s">
        <v>5031</v>
      </c>
      <c r="I2323" t="s">
        <v>5032</v>
      </c>
    </row>
    <row r="2324" spans="1:9" x14ac:dyDescent="0.25">
      <c r="A2324" s="1" t="str">
        <f>HYPERLINK("https://lynxcrm-apac--c.eu19.visual.force.com/0011i000001xo2NAAQ","Koh, Teck Kin Edmund")</f>
        <v>Koh, Teck Kin Edmund</v>
      </c>
      <c r="B2324" t="s">
        <v>5033</v>
      </c>
      <c r="C2324" t="s">
        <v>28</v>
      </c>
      <c r="D2324" t="s">
        <v>5034</v>
      </c>
      <c r="E2324" t="s">
        <v>8</v>
      </c>
      <c r="F2324" t="s">
        <v>2263</v>
      </c>
      <c r="G2324" t="s">
        <v>2339</v>
      </c>
      <c r="H2324" t="s">
        <v>2339</v>
      </c>
      <c r="I2324" t="s">
        <v>2266</v>
      </c>
    </row>
    <row r="2325" spans="1:9" x14ac:dyDescent="0.25">
      <c r="A2325" s="1" t="str">
        <f>HYPERLINK("https://lynxcrm-apac--c.eu19.visual.force.com/0011i000001xoqgAAA","Koh, Tee Lock Terence")</f>
        <v>Koh, Tee Lock Terence</v>
      </c>
      <c r="B2325" t="s">
        <v>5035</v>
      </c>
      <c r="C2325" t="s">
        <v>28</v>
      </c>
      <c r="D2325" t="s">
        <v>5036</v>
      </c>
      <c r="E2325" t="s">
        <v>8</v>
      </c>
      <c r="F2325" t="s">
        <v>5037</v>
      </c>
      <c r="G2325" t="s">
        <v>5038</v>
      </c>
      <c r="H2325" t="s">
        <v>5039</v>
      </c>
      <c r="I2325" t="s">
        <v>5040</v>
      </c>
    </row>
    <row r="2326" spans="1:9" x14ac:dyDescent="0.25">
      <c r="A2326" s="1" t="str">
        <f>HYPERLINK("https://lynxcrm-apac--c.eu19.visual.force.com/0011i000001xo9dAAA","Koh, Thong Kiang Adrian")</f>
        <v>Koh, Thong Kiang Adrian</v>
      </c>
      <c r="B2326" t="s">
        <v>5041</v>
      </c>
      <c r="C2326" t="s">
        <v>28</v>
      </c>
      <c r="D2326" t="s">
        <v>5042</v>
      </c>
      <c r="E2326" t="s">
        <v>8</v>
      </c>
      <c r="F2326" t="s">
        <v>796</v>
      </c>
      <c r="G2326" t="s">
        <v>797</v>
      </c>
      <c r="H2326" t="s">
        <v>800</v>
      </c>
      <c r="I2326" t="s">
        <v>798</v>
      </c>
    </row>
    <row r="2327" spans="1:9" x14ac:dyDescent="0.25">
      <c r="A2327" s="1" t="str">
        <f>HYPERLINK("https://lynxcrm-apac--c.eu19.visual.force.com/0011i000001xoOpAAI","Koh, Thuan Wee")</f>
        <v>Koh, Thuan Wee</v>
      </c>
      <c r="B2327" t="s">
        <v>5043</v>
      </c>
      <c r="C2327" t="s">
        <v>28</v>
      </c>
      <c r="D2327" t="s">
        <v>5044</v>
      </c>
      <c r="E2327" t="s">
        <v>8</v>
      </c>
      <c r="F2327" t="s">
        <v>1238</v>
      </c>
      <c r="G2327" t="s">
        <v>1239</v>
      </c>
      <c r="H2327" t="s">
        <v>1239</v>
      </c>
      <c r="I2327" t="s">
        <v>1240</v>
      </c>
    </row>
    <row r="2328" spans="1:9" x14ac:dyDescent="0.25">
      <c r="A2328" s="1" t="str">
        <f>HYPERLINK("https://lynxcrm-apac--c.eu19.visual.force.com/0011i000001xoqjAAA","Koh, Tse-Chung Kevin")</f>
        <v>Koh, Tse-Chung Kevin</v>
      </c>
      <c r="B2328" t="s">
        <v>5045</v>
      </c>
      <c r="C2328" t="s">
        <v>28</v>
      </c>
      <c r="D2328" t="s">
        <v>5046</v>
      </c>
      <c r="E2328" t="s">
        <v>8</v>
      </c>
      <c r="F2328" t="s">
        <v>5047</v>
      </c>
      <c r="G2328" t="s">
        <v>5048</v>
      </c>
      <c r="H2328" t="s">
        <v>5048</v>
      </c>
      <c r="I2328" t="s">
        <v>610</v>
      </c>
    </row>
    <row r="2329" spans="1:9" x14ac:dyDescent="0.25">
      <c r="A2329" s="1" t="str">
        <f>HYPERLINK("https://lynxcrm-apac--c.eu19.visual.force.com/0011i000001xoPmAAI","Koh, Yong Hwee Norman")</f>
        <v>Koh, Yong Hwee Norman</v>
      </c>
      <c r="B2329" t="s">
        <v>5049</v>
      </c>
      <c r="C2329" t="s">
        <v>28</v>
      </c>
      <c r="D2329" t="s">
        <v>2390</v>
      </c>
      <c r="E2329" t="s">
        <v>8</v>
      </c>
      <c r="F2329" t="s">
        <v>5050</v>
      </c>
      <c r="G2329" t="s">
        <v>2392</v>
      </c>
      <c r="H2329" t="s">
        <v>2392</v>
      </c>
      <c r="I2329" t="s">
        <v>2393</v>
      </c>
    </row>
    <row r="2330" spans="1:9" x14ac:dyDescent="0.25">
      <c r="A2330" s="1" t="str">
        <f>HYPERLINK("https://lynxcrm-apac--c.eu19.visual.force.com/0011i000001xn8lAAA","Koh's Clinic")</f>
        <v>Koh's Clinic</v>
      </c>
      <c r="B2330" t="s">
        <v>5051</v>
      </c>
      <c r="C2330" t="s">
        <v>10</v>
      </c>
      <c r="D2330" t="s">
        <v>8</v>
      </c>
      <c r="E2330" t="s">
        <v>8</v>
      </c>
      <c r="F2330" t="s">
        <v>5052</v>
      </c>
      <c r="G2330" t="s">
        <v>5053</v>
      </c>
      <c r="H2330" t="s">
        <v>5054</v>
      </c>
      <c r="I2330" t="s">
        <v>5055</v>
      </c>
    </row>
    <row r="2331" spans="1:9" x14ac:dyDescent="0.25">
      <c r="A2331" s="1" t="str">
        <f>HYPERLINK("https://lynxcrm-apac--c.eu19.visual.force.com/0011i000005IcvvAAC","Koh Choong Hou")</f>
        <v>Koh Choong Hou</v>
      </c>
      <c r="B2331" t="s">
        <v>5056</v>
      </c>
      <c r="C2331" t="s">
        <v>10</v>
      </c>
      <c r="D2331" t="s">
        <v>449</v>
      </c>
      <c r="E2331" t="s">
        <v>8</v>
      </c>
      <c r="F2331" t="s">
        <v>450</v>
      </c>
      <c r="G2331" t="s">
        <v>449</v>
      </c>
      <c r="H2331" t="s">
        <v>449</v>
      </c>
      <c r="I2331" t="s">
        <v>451</v>
      </c>
    </row>
    <row r="2332" spans="1:9" x14ac:dyDescent="0.25">
      <c r="A2332" s="1" t="str">
        <f>HYPERLINK("https://lynxcrm-apac--c.eu19.visual.force.com/0011i000005IcvvAAC","Koh Choong Hou")</f>
        <v>Koh Choong Hou</v>
      </c>
      <c r="B2332" t="s">
        <v>5056</v>
      </c>
      <c r="C2332" t="s">
        <v>10</v>
      </c>
      <c r="D2332" t="s">
        <v>449</v>
      </c>
      <c r="E2332" t="s">
        <v>8</v>
      </c>
      <c r="F2332" t="s">
        <v>234</v>
      </c>
      <c r="G2332" t="s">
        <v>452</v>
      </c>
      <c r="H2332" t="s">
        <v>453</v>
      </c>
      <c r="I2332" t="s">
        <v>454</v>
      </c>
    </row>
    <row r="2333" spans="1:9" x14ac:dyDescent="0.25">
      <c r="A2333" s="1" t="str">
        <f>HYPERLINK("https://lynxcrm-apac--c.eu19.visual.force.com/0011i000001xoqnAAA","Kok, Chin Yon")</f>
        <v>Kok, Chin Yon</v>
      </c>
      <c r="B2333" t="s">
        <v>5057</v>
      </c>
      <c r="C2333" t="s">
        <v>28</v>
      </c>
      <c r="D2333" t="s">
        <v>5058</v>
      </c>
      <c r="E2333" t="s">
        <v>8</v>
      </c>
      <c r="F2333" t="s">
        <v>618</v>
      </c>
      <c r="G2333" t="s">
        <v>5059</v>
      </c>
      <c r="H2333" t="s">
        <v>5060</v>
      </c>
      <c r="I2333" t="s">
        <v>617</v>
      </c>
    </row>
    <row r="2334" spans="1:9" x14ac:dyDescent="0.25">
      <c r="A2334" s="1" t="str">
        <f>HYPERLINK("https://lynxcrm-apac--c.eu19.visual.force.com/0011i00000llqpzAAA","Kok, Kok Hoe")</f>
        <v>Kok, Kok Hoe</v>
      </c>
      <c r="B2334" t="s">
        <v>5061</v>
      </c>
      <c r="C2334" t="s">
        <v>28</v>
      </c>
      <c r="D2334" t="s">
        <v>8</v>
      </c>
      <c r="E2334" t="s">
        <v>8</v>
      </c>
      <c r="F2334" t="s">
        <v>8</v>
      </c>
      <c r="G2334" t="s">
        <v>8</v>
      </c>
      <c r="H2334" t="s">
        <v>8</v>
      </c>
      <c r="I2334" t="s">
        <v>8</v>
      </c>
    </row>
    <row r="2335" spans="1:9" x14ac:dyDescent="0.25">
      <c r="A2335" s="1" t="str">
        <f t="shared" ref="A2335:A2340" si="16">HYPERLINK("https://lynxcrm-apac--c.eu19.visual.force.com/0011i00000mIYgVAAW","Kok, Mong Thiam")</f>
        <v>Kok, Mong Thiam</v>
      </c>
      <c r="B2335" t="s">
        <v>5062</v>
      </c>
      <c r="C2335" t="s">
        <v>28</v>
      </c>
      <c r="D2335" t="s">
        <v>501</v>
      </c>
      <c r="E2335" t="s">
        <v>8</v>
      </c>
      <c r="F2335" t="s">
        <v>501</v>
      </c>
      <c r="G2335" t="s">
        <v>502</v>
      </c>
      <c r="H2335" t="s">
        <v>502</v>
      </c>
      <c r="I2335" t="s">
        <v>506</v>
      </c>
    </row>
    <row r="2336" spans="1:9" x14ac:dyDescent="0.25">
      <c r="A2336" s="1" t="str">
        <f t="shared" si="16"/>
        <v>Kok, Mong Thiam</v>
      </c>
      <c r="B2336" t="s">
        <v>5062</v>
      </c>
      <c r="C2336" t="s">
        <v>28</v>
      </c>
      <c r="D2336" t="s">
        <v>501</v>
      </c>
      <c r="E2336" t="s">
        <v>8</v>
      </c>
      <c r="F2336" t="s">
        <v>502</v>
      </c>
      <c r="G2336" t="s">
        <v>502</v>
      </c>
      <c r="H2336" t="s">
        <v>503</v>
      </c>
      <c r="I2336" t="s">
        <v>504</v>
      </c>
    </row>
    <row r="2337" spans="1:9" x14ac:dyDescent="0.25">
      <c r="A2337" s="1" t="str">
        <f t="shared" si="16"/>
        <v>Kok, Mong Thiam</v>
      </c>
      <c r="B2337" t="s">
        <v>5062</v>
      </c>
      <c r="C2337" t="s">
        <v>28</v>
      </c>
      <c r="D2337" t="s">
        <v>501</v>
      </c>
      <c r="E2337" t="s">
        <v>8</v>
      </c>
      <c r="F2337" t="s">
        <v>246</v>
      </c>
      <c r="G2337" t="s">
        <v>502</v>
      </c>
      <c r="H2337" t="s">
        <v>503</v>
      </c>
      <c r="I2337" t="s">
        <v>504</v>
      </c>
    </row>
    <row r="2338" spans="1:9" x14ac:dyDescent="0.25">
      <c r="A2338" s="1" t="str">
        <f t="shared" si="16"/>
        <v>Kok, Mong Thiam</v>
      </c>
      <c r="B2338" t="s">
        <v>5062</v>
      </c>
      <c r="C2338" t="s">
        <v>28</v>
      </c>
      <c r="D2338" t="s">
        <v>501</v>
      </c>
      <c r="E2338" t="s">
        <v>8</v>
      </c>
      <c r="F2338" t="s">
        <v>246</v>
      </c>
      <c r="G2338" t="s">
        <v>502</v>
      </c>
      <c r="H2338" t="s">
        <v>503</v>
      </c>
      <c r="I2338" t="s">
        <v>505</v>
      </c>
    </row>
    <row r="2339" spans="1:9" x14ac:dyDescent="0.25">
      <c r="A2339" s="1" t="str">
        <f t="shared" si="16"/>
        <v>Kok, Mong Thiam</v>
      </c>
      <c r="B2339" t="s">
        <v>5062</v>
      </c>
      <c r="C2339" t="s">
        <v>28</v>
      </c>
      <c r="D2339" t="s">
        <v>501</v>
      </c>
      <c r="E2339" t="s">
        <v>8</v>
      </c>
      <c r="F2339" t="s">
        <v>234</v>
      </c>
      <c r="G2339" t="s">
        <v>502</v>
      </c>
      <c r="H2339" t="s">
        <v>503</v>
      </c>
      <c r="I2339" t="s">
        <v>504</v>
      </c>
    </row>
    <row r="2340" spans="1:9" x14ac:dyDescent="0.25">
      <c r="A2340" s="1" t="str">
        <f t="shared" si="16"/>
        <v>Kok, Mong Thiam</v>
      </c>
      <c r="B2340" t="s">
        <v>5062</v>
      </c>
      <c r="C2340" t="s">
        <v>28</v>
      </c>
      <c r="D2340" t="s">
        <v>501</v>
      </c>
      <c r="E2340" t="s">
        <v>8</v>
      </c>
      <c r="F2340" t="s">
        <v>359</v>
      </c>
      <c r="G2340" t="s">
        <v>502</v>
      </c>
      <c r="H2340" t="s">
        <v>503</v>
      </c>
      <c r="I2340" t="s">
        <v>506</v>
      </c>
    </row>
    <row r="2341" spans="1:9" x14ac:dyDescent="0.25">
      <c r="A2341" s="1" t="str">
        <f>HYPERLINK("https://lynxcrm-apac--c.eu19.visual.force.com/0011i000001xoqvAAA","Kok, Moo Ling")</f>
        <v>Kok, Moo Ling</v>
      </c>
      <c r="B2341" t="s">
        <v>5063</v>
      </c>
      <c r="C2341" t="s">
        <v>28</v>
      </c>
      <c r="D2341" t="s">
        <v>5064</v>
      </c>
      <c r="E2341" t="s">
        <v>8</v>
      </c>
      <c r="F2341" t="s">
        <v>3682</v>
      </c>
      <c r="G2341" t="s">
        <v>4614</v>
      </c>
      <c r="H2341" t="s">
        <v>4615</v>
      </c>
      <c r="I2341" t="s">
        <v>3684</v>
      </c>
    </row>
    <row r="2342" spans="1:9" x14ac:dyDescent="0.25">
      <c r="A2342" s="1" t="str">
        <f>HYPERLINK("https://lynxcrm-apac--c.eu19.visual.force.com/0011i000001xoLOAAY","Kon, Kam  King Charles")</f>
        <v>Kon, Kam  King Charles</v>
      </c>
      <c r="B2342" t="s">
        <v>5065</v>
      </c>
      <c r="C2342" t="s">
        <v>28</v>
      </c>
      <c r="D2342" t="s">
        <v>583</v>
      </c>
      <c r="E2342" t="s">
        <v>8</v>
      </c>
      <c r="F2342" t="s">
        <v>427</v>
      </c>
      <c r="G2342" t="s">
        <v>584</v>
      </c>
      <c r="H2342" t="s">
        <v>584</v>
      </c>
      <c r="I2342" t="s">
        <v>585</v>
      </c>
    </row>
    <row r="2343" spans="1:9" x14ac:dyDescent="0.25">
      <c r="A2343" s="1" t="str">
        <f>HYPERLINK("https://lynxcrm-apac--c.eu19.visual.force.com/0011i000001xo2UAAQ","Kong, Hwai Loong")</f>
        <v>Kong, Hwai Loong</v>
      </c>
      <c r="B2343" t="s">
        <v>5066</v>
      </c>
      <c r="C2343" t="s">
        <v>28</v>
      </c>
      <c r="D2343" t="s">
        <v>5067</v>
      </c>
      <c r="E2343" t="s">
        <v>8</v>
      </c>
      <c r="F2343" t="s">
        <v>4211</v>
      </c>
      <c r="G2343" t="s">
        <v>121</v>
      </c>
      <c r="H2343" t="s">
        <v>121</v>
      </c>
      <c r="I2343" t="s">
        <v>123</v>
      </c>
    </row>
    <row r="2344" spans="1:9" x14ac:dyDescent="0.25">
      <c r="A2344" s="1" t="str">
        <f>HYPERLINK("https://lynxcrm-apac--c.eu19.visual.force.com/0011i000001xokXAAQ","Kong, Jing Wen")</f>
        <v>Kong, Jing Wen</v>
      </c>
      <c r="B2344" t="s">
        <v>5068</v>
      </c>
      <c r="C2344" t="s">
        <v>28</v>
      </c>
      <c r="D2344" t="s">
        <v>148</v>
      </c>
      <c r="E2344" t="s">
        <v>8</v>
      </c>
      <c r="F2344" t="s">
        <v>736</v>
      </c>
      <c r="G2344" t="s">
        <v>736</v>
      </c>
      <c r="H2344" t="s">
        <v>8</v>
      </c>
      <c r="I2344" t="s">
        <v>149</v>
      </c>
    </row>
    <row r="2345" spans="1:9" x14ac:dyDescent="0.25">
      <c r="A2345" s="1" t="str">
        <f>HYPERLINK("https://lynxcrm-apac--c.eu19.visual.force.com/0011i000001xnsWAAQ","Kong, Kah Shern")</f>
        <v>Kong, Kah Shern</v>
      </c>
      <c r="B2345" t="s">
        <v>5069</v>
      </c>
      <c r="C2345" t="s">
        <v>28</v>
      </c>
      <c r="D2345" t="s">
        <v>58</v>
      </c>
      <c r="E2345" t="s">
        <v>8</v>
      </c>
      <c r="F2345" t="s">
        <v>57</v>
      </c>
      <c r="G2345" t="s">
        <v>57</v>
      </c>
      <c r="H2345" t="s">
        <v>8</v>
      </c>
      <c r="I2345" t="s">
        <v>59</v>
      </c>
    </row>
    <row r="2346" spans="1:9" x14ac:dyDescent="0.25">
      <c r="A2346" s="1" t="str">
        <f>HYPERLINK("https://lynxcrm-apac--c.eu19.visual.force.com/0011i000001xoYdAAI","Kong, Kok Leong Richard")</f>
        <v>Kong, Kok Leong Richard</v>
      </c>
      <c r="B2346" t="s">
        <v>5070</v>
      </c>
      <c r="C2346" t="s">
        <v>28</v>
      </c>
      <c r="D2346" t="s">
        <v>5071</v>
      </c>
      <c r="E2346" t="s">
        <v>8</v>
      </c>
      <c r="F2346" t="s">
        <v>4908</v>
      </c>
      <c r="G2346" t="s">
        <v>4908</v>
      </c>
      <c r="H2346" t="s">
        <v>4909</v>
      </c>
      <c r="I2346" t="s">
        <v>4910</v>
      </c>
    </row>
    <row r="2347" spans="1:9" x14ac:dyDescent="0.25">
      <c r="A2347" s="1" t="str">
        <f>HYPERLINK("https://lynxcrm-apac--c.eu19.visual.force.com/0011i000001xor2AAA","Kong, Sin Ming")</f>
        <v>Kong, Sin Ming</v>
      </c>
      <c r="B2347" t="s">
        <v>5072</v>
      </c>
      <c r="C2347" t="s">
        <v>28</v>
      </c>
      <c r="D2347" t="s">
        <v>5073</v>
      </c>
      <c r="E2347" t="s">
        <v>8</v>
      </c>
      <c r="F2347" t="s">
        <v>5074</v>
      </c>
      <c r="G2347" t="s">
        <v>5075</v>
      </c>
      <c r="H2347" t="s">
        <v>5076</v>
      </c>
      <c r="I2347" t="s">
        <v>5077</v>
      </c>
    </row>
    <row r="2348" spans="1:9" x14ac:dyDescent="0.25">
      <c r="A2348" s="1" t="str">
        <f>HYPERLINK("https://lynxcrm-apac--c.eu19.visual.force.com/0011i000001xor4AAA","Kong, Sui Shing Georg")</f>
        <v>Kong, Sui Shing Georg</v>
      </c>
      <c r="B2348" t="s">
        <v>5078</v>
      </c>
      <c r="C2348" t="s">
        <v>28</v>
      </c>
      <c r="D2348" t="s">
        <v>5079</v>
      </c>
      <c r="E2348" t="s">
        <v>8</v>
      </c>
      <c r="F2348" t="s">
        <v>4359</v>
      </c>
      <c r="G2348" t="s">
        <v>4360</v>
      </c>
      <c r="H2348" t="s">
        <v>4360</v>
      </c>
      <c r="I2348" t="s">
        <v>1471</v>
      </c>
    </row>
    <row r="2349" spans="1:9" x14ac:dyDescent="0.25">
      <c r="A2349" s="1" t="str">
        <f>HYPERLINK("https://lynxcrm-apac--c.eu19.visual.force.com/0011i000001xnu6AAA","Kong, William")</f>
        <v>Kong, William</v>
      </c>
      <c r="B2349" t="s">
        <v>5080</v>
      </c>
      <c r="C2349" t="s">
        <v>28</v>
      </c>
      <c r="D2349" t="s">
        <v>429</v>
      </c>
      <c r="E2349" t="s">
        <v>8</v>
      </c>
      <c r="F2349" t="s">
        <v>429</v>
      </c>
      <c r="G2349" t="s">
        <v>428</v>
      </c>
      <c r="H2349" t="s">
        <v>428</v>
      </c>
      <c r="I2349" t="s">
        <v>430</v>
      </c>
    </row>
    <row r="2350" spans="1:9" x14ac:dyDescent="0.25">
      <c r="A2350" s="1" t="str">
        <f>HYPERLINK("https://lynxcrm-apac--c.eu19.visual.force.com/0011i000001xnu6AAA","Kong, William")</f>
        <v>Kong, William</v>
      </c>
      <c r="B2350" t="s">
        <v>5080</v>
      </c>
      <c r="C2350" t="s">
        <v>28</v>
      </c>
      <c r="D2350" t="s">
        <v>429</v>
      </c>
      <c r="E2350" t="s">
        <v>8</v>
      </c>
      <c r="F2350" t="s">
        <v>444</v>
      </c>
      <c r="G2350" t="s">
        <v>444</v>
      </c>
      <c r="H2350" t="s">
        <v>8</v>
      </c>
      <c r="I2350" t="s">
        <v>430</v>
      </c>
    </row>
    <row r="2351" spans="1:9" x14ac:dyDescent="0.25">
      <c r="A2351" s="1" t="str">
        <f>HYPERLINK("https://lynxcrm-apac--c.eu19.visual.force.com/0011i000001xnu6AAA","Kong, William")</f>
        <v>Kong, William</v>
      </c>
      <c r="B2351" t="s">
        <v>5080</v>
      </c>
      <c r="C2351" t="s">
        <v>28</v>
      </c>
      <c r="D2351" t="s">
        <v>429</v>
      </c>
      <c r="E2351" t="s">
        <v>8</v>
      </c>
      <c r="F2351" t="s">
        <v>445</v>
      </c>
      <c r="G2351" t="s">
        <v>428</v>
      </c>
      <c r="H2351" t="s">
        <v>428</v>
      </c>
      <c r="I2351" t="s">
        <v>430</v>
      </c>
    </row>
    <row r="2352" spans="1:9" x14ac:dyDescent="0.25">
      <c r="A2352" s="1" t="str">
        <f>HYPERLINK("https://lynxcrm-apac--c.eu19.visual.force.com/0011i000001xnu6AAA","Kong, William")</f>
        <v>Kong, William</v>
      </c>
      <c r="B2352" t="s">
        <v>5080</v>
      </c>
      <c r="C2352" t="s">
        <v>28</v>
      </c>
      <c r="D2352" t="s">
        <v>429</v>
      </c>
      <c r="E2352" t="s">
        <v>8</v>
      </c>
      <c r="F2352" t="s">
        <v>444</v>
      </c>
      <c r="G2352" t="s">
        <v>444</v>
      </c>
      <c r="H2352" t="s">
        <v>8</v>
      </c>
      <c r="I2352" t="s">
        <v>8</v>
      </c>
    </row>
    <row r="2353" spans="1:9" x14ac:dyDescent="0.25">
      <c r="A2353" s="1" t="str">
        <f>HYPERLINK("https://lynxcrm-apac--c.eu19.visual.force.com/0011i000001xnc3AAA","Kong Clinic &amp; Surgery")</f>
        <v>Kong Clinic &amp; Surgery</v>
      </c>
      <c r="B2353" t="s">
        <v>5081</v>
      </c>
      <c r="C2353" t="s">
        <v>10</v>
      </c>
      <c r="D2353" t="s">
        <v>8</v>
      </c>
      <c r="E2353" t="s">
        <v>8</v>
      </c>
      <c r="F2353" t="s">
        <v>5074</v>
      </c>
      <c r="G2353" t="s">
        <v>5075</v>
      </c>
      <c r="H2353" t="s">
        <v>5076</v>
      </c>
      <c r="I2353" t="s">
        <v>5077</v>
      </c>
    </row>
    <row r="2354" spans="1:9" x14ac:dyDescent="0.25">
      <c r="A2354" s="1" t="str">
        <f>HYPERLINK("https://lynxcrm-apac--c.eu19.visual.force.com/0011i000001xmqOAAQ","Kong Kian Clinic")</f>
        <v>Kong Kian Clinic</v>
      </c>
      <c r="B2354" t="s">
        <v>5082</v>
      </c>
      <c r="C2354" t="s">
        <v>10</v>
      </c>
      <c r="D2354" t="s">
        <v>8</v>
      </c>
      <c r="E2354" t="s">
        <v>8</v>
      </c>
      <c r="F2354" t="s">
        <v>1491</v>
      </c>
      <c r="G2354" t="s">
        <v>1491</v>
      </c>
      <c r="H2354" t="s">
        <v>1492</v>
      </c>
      <c r="I2354" t="s">
        <v>1493</v>
      </c>
    </row>
    <row r="2355" spans="1:9" x14ac:dyDescent="0.25">
      <c r="A2355" s="1" t="str">
        <f>HYPERLINK("https://lynxcrm-apac--c.eu19.visual.force.com/0011i000001xo9eAAA","Koo, Chee Choong")</f>
        <v>Koo, Chee Choong</v>
      </c>
      <c r="B2355" t="s">
        <v>5083</v>
      </c>
      <c r="C2355" t="s">
        <v>28</v>
      </c>
      <c r="D2355" t="s">
        <v>5084</v>
      </c>
      <c r="E2355" t="s">
        <v>8</v>
      </c>
      <c r="F2355" t="s">
        <v>69</v>
      </c>
      <c r="G2355" t="s">
        <v>5085</v>
      </c>
      <c r="H2355" t="s">
        <v>5086</v>
      </c>
      <c r="I2355" t="s">
        <v>67</v>
      </c>
    </row>
    <row r="2356" spans="1:9" x14ac:dyDescent="0.25">
      <c r="A2356" s="1" t="str">
        <f>HYPERLINK("https://lynxcrm-apac--c.eu19.visual.force.com/0011i000001xmjzAAA","Koo, Tey &amp; Associates")</f>
        <v>Koo, Tey &amp; Associates</v>
      </c>
      <c r="B2356" t="s">
        <v>5087</v>
      </c>
      <c r="C2356" t="s">
        <v>10</v>
      </c>
      <c r="D2356" t="s">
        <v>8</v>
      </c>
      <c r="E2356" t="s">
        <v>8</v>
      </c>
      <c r="F2356" t="s">
        <v>5088</v>
      </c>
      <c r="G2356" t="s">
        <v>5089</v>
      </c>
      <c r="H2356" t="s">
        <v>5090</v>
      </c>
      <c r="I2356" t="s">
        <v>3811</v>
      </c>
    </row>
    <row r="2357" spans="1:9" x14ac:dyDescent="0.25">
      <c r="A2357" s="1" t="str">
        <f>HYPERLINK("https://lynxcrm-apac--c.eu19.visual.force.com/0011i000001xohRAAQ","Koot, David")</f>
        <v>Koot, David</v>
      </c>
      <c r="B2357" t="s">
        <v>5091</v>
      </c>
      <c r="C2357" t="s">
        <v>28</v>
      </c>
      <c r="D2357" t="s">
        <v>701</v>
      </c>
      <c r="E2357" t="s">
        <v>8</v>
      </c>
      <c r="F2357" t="s">
        <v>1123</v>
      </c>
      <c r="G2357" t="s">
        <v>1123</v>
      </c>
      <c r="H2357" t="s">
        <v>8</v>
      </c>
      <c r="I2357" t="s">
        <v>703</v>
      </c>
    </row>
    <row r="2358" spans="1:9" x14ac:dyDescent="0.25">
      <c r="A2358" s="1" t="str">
        <f>HYPERLINK("https://lynxcrm-apac--c.eu19.visual.force.com/0011i000001xoEHAAY","Kor, Ai Ching")</f>
        <v>Kor, Ai Ching</v>
      </c>
      <c r="B2358" t="s">
        <v>5092</v>
      </c>
      <c r="C2358" t="s">
        <v>28</v>
      </c>
      <c r="D2358" t="s">
        <v>261</v>
      </c>
      <c r="E2358" t="s">
        <v>8</v>
      </c>
      <c r="F2358" t="s">
        <v>239</v>
      </c>
      <c r="G2358" t="s">
        <v>258</v>
      </c>
      <c r="H2358" t="s">
        <v>259</v>
      </c>
      <c r="I2358" t="s">
        <v>260</v>
      </c>
    </row>
    <row r="2359" spans="1:9" x14ac:dyDescent="0.25">
      <c r="A2359" s="1" t="str">
        <f>HYPERLINK("https://lynxcrm-apac--c.eu19.visual.force.com/0011i000001xorHAAQ","Kour, Nam Wee")</f>
        <v>Kour, Nam Wee</v>
      </c>
      <c r="B2359" t="s">
        <v>5093</v>
      </c>
      <c r="C2359" t="s">
        <v>28</v>
      </c>
      <c r="D2359" t="s">
        <v>5094</v>
      </c>
      <c r="E2359" t="s">
        <v>8</v>
      </c>
      <c r="F2359" t="s">
        <v>121</v>
      </c>
      <c r="G2359" t="s">
        <v>5095</v>
      </c>
      <c r="H2359" t="s">
        <v>5095</v>
      </c>
      <c r="I2359" t="s">
        <v>123</v>
      </c>
    </row>
    <row r="2360" spans="1:9" x14ac:dyDescent="0.25">
      <c r="A2360" s="1" t="str">
        <f>HYPERLINK("https://lynxcrm-apac--c.eu19.visual.force.com/0011i000001xngMAAQ","Kovalik, Jean-Paul")</f>
        <v>Kovalik, Jean-Paul</v>
      </c>
      <c r="B2360" t="s">
        <v>5096</v>
      </c>
      <c r="C2360" t="s">
        <v>28</v>
      </c>
      <c r="D2360" t="s">
        <v>251</v>
      </c>
      <c r="E2360" t="s">
        <v>8</v>
      </c>
      <c r="F2360" t="s">
        <v>251</v>
      </c>
      <c r="G2360" t="s">
        <v>252</v>
      </c>
      <c r="H2360" t="s">
        <v>252</v>
      </c>
      <c r="I2360" t="s">
        <v>253</v>
      </c>
    </row>
    <row r="2361" spans="1:9" x14ac:dyDescent="0.25">
      <c r="A2361" s="1" t="str">
        <f>HYPERLINK("https://lynxcrm-apac--c.eu19.visual.force.com/0011i000001xnKEAAY","Kovan Clinic")</f>
        <v>Kovan Clinic</v>
      </c>
      <c r="B2361" t="s">
        <v>5097</v>
      </c>
      <c r="C2361" t="s">
        <v>10</v>
      </c>
      <c r="D2361" t="s">
        <v>8</v>
      </c>
      <c r="E2361" t="s">
        <v>8</v>
      </c>
      <c r="F2361" t="s">
        <v>5098</v>
      </c>
      <c r="G2361" t="s">
        <v>2132</v>
      </c>
      <c r="H2361" t="s">
        <v>5099</v>
      </c>
      <c r="I2361" t="s">
        <v>510</v>
      </c>
    </row>
    <row r="2362" spans="1:9" x14ac:dyDescent="0.25">
      <c r="A2362" s="1" t="str">
        <f>HYPERLINK("https://lynxcrm-apac--c.eu19.visual.force.com/0011i000001xn9KAAQ","Kowa Clinic &amp; Surgery For Women")</f>
        <v>Kowa Clinic &amp; Surgery For Women</v>
      </c>
      <c r="B2362" t="s">
        <v>5100</v>
      </c>
      <c r="C2362" t="s">
        <v>10</v>
      </c>
      <c r="D2362" t="s">
        <v>8</v>
      </c>
      <c r="E2362" t="s">
        <v>8</v>
      </c>
      <c r="F2362" t="s">
        <v>377</v>
      </c>
      <c r="G2362" t="s">
        <v>5101</v>
      </c>
      <c r="H2362" t="s">
        <v>5102</v>
      </c>
      <c r="I2362" t="s">
        <v>123</v>
      </c>
    </row>
    <row r="2363" spans="1:9" x14ac:dyDescent="0.25">
      <c r="A2363" s="1" t="str">
        <f>HYPERLINK("https://lynxcrm-apac--c.eu19.visual.force.com/0011i000001xn32AAA","Kranji Medical Clinic")</f>
        <v>Kranji Medical Clinic</v>
      </c>
      <c r="B2363" t="s">
        <v>5103</v>
      </c>
      <c r="C2363" t="s">
        <v>10</v>
      </c>
      <c r="D2363" t="s">
        <v>8</v>
      </c>
      <c r="E2363" t="s">
        <v>8</v>
      </c>
      <c r="F2363" t="s">
        <v>5104</v>
      </c>
      <c r="G2363" t="s">
        <v>5104</v>
      </c>
      <c r="H2363" t="s">
        <v>8</v>
      </c>
      <c r="I2363" t="s">
        <v>5105</v>
      </c>
    </row>
    <row r="2364" spans="1:9" x14ac:dyDescent="0.25">
      <c r="A2364" s="1" t="str">
        <f>HYPERLINK("https://lynxcrm-apac--c.eu19.visual.force.com/0011i000001xmfnAAA","Kreta Ayer Clinic Pte Ltd")</f>
        <v>Kreta Ayer Clinic Pte Ltd</v>
      </c>
      <c r="B2364" t="s">
        <v>5106</v>
      </c>
      <c r="C2364" t="s">
        <v>10</v>
      </c>
      <c r="D2364" t="s">
        <v>8</v>
      </c>
      <c r="E2364" t="s">
        <v>8</v>
      </c>
      <c r="F2364" t="s">
        <v>5107</v>
      </c>
      <c r="G2364" t="s">
        <v>5108</v>
      </c>
      <c r="H2364" t="s">
        <v>5109</v>
      </c>
      <c r="I2364" t="s">
        <v>2040</v>
      </c>
    </row>
    <row r="2365" spans="1:9" x14ac:dyDescent="0.25">
      <c r="A2365" s="1" t="str">
        <f>HYPERLINK("https://lynxcrm-apac--c.eu19.visual.force.com/0011i000001xoQzAAI","Krishan, Kumar")</f>
        <v>Krishan, Kumar</v>
      </c>
      <c r="B2365" t="s">
        <v>5110</v>
      </c>
      <c r="C2365" t="s">
        <v>28</v>
      </c>
      <c r="D2365" t="s">
        <v>251</v>
      </c>
      <c r="E2365" t="s">
        <v>8</v>
      </c>
      <c r="F2365" t="s">
        <v>251</v>
      </c>
      <c r="G2365" t="s">
        <v>252</v>
      </c>
      <c r="H2365" t="s">
        <v>252</v>
      </c>
      <c r="I2365" t="s">
        <v>253</v>
      </c>
    </row>
    <row r="2366" spans="1:9" x14ac:dyDescent="0.25">
      <c r="A2366" s="1" t="str">
        <f>HYPERLINK("https://lynxcrm-apac--c.eu19.visual.force.com/0011i000001xoQzAAI","Krishan, Kumar")</f>
        <v>Krishan, Kumar</v>
      </c>
      <c r="B2366" t="s">
        <v>5110</v>
      </c>
      <c r="C2366" t="s">
        <v>28</v>
      </c>
      <c r="D2366" t="s">
        <v>474</v>
      </c>
      <c r="E2366" t="s">
        <v>8</v>
      </c>
      <c r="F2366" t="s">
        <v>258</v>
      </c>
      <c r="G2366" t="s">
        <v>258</v>
      </c>
      <c r="H2366" t="s">
        <v>259</v>
      </c>
      <c r="I2366" t="s">
        <v>253</v>
      </c>
    </row>
    <row r="2367" spans="1:9" x14ac:dyDescent="0.25">
      <c r="A2367" s="1" t="str">
        <f>HYPERLINK("https://lynxcrm-apac--c.eu19.visual.force.com/0011i000001xmsYAAQ","KS Ng Cardiology Pte Ltd")</f>
        <v>KS Ng Cardiology Pte Ltd</v>
      </c>
      <c r="B2367" t="s">
        <v>5111</v>
      </c>
      <c r="C2367" t="s">
        <v>10</v>
      </c>
      <c r="D2367" t="s">
        <v>8</v>
      </c>
      <c r="E2367" t="s">
        <v>8</v>
      </c>
      <c r="F2367" t="s">
        <v>69</v>
      </c>
      <c r="G2367" t="s">
        <v>5112</v>
      </c>
      <c r="H2367" t="s">
        <v>5113</v>
      </c>
      <c r="I2367" t="s">
        <v>67</v>
      </c>
    </row>
    <row r="2368" spans="1:9" x14ac:dyDescent="0.25">
      <c r="A2368" s="1" t="str">
        <f>HYPERLINK("https://lynxcrm-apac--c.eu19.visual.force.com/0011i000001xnFwAAI","K T Chan Clinic")</f>
        <v>K T Chan Clinic</v>
      </c>
      <c r="B2368" t="s">
        <v>5114</v>
      </c>
      <c r="C2368" t="s">
        <v>10</v>
      </c>
      <c r="D2368" t="s">
        <v>8</v>
      </c>
      <c r="E2368" t="s">
        <v>8</v>
      </c>
      <c r="F2368" t="s">
        <v>121</v>
      </c>
      <c r="G2368" t="s">
        <v>5115</v>
      </c>
      <c r="H2368" t="s">
        <v>5115</v>
      </c>
      <c r="I2368" t="s">
        <v>123</v>
      </c>
    </row>
    <row r="2369" spans="1:9" x14ac:dyDescent="0.25">
      <c r="A2369" s="1" t="str">
        <f>HYPERLINK("https://lynxcrm-apac--c.eu19.visual.force.com/0011i000001xorLAAQ","Ku, Kwok Tai Gordon")</f>
        <v>Ku, Kwok Tai Gordon</v>
      </c>
      <c r="B2369" t="s">
        <v>5116</v>
      </c>
      <c r="C2369" t="s">
        <v>28</v>
      </c>
      <c r="D2369" t="s">
        <v>5117</v>
      </c>
      <c r="E2369" t="s">
        <v>8</v>
      </c>
      <c r="F2369" t="s">
        <v>1801</v>
      </c>
      <c r="G2369" t="s">
        <v>5118</v>
      </c>
      <c r="H2369" t="s">
        <v>4217</v>
      </c>
      <c r="I2369" t="s">
        <v>123</v>
      </c>
    </row>
    <row r="2370" spans="1:9" x14ac:dyDescent="0.25">
      <c r="A2370" s="1" t="str">
        <f>HYPERLINK("https://lynxcrm-apac--c.eu19.visual.force.com/0011i000001xosOAAQ","Kua, Joanne")</f>
        <v>Kua, Joanne</v>
      </c>
      <c r="B2370" t="s">
        <v>5119</v>
      </c>
      <c r="C2370" t="s">
        <v>28</v>
      </c>
      <c r="D2370" t="s">
        <v>261</v>
      </c>
      <c r="E2370" t="s">
        <v>8</v>
      </c>
      <c r="F2370" t="s">
        <v>261</v>
      </c>
      <c r="G2370" t="s">
        <v>347</v>
      </c>
      <c r="H2370" t="s">
        <v>347</v>
      </c>
      <c r="I2370" t="s">
        <v>260</v>
      </c>
    </row>
    <row r="2371" spans="1:9" x14ac:dyDescent="0.25">
      <c r="A2371" s="1" t="str">
        <f>HYPERLINK("https://lynxcrm-apac--c.eu19.visual.force.com/0011i000001xorNAAQ","Kuan, Mae Yee")</f>
        <v>Kuan, Mae Yee</v>
      </c>
      <c r="B2371" t="s">
        <v>5120</v>
      </c>
      <c r="C2371" t="s">
        <v>28</v>
      </c>
      <c r="D2371" t="s">
        <v>5121</v>
      </c>
      <c r="E2371" t="s">
        <v>8</v>
      </c>
      <c r="F2371" t="s">
        <v>5122</v>
      </c>
      <c r="G2371" t="s">
        <v>5123</v>
      </c>
      <c r="H2371" t="s">
        <v>4914</v>
      </c>
      <c r="I2371" t="s">
        <v>3199</v>
      </c>
    </row>
    <row r="2372" spans="1:9" x14ac:dyDescent="0.25">
      <c r="A2372" s="1" t="str">
        <f>HYPERLINK("https://lynxcrm-apac--c.eu19.visual.force.com/0011i00000S2ruGAAR","Kui, Swee Leng Michelle")</f>
        <v>Kui, Swee Leng Michelle</v>
      </c>
      <c r="B2372" t="s">
        <v>5124</v>
      </c>
      <c r="C2372" t="s">
        <v>28</v>
      </c>
      <c r="D2372" t="s">
        <v>449</v>
      </c>
      <c r="E2372" t="s">
        <v>8</v>
      </c>
      <c r="F2372" t="s">
        <v>450</v>
      </c>
      <c r="G2372" t="s">
        <v>449</v>
      </c>
      <c r="H2372" t="s">
        <v>449</v>
      </c>
      <c r="I2372" t="s">
        <v>451</v>
      </c>
    </row>
    <row r="2373" spans="1:9" x14ac:dyDescent="0.25">
      <c r="A2373" s="1" t="str">
        <f>HYPERLINK("https://lynxcrm-apac--c.eu19.visual.force.com/0011i00000S2ruGAAR","Kui, Swee Leng Michelle")</f>
        <v>Kui, Swee Leng Michelle</v>
      </c>
      <c r="B2373" t="s">
        <v>5124</v>
      </c>
      <c r="C2373" t="s">
        <v>28</v>
      </c>
      <c r="D2373" t="s">
        <v>449</v>
      </c>
      <c r="E2373" t="s">
        <v>8</v>
      </c>
      <c r="F2373" t="s">
        <v>234</v>
      </c>
      <c r="G2373" t="s">
        <v>452</v>
      </c>
      <c r="H2373" t="s">
        <v>453</v>
      </c>
      <c r="I2373" t="s">
        <v>454</v>
      </c>
    </row>
    <row r="2374" spans="1:9" x14ac:dyDescent="0.25">
      <c r="A2374" s="1" t="str">
        <f>HYPERLINK("https://lynxcrm-apac--c.eu19.visual.force.com/0011i000001xn8SAAQ","Ku Kidney &amp; Medical Centre")</f>
        <v>Ku Kidney &amp; Medical Centre</v>
      </c>
      <c r="B2374" t="s">
        <v>5125</v>
      </c>
      <c r="C2374" t="s">
        <v>10</v>
      </c>
      <c r="D2374" t="s">
        <v>8</v>
      </c>
      <c r="E2374" t="s">
        <v>8</v>
      </c>
      <c r="F2374" t="s">
        <v>377</v>
      </c>
      <c r="G2374" t="s">
        <v>5126</v>
      </c>
      <c r="H2374" t="s">
        <v>4217</v>
      </c>
      <c r="I2374" t="s">
        <v>123</v>
      </c>
    </row>
    <row r="2375" spans="1:9" x14ac:dyDescent="0.25">
      <c r="A2375" s="1" t="str">
        <f>HYPERLINK("https://lynxcrm-apac--c.eu19.visual.force.com/0011i000001xnyPAAQ","Kum, Cheng Kiong")</f>
        <v>Kum, Cheng Kiong</v>
      </c>
      <c r="B2375" t="s">
        <v>5127</v>
      </c>
      <c r="C2375" t="s">
        <v>28</v>
      </c>
      <c r="D2375" t="s">
        <v>5128</v>
      </c>
      <c r="E2375" t="s">
        <v>8</v>
      </c>
      <c r="F2375" t="s">
        <v>69</v>
      </c>
      <c r="G2375" t="s">
        <v>5129</v>
      </c>
      <c r="H2375" t="s">
        <v>5130</v>
      </c>
      <c r="I2375" t="s">
        <v>67</v>
      </c>
    </row>
    <row r="2376" spans="1:9" x14ac:dyDescent="0.25">
      <c r="A2376" s="1" t="str">
        <f>HYPERLINK("https://lynxcrm-apac--c.eu19.visual.force.com/0011i000001xo2aAAA","Kumar, Jothi")</f>
        <v>Kumar, Jothi</v>
      </c>
      <c r="B2376" t="s">
        <v>5131</v>
      </c>
      <c r="C2376" t="s">
        <v>28</v>
      </c>
      <c r="D2376" t="s">
        <v>5132</v>
      </c>
      <c r="E2376" t="s">
        <v>8</v>
      </c>
      <c r="F2376" t="s">
        <v>469</v>
      </c>
      <c r="G2376" t="s">
        <v>5133</v>
      </c>
      <c r="H2376" t="s">
        <v>5134</v>
      </c>
      <c r="I2376" t="s">
        <v>466</v>
      </c>
    </row>
    <row r="2377" spans="1:9" x14ac:dyDescent="0.25">
      <c r="A2377" s="1" t="str">
        <f>HYPERLINK("https://lynxcrm-apac--c.eu19.visual.force.com/0011i00000l5W6xAAE","Kumar, Prem")</f>
        <v>Kumar, Prem</v>
      </c>
      <c r="B2377" t="s">
        <v>5135</v>
      </c>
      <c r="C2377" t="s">
        <v>28</v>
      </c>
      <c r="D2377" t="s">
        <v>5136</v>
      </c>
      <c r="E2377" t="s">
        <v>8</v>
      </c>
      <c r="F2377" t="s">
        <v>5137</v>
      </c>
      <c r="G2377" t="s">
        <v>2979</v>
      </c>
      <c r="H2377" t="s">
        <v>8</v>
      </c>
      <c r="I2377" t="s">
        <v>5138</v>
      </c>
    </row>
    <row r="2378" spans="1:9" x14ac:dyDescent="0.25">
      <c r="A2378" s="1" t="str">
        <f>HYPERLINK("https://lynxcrm-apac--c.eu19.visual.force.com/0011i000001xo9gAAA","Kumarapathy, Subramaniam")</f>
        <v>Kumarapathy, Subramaniam</v>
      </c>
      <c r="B2378" t="s">
        <v>5139</v>
      </c>
      <c r="C2378" t="s">
        <v>28</v>
      </c>
      <c r="D2378" t="s">
        <v>368</v>
      </c>
      <c r="E2378" t="s">
        <v>8</v>
      </c>
      <c r="F2378" t="s">
        <v>252</v>
      </c>
      <c r="G2378" t="s">
        <v>251</v>
      </c>
      <c r="H2378" t="s">
        <v>251</v>
      </c>
      <c r="I2378" t="s">
        <v>253</v>
      </c>
    </row>
    <row r="2379" spans="1:9" x14ac:dyDescent="0.25">
      <c r="A2379" s="1" t="str">
        <f>HYPERLINK("https://lynxcrm-apac--c.eu19.visual.force.com/0011i000001xo9gAAA","Kumarapathy, Subramaniam")</f>
        <v>Kumarapathy, Subramaniam</v>
      </c>
      <c r="B2379" t="s">
        <v>5139</v>
      </c>
      <c r="C2379" t="s">
        <v>28</v>
      </c>
      <c r="D2379" t="s">
        <v>251</v>
      </c>
      <c r="E2379" t="s">
        <v>8</v>
      </c>
      <c r="F2379" t="s">
        <v>251</v>
      </c>
      <c r="G2379" t="s">
        <v>252</v>
      </c>
      <c r="H2379" t="s">
        <v>252</v>
      </c>
      <c r="I2379" t="s">
        <v>253</v>
      </c>
    </row>
    <row r="2380" spans="1:9" x14ac:dyDescent="0.25">
      <c r="A2380" s="1" t="str">
        <f>HYPERLINK("https://lynxcrm-apac--c.eu19.visual.force.com/0011i000001xoMSAAY","Kunaratnam, N")</f>
        <v>Kunaratnam, N</v>
      </c>
      <c r="B2380" t="s">
        <v>5140</v>
      </c>
      <c r="C2380" t="s">
        <v>28</v>
      </c>
      <c r="D2380" t="s">
        <v>251</v>
      </c>
      <c r="E2380" t="s">
        <v>8</v>
      </c>
      <c r="F2380" t="s">
        <v>251</v>
      </c>
      <c r="G2380" t="s">
        <v>252</v>
      </c>
      <c r="H2380" t="s">
        <v>252</v>
      </c>
      <c r="I2380" t="s">
        <v>253</v>
      </c>
    </row>
    <row r="2381" spans="1:9" x14ac:dyDescent="0.25">
      <c r="A2381" s="1" t="str">
        <f>HYPERLINK("https://lynxcrm-apac--c.eu19.visual.force.com/0011i000001xoMSAAY","Kunaratnam, N")</f>
        <v>Kunaratnam, N</v>
      </c>
      <c r="B2381" t="s">
        <v>5140</v>
      </c>
      <c r="C2381" t="s">
        <v>28</v>
      </c>
      <c r="D2381" t="s">
        <v>251</v>
      </c>
      <c r="E2381" t="s">
        <v>8</v>
      </c>
      <c r="F2381" t="s">
        <v>514</v>
      </c>
      <c r="G2381" t="s">
        <v>252</v>
      </c>
      <c r="H2381" t="s">
        <v>252</v>
      </c>
      <c r="I2381" t="s">
        <v>253</v>
      </c>
    </row>
    <row r="2382" spans="1:9" x14ac:dyDescent="0.25">
      <c r="A2382" s="1" t="str">
        <f>HYPERLINK("https://lynxcrm-apac--c.eu19.visual.force.com/0011i000001xoZQAAY","Kung, Jian Ming")</f>
        <v>Kung, Jian Ming</v>
      </c>
      <c r="B2382" t="s">
        <v>5141</v>
      </c>
      <c r="C2382" t="s">
        <v>28</v>
      </c>
      <c r="D2382" t="s">
        <v>1661</v>
      </c>
      <c r="E2382" t="s">
        <v>8</v>
      </c>
      <c r="F2382" t="s">
        <v>627</v>
      </c>
      <c r="G2382" t="s">
        <v>628</v>
      </c>
      <c r="H2382" t="s">
        <v>628</v>
      </c>
      <c r="I2382" t="s">
        <v>624</v>
      </c>
    </row>
    <row r="2383" spans="1:9" x14ac:dyDescent="0.25">
      <c r="A2383" s="1" t="str">
        <f>HYPERLINK("https://lynxcrm-apac--c.eu19.visual.force.com/0011i000001xnvPAAQ","Kuo, Chung-Liang")</f>
        <v>Kuo, Chung-Liang</v>
      </c>
      <c r="B2383" t="s">
        <v>5142</v>
      </c>
      <c r="C2383" t="s">
        <v>28</v>
      </c>
      <c r="D2383" t="s">
        <v>583</v>
      </c>
      <c r="E2383" t="s">
        <v>8</v>
      </c>
      <c r="F2383" t="s">
        <v>583</v>
      </c>
      <c r="G2383" t="s">
        <v>584</v>
      </c>
      <c r="H2383" t="s">
        <v>584</v>
      </c>
      <c r="I2383" t="s">
        <v>585</v>
      </c>
    </row>
    <row r="2384" spans="1:9" x14ac:dyDescent="0.25">
      <c r="A2384" s="1" t="str">
        <f>HYPERLINK("https://lynxcrm-apac--c.eu19.visual.force.com/0011i000001xnrWAAQ","Kurumbian, Chandran")</f>
        <v>Kurumbian, Chandran</v>
      </c>
      <c r="B2384" t="s">
        <v>5143</v>
      </c>
      <c r="C2384" t="s">
        <v>28</v>
      </c>
      <c r="D2384" t="s">
        <v>662</v>
      </c>
      <c r="E2384" t="s">
        <v>8</v>
      </c>
      <c r="F2384" t="s">
        <v>662</v>
      </c>
      <c r="G2384" t="s">
        <v>663</v>
      </c>
      <c r="H2384" t="s">
        <v>663</v>
      </c>
      <c r="I2384" t="s">
        <v>664</v>
      </c>
    </row>
    <row r="2385" spans="1:9" x14ac:dyDescent="0.25">
      <c r="A2385" s="1" t="str">
        <f>HYPERLINK("https://lynxcrm-apac--c.eu19.visual.force.com/0011i000001xo9jAAA","Kurup, Bina (Mrs Kumar)")</f>
        <v>Kurup, Bina (Mrs Kumar)</v>
      </c>
      <c r="B2385" t="s">
        <v>5144</v>
      </c>
      <c r="C2385" t="s">
        <v>28</v>
      </c>
      <c r="D2385" t="s">
        <v>1333</v>
      </c>
      <c r="E2385" t="s">
        <v>8</v>
      </c>
      <c r="F2385" t="s">
        <v>5145</v>
      </c>
      <c r="G2385" t="s">
        <v>5146</v>
      </c>
      <c r="H2385" t="s">
        <v>5146</v>
      </c>
      <c r="I2385" t="s">
        <v>5147</v>
      </c>
    </row>
    <row r="2386" spans="1:9" x14ac:dyDescent="0.25">
      <c r="A2386" s="1" t="str">
        <f>HYPERLINK("https://lynxcrm-apac--c.eu19.visual.force.com/0011i000001xorSAAQ","Kwan, Pak Mun")</f>
        <v>Kwan, Pak Mun</v>
      </c>
      <c r="B2386" t="s">
        <v>5148</v>
      </c>
      <c r="C2386" t="s">
        <v>28</v>
      </c>
      <c r="D2386" t="s">
        <v>5149</v>
      </c>
      <c r="E2386" t="s">
        <v>8</v>
      </c>
      <c r="F2386" t="s">
        <v>5150</v>
      </c>
      <c r="G2386" t="s">
        <v>749</v>
      </c>
      <c r="H2386" t="s">
        <v>5151</v>
      </c>
      <c r="I2386" t="s">
        <v>5152</v>
      </c>
    </row>
    <row r="2387" spans="1:9" x14ac:dyDescent="0.25">
      <c r="A2387" s="1" t="str">
        <f>HYPERLINK("https://lynxcrm-apac--c.eu19.visual.force.com/0011i000001xoK8AAI","Kwan, Pek Yee")</f>
        <v>Kwan, Pek Yee</v>
      </c>
      <c r="B2387" t="s">
        <v>5153</v>
      </c>
      <c r="C2387" t="s">
        <v>28</v>
      </c>
      <c r="D2387" t="s">
        <v>12</v>
      </c>
      <c r="E2387" t="s">
        <v>8</v>
      </c>
      <c r="F2387" t="s">
        <v>11</v>
      </c>
      <c r="G2387" t="s">
        <v>11</v>
      </c>
      <c r="H2387" t="s">
        <v>8</v>
      </c>
      <c r="I2387" t="s">
        <v>13</v>
      </c>
    </row>
    <row r="2388" spans="1:9" x14ac:dyDescent="0.25">
      <c r="A2388" s="1" t="str">
        <f>HYPERLINK("https://lynxcrm-apac--c.eu19.visual.force.com/0011i000001xocxAAA","Kwan, Yann Haur Sebastian")</f>
        <v>Kwan, Yann Haur Sebastian</v>
      </c>
      <c r="B2388" t="s">
        <v>5154</v>
      </c>
      <c r="C2388" t="s">
        <v>28</v>
      </c>
      <c r="D2388" t="s">
        <v>5155</v>
      </c>
      <c r="E2388" t="s">
        <v>8</v>
      </c>
      <c r="F2388" t="s">
        <v>5156</v>
      </c>
      <c r="G2388" t="s">
        <v>3429</v>
      </c>
      <c r="H2388" t="s">
        <v>5157</v>
      </c>
      <c r="I2388" t="s">
        <v>5158</v>
      </c>
    </row>
    <row r="2389" spans="1:9" x14ac:dyDescent="0.25">
      <c r="A2389" s="1" t="str">
        <f>HYPERLINK("https://lynxcrm-apac--c.eu19.visual.force.com/0011i000001xoVZAAY","Kwan, Yew Seng")</f>
        <v>Kwan, Yew Seng</v>
      </c>
      <c r="B2389" t="s">
        <v>5159</v>
      </c>
      <c r="C2389" t="s">
        <v>28</v>
      </c>
      <c r="D2389" t="s">
        <v>5160</v>
      </c>
      <c r="E2389" t="s">
        <v>8</v>
      </c>
      <c r="F2389" t="s">
        <v>820</v>
      </c>
      <c r="G2389" t="s">
        <v>820</v>
      </c>
      <c r="H2389" t="s">
        <v>821</v>
      </c>
      <c r="I2389" t="s">
        <v>822</v>
      </c>
    </row>
    <row r="2390" spans="1:9" x14ac:dyDescent="0.25">
      <c r="A2390" s="1" t="str">
        <f>HYPERLINK("https://lynxcrm-apac--c.eu19.visual.force.com/0011i000001xoOcAAI","Kwan, Yun Xin")</f>
        <v>Kwan, Yun Xin</v>
      </c>
      <c r="B2390" t="s">
        <v>5161</v>
      </c>
      <c r="C2390" t="s">
        <v>28</v>
      </c>
      <c r="D2390" t="s">
        <v>261</v>
      </c>
      <c r="E2390" t="s">
        <v>8</v>
      </c>
      <c r="F2390" t="s">
        <v>261</v>
      </c>
      <c r="G2390" t="s">
        <v>347</v>
      </c>
      <c r="H2390" t="s">
        <v>347</v>
      </c>
      <c r="I2390" t="s">
        <v>260</v>
      </c>
    </row>
    <row r="2391" spans="1:9" x14ac:dyDescent="0.25">
      <c r="A2391" s="1" t="str">
        <f>HYPERLINK("https://lynxcrm-apac--c.eu19.visual.force.com/0011i000001xmcyAAA","K W Chan Medical Clinic &amp; Surgery")</f>
        <v>K W Chan Medical Clinic &amp; Surgery</v>
      </c>
      <c r="B2391" t="s">
        <v>5162</v>
      </c>
      <c r="C2391" t="s">
        <v>10</v>
      </c>
      <c r="D2391" t="s">
        <v>8</v>
      </c>
      <c r="E2391" t="s">
        <v>8</v>
      </c>
      <c r="F2391" t="s">
        <v>5163</v>
      </c>
      <c r="G2391" t="s">
        <v>5164</v>
      </c>
      <c r="H2391" t="s">
        <v>5165</v>
      </c>
      <c r="I2391" t="s">
        <v>5166</v>
      </c>
    </row>
    <row r="2392" spans="1:9" x14ac:dyDescent="0.25">
      <c r="A2392" s="1" t="str">
        <f>HYPERLINK("https://lynxcrm-apac--c.eu19.visual.force.com/0011i000001xorVAAQ","Kwee, Lee Edmund")</f>
        <v>Kwee, Lee Edmund</v>
      </c>
      <c r="B2392" t="s">
        <v>5167</v>
      </c>
      <c r="C2392" t="s">
        <v>28</v>
      </c>
      <c r="D2392" t="s">
        <v>184</v>
      </c>
      <c r="E2392" t="s">
        <v>8</v>
      </c>
      <c r="F2392" t="s">
        <v>183</v>
      </c>
      <c r="G2392" t="s">
        <v>183</v>
      </c>
      <c r="H2392" t="s">
        <v>1003</v>
      </c>
      <c r="I2392" t="s">
        <v>185</v>
      </c>
    </row>
    <row r="2393" spans="1:9" x14ac:dyDescent="0.25">
      <c r="A2393" s="1" t="str">
        <f>HYPERLINK("https://lynxcrm-apac--c.eu19.visual.force.com/0011i000001xo9nAAA","Kwee, Wee Hock David")</f>
        <v>Kwee, Wee Hock David</v>
      </c>
      <c r="B2393" t="s">
        <v>5168</v>
      </c>
      <c r="C2393" t="s">
        <v>28</v>
      </c>
      <c r="D2393" t="s">
        <v>184</v>
      </c>
      <c r="E2393" t="s">
        <v>8</v>
      </c>
      <c r="F2393" t="s">
        <v>183</v>
      </c>
      <c r="G2393" t="s">
        <v>183</v>
      </c>
      <c r="H2393" t="s">
        <v>1003</v>
      </c>
      <c r="I2393" t="s">
        <v>5169</v>
      </c>
    </row>
    <row r="2394" spans="1:9" x14ac:dyDescent="0.25">
      <c r="A2394" s="1" t="str">
        <f>HYPERLINK("https://lynxcrm-apac--c.eu19.visual.force.com/0011i000001xodqAAA","Kwek, Beng Kee Ernest")</f>
        <v>Kwek, Beng Kee Ernest</v>
      </c>
      <c r="B2394" t="s">
        <v>5170</v>
      </c>
      <c r="C2394" t="s">
        <v>28</v>
      </c>
      <c r="D2394" t="s">
        <v>261</v>
      </c>
      <c r="E2394" t="s">
        <v>8</v>
      </c>
      <c r="F2394" t="s">
        <v>261</v>
      </c>
      <c r="G2394" t="s">
        <v>347</v>
      </c>
      <c r="H2394" t="s">
        <v>347</v>
      </c>
      <c r="I2394" t="s">
        <v>260</v>
      </c>
    </row>
    <row r="2395" spans="1:9" x14ac:dyDescent="0.25">
      <c r="A2395" s="1" t="str">
        <f>HYPERLINK("https://lynxcrm-apac--c.eu19.visual.force.com/0011i000001xooHAAQ","Kwek, Boon Chow")</f>
        <v>Kwek, Boon Chow</v>
      </c>
      <c r="B2395" t="s">
        <v>5171</v>
      </c>
      <c r="C2395" t="s">
        <v>28</v>
      </c>
      <c r="D2395" t="s">
        <v>3597</v>
      </c>
      <c r="E2395" t="s">
        <v>8</v>
      </c>
      <c r="F2395" t="s">
        <v>3598</v>
      </c>
      <c r="G2395" t="s">
        <v>3598</v>
      </c>
      <c r="H2395" t="s">
        <v>8</v>
      </c>
      <c r="I2395" t="s">
        <v>3599</v>
      </c>
    </row>
    <row r="2396" spans="1:9" x14ac:dyDescent="0.25">
      <c r="A2396" s="1" t="str">
        <f>HYPERLINK("https://lynxcrm-apac--c.eu19.visual.force.com/0011i000001xot3AAA","Kwek, Sing Cheer")</f>
        <v>Kwek, Sing Cheer</v>
      </c>
      <c r="B2396" t="s">
        <v>5172</v>
      </c>
      <c r="C2396" t="s">
        <v>28</v>
      </c>
      <c r="D2396" t="s">
        <v>148</v>
      </c>
      <c r="E2396" t="s">
        <v>8</v>
      </c>
      <c r="F2396" t="s">
        <v>736</v>
      </c>
      <c r="G2396" t="s">
        <v>736</v>
      </c>
      <c r="H2396" t="s">
        <v>8</v>
      </c>
      <c r="I2396" t="s">
        <v>149</v>
      </c>
    </row>
    <row r="2397" spans="1:9" x14ac:dyDescent="0.25">
      <c r="A2397" s="1" t="str">
        <f>HYPERLINK("https://lynxcrm-apac--c.eu19.visual.force.com/0011i00000ugBFqAAM","Kwek, Suat Yee")</f>
        <v>Kwek, Suat Yee</v>
      </c>
      <c r="B2397" t="s">
        <v>5173</v>
      </c>
      <c r="C2397" t="s">
        <v>28</v>
      </c>
      <c r="D2397" t="s">
        <v>8</v>
      </c>
      <c r="E2397" t="s">
        <v>8</v>
      </c>
      <c r="F2397" t="s">
        <v>1123</v>
      </c>
      <c r="G2397" t="s">
        <v>1123</v>
      </c>
      <c r="H2397" t="s">
        <v>1124</v>
      </c>
      <c r="I2397" t="s">
        <v>703</v>
      </c>
    </row>
    <row r="2398" spans="1:9" x14ac:dyDescent="0.25">
      <c r="A2398" s="1" t="str">
        <f>HYPERLINK("https://lynxcrm-apac--c.eu19.visual.force.com/0011i00000ugBFqAAM","Kwek, Suat Yee")</f>
        <v>Kwek, Suat Yee</v>
      </c>
      <c r="B2398" t="s">
        <v>5173</v>
      </c>
      <c r="C2398" t="s">
        <v>28</v>
      </c>
      <c r="D2398" t="s">
        <v>701</v>
      </c>
      <c r="E2398" t="s">
        <v>8</v>
      </c>
      <c r="F2398" t="s">
        <v>1123</v>
      </c>
      <c r="G2398" t="s">
        <v>1123</v>
      </c>
      <c r="H2398" t="s">
        <v>1124</v>
      </c>
      <c r="I2398" t="s">
        <v>703</v>
      </c>
    </row>
    <row r="2399" spans="1:9" x14ac:dyDescent="0.25">
      <c r="A2399" s="1" t="str">
        <f>HYPERLINK("https://lynxcrm-apac--c.eu19.visual.force.com/0011i000001xorcAAA","Kwek, Thiam Soo")</f>
        <v>Kwek, Thiam Soo</v>
      </c>
      <c r="B2399" t="s">
        <v>5174</v>
      </c>
      <c r="C2399" t="s">
        <v>28</v>
      </c>
      <c r="D2399" t="s">
        <v>5175</v>
      </c>
      <c r="E2399" t="s">
        <v>8</v>
      </c>
      <c r="F2399" t="s">
        <v>984</v>
      </c>
      <c r="G2399" t="s">
        <v>985</v>
      </c>
      <c r="H2399" t="s">
        <v>986</v>
      </c>
      <c r="I2399" t="s">
        <v>987</v>
      </c>
    </row>
    <row r="2400" spans="1:9" x14ac:dyDescent="0.25">
      <c r="A2400" s="1" t="str">
        <f>HYPERLINK("https://lynxcrm-apac--c.eu19.visual.force.com/0011i000001xnisAAA","Kwok, Cecilia")</f>
        <v>Kwok, Cecilia</v>
      </c>
      <c r="B2400" t="s">
        <v>5176</v>
      </c>
      <c r="C2400" t="s">
        <v>28</v>
      </c>
      <c r="D2400" t="s">
        <v>251</v>
      </c>
      <c r="E2400" t="s">
        <v>8</v>
      </c>
      <c r="F2400" t="s">
        <v>251</v>
      </c>
      <c r="G2400" t="s">
        <v>252</v>
      </c>
      <c r="H2400" t="s">
        <v>252</v>
      </c>
      <c r="I2400" t="s">
        <v>253</v>
      </c>
    </row>
    <row r="2401" spans="1:9" x14ac:dyDescent="0.25">
      <c r="A2401" s="1" t="str">
        <f>HYPERLINK("https://lynxcrm-apac--c.eu19.visual.force.com/0011i000001xoaZAAQ","Kwok, Mun Choy Kevin")</f>
        <v>Kwok, Mun Choy Kevin</v>
      </c>
      <c r="B2401" t="s">
        <v>5177</v>
      </c>
      <c r="C2401" t="s">
        <v>28</v>
      </c>
      <c r="D2401" t="s">
        <v>5178</v>
      </c>
      <c r="E2401" t="s">
        <v>8</v>
      </c>
      <c r="F2401" t="s">
        <v>5179</v>
      </c>
      <c r="G2401" t="s">
        <v>5180</v>
      </c>
      <c r="H2401" t="s">
        <v>5181</v>
      </c>
      <c r="I2401" t="s">
        <v>5182</v>
      </c>
    </row>
    <row r="2402" spans="1:9" x14ac:dyDescent="0.25">
      <c r="A2402" s="1" t="str">
        <f>HYPERLINK("https://lynxcrm-apac--c.eu19.visual.force.com/0011i000001xoPqAAI","Kwok, Weng Fai")</f>
        <v>Kwok, Weng Fai</v>
      </c>
      <c r="B2402" t="s">
        <v>5183</v>
      </c>
      <c r="C2402" t="s">
        <v>28</v>
      </c>
      <c r="D2402" t="s">
        <v>5178</v>
      </c>
      <c r="E2402" t="s">
        <v>8</v>
      </c>
      <c r="F2402" t="s">
        <v>5179</v>
      </c>
      <c r="G2402" t="s">
        <v>5180</v>
      </c>
      <c r="H2402" t="s">
        <v>5181</v>
      </c>
      <c r="I2402" t="s">
        <v>5182</v>
      </c>
    </row>
    <row r="2403" spans="1:9" x14ac:dyDescent="0.25">
      <c r="A2403" s="1" t="str">
        <f>HYPERLINK("https://lynxcrm-apac--c.eu19.visual.force.com/0011i000001xo2eAAA","Kwok, Wing Kuin Bernard")</f>
        <v>Kwok, Wing Kuin Bernard</v>
      </c>
      <c r="B2403" t="s">
        <v>5184</v>
      </c>
      <c r="C2403" t="s">
        <v>28</v>
      </c>
      <c r="D2403" t="s">
        <v>5185</v>
      </c>
      <c r="E2403" t="s">
        <v>8</v>
      </c>
      <c r="F2403" t="s">
        <v>4662</v>
      </c>
      <c r="G2403" t="s">
        <v>5186</v>
      </c>
      <c r="H2403" t="s">
        <v>5187</v>
      </c>
      <c r="I2403" t="s">
        <v>1803</v>
      </c>
    </row>
    <row r="2404" spans="1:9" x14ac:dyDescent="0.25">
      <c r="A2404" s="1" t="str">
        <f>HYPERLINK("https://lynxcrm-apac--c.eu19.visual.force.com/0011i000001xoejAAA","Kwong, Seh Meng")</f>
        <v>Kwong, Seh Meng</v>
      </c>
      <c r="B2404" t="s">
        <v>5188</v>
      </c>
      <c r="C2404" t="s">
        <v>28</v>
      </c>
      <c r="D2404" t="s">
        <v>5189</v>
      </c>
      <c r="E2404" t="s">
        <v>8</v>
      </c>
      <c r="F2404" t="s">
        <v>5190</v>
      </c>
      <c r="G2404" t="s">
        <v>5190</v>
      </c>
      <c r="H2404" t="s">
        <v>8</v>
      </c>
      <c r="I2404" t="s">
        <v>5191</v>
      </c>
    </row>
    <row r="2405" spans="1:9" x14ac:dyDescent="0.25">
      <c r="A2405" s="1" t="str">
        <f>HYPERLINK("https://lynxcrm-apac--c.eu19.visual.force.com/0011i000001xoZyAAI","Kyi, Myint Myint")</f>
        <v>Kyi, Myint Myint</v>
      </c>
      <c r="B2405" t="s">
        <v>5192</v>
      </c>
      <c r="C2405" t="s">
        <v>28</v>
      </c>
      <c r="D2405" t="s">
        <v>261</v>
      </c>
      <c r="E2405" t="s">
        <v>8</v>
      </c>
      <c r="F2405" t="s">
        <v>258</v>
      </c>
      <c r="G2405" t="s">
        <v>261</v>
      </c>
      <c r="H2405" t="s">
        <v>261</v>
      </c>
      <c r="I2405" t="s">
        <v>260</v>
      </c>
    </row>
    <row r="2406" spans="1:9" x14ac:dyDescent="0.25">
      <c r="A2406" s="1" t="str">
        <f>HYPERLINK("https://lynxcrm-apac--c.eu19.visual.force.com/0011i000001xoZyAAI","Kyi, Myint Myint")</f>
        <v>Kyi, Myint Myint</v>
      </c>
      <c r="B2406" t="s">
        <v>5192</v>
      </c>
      <c r="C2406" t="s">
        <v>28</v>
      </c>
      <c r="D2406" t="s">
        <v>261</v>
      </c>
      <c r="E2406" t="s">
        <v>8</v>
      </c>
      <c r="F2406" t="s">
        <v>261</v>
      </c>
      <c r="G2406" t="s">
        <v>347</v>
      </c>
      <c r="H2406" t="s">
        <v>347</v>
      </c>
      <c r="I2406" t="s">
        <v>260</v>
      </c>
    </row>
    <row r="2407" spans="1:9" x14ac:dyDescent="0.25">
      <c r="A2407" s="1" t="str">
        <f>HYPERLINK("https://lynxcrm-apac--c.eu19.visual.force.com/0011i000001xo4LAAQ","Kyu, Kyu")</f>
        <v>Kyu, Kyu</v>
      </c>
      <c r="B2407" t="s">
        <v>5193</v>
      </c>
      <c r="C2407" t="s">
        <v>28</v>
      </c>
      <c r="D2407" t="s">
        <v>429</v>
      </c>
      <c r="E2407" t="s">
        <v>8</v>
      </c>
      <c r="F2407" t="s">
        <v>234</v>
      </c>
      <c r="G2407" t="s">
        <v>428</v>
      </c>
      <c r="H2407" t="s">
        <v>428</v>
      </c>
      <c r="I2407" t="s">
        <v>430</v>
      </c>
    </row>
    <row r="2408" spans="1:9" x14ac:dyDescent="0.25">
      <c r="A2408" s="1" t="str">
        <f>HYPERLINK("https://lynxcrm-apac--c.eu19.visual.force.com/0011i000001xnBvAAI","L &amp; L Family Medicine Clinic")</f>
        <v>L &amp; L Family Medicine Clinic</v>
      </c>
      <c r="B2408" t="s">
        <v>5194</v>
      </c>
      <c r="C2408" t="s">
        <v>10</v>
      </c>
      <c r="D2408" t="s">
        <v>8</v>
      </c>
      <c r="E2408" t="s">
        <v>8</v>
      </c>
      <c r="F2408" t="s">
        <v>5195</v>
      </c>
      <c r="G2408" t="s">
        <v>5196</v>
      </c>
      <c r="H2408" t="s">
        <v>5196</v>
      </c>
      <c r="I2408" t="s">
        <v>740</v>
      </c>
    </row>
    <row r="2409" spans="1:9" x14ac:dyDescent="0.25">
      <c r="A2409" s="1" t="str">
        <f>HYPERLINK("https://lynxcrm-apac--c.eu19.visual.force.com/0011i000001xnBvAAI","L &amp; L Family Medicine Clinic")</f>
        <v>L &amp; L Family Medicine Clinic</v>
      </c>
      <c r="B2409" t="s">
        <v>5194</v>
      </c>
      <c r="C2409" t="s">
        <v>10</v>
      </c>
      <c r="D2409" t="s">
        <v>8</v>
      </c>
      <c r="E2409" t="s">
        <v>8</v>
      </c>
      <c r="F2409" t="s">
        <v>5197</v>
      </c>
      <c r="G2409" t="s">
        <v>5198</v>
      </c>
      <c r="H2409" t="s">
        <v>5199</v>
      </c>
      <c r="I2409" t="s">
        <v>740</v>
      </c>
    </row>
    <row r="2410" spans="1:9" x14ac:dyDescent="0.25">
      <c r="A2410" s="1" t="str">
        <f>HYPERLINK("https://lynxcrm-apac--c.eu19.visual.force.com/0011i000001xo2fAAA","Lai, Choon Hin")</f>
        <v>Lai, Choon Hin</v>
      </c>
      <c r="B2410" t="s">
        <v>5200</v>
      </c>
      <c r="C2410" t="s">
        <v>28</v>
      </c>
      <c r="D2410" t="s">
        <v>5201</v>
      </c>
      <c r="E2410" t="s">
        <v>8</v>
      </c>
      <c r="F2410" t="s">
        <v>5202</v>
      </c>
      <c r="G2410" t="s">
        <v>1838</v>
      </c>
      <c r="H2410" t="s">
        <v>1838</v>
      </c>
      <c r="I2410" t="s">
        <v>344</v>
      </c>
    </row>
    <row r="2411" spans="1:9" x14ac:dyDescent="0.25">
      <c r="A2411" s="1" t="str">
        <f>HYPERLINK("https://lynxcrm-apac--c.eu19.visual.force.com/0011i000001xorlAAA","Lai, Fei Lin")</f>
        <v>Lai, Fei Lin</v>
      </c>
      <c r="B2411" t="s">
        <v>5203</v>
      </c>
      <c r="C2411" t="s">
        <v>28</v>
      </c>
      <c r="D2411" t="s">
        <v>5204</v>
      </c>
      <c r="E2411" t="s">
        <v>8</v>
      </c>
      <c r="F2411" t="s">
        <v>5205</v>
      </c>
      <c r="G2411" t="s">
        <v>5206</v>
      </c>
      <c r="H2411" t="s">
        <v>5206</v>
      </c>
      <c r="I2411" t="s">
        <v>5207</v>
      </c>
    </row>
    <row r="2412" spans="1:9" x14ac:dyDescent="0.25">
      <c r="A2412" s="1" t="str">
        <f>HYPERLINK("https://lynxcrm-apac--c.eu19.visual.force.com/0011i000001xo2gAAA","Lai, Fon Min")</f>
        <v>Lai, Fon Min</v>
      </c>
      <c r="B2412" t="s">
        <v>5208</v>
      </c>
      <c r="C2412" t="s">
        <v>28</v>
      </c>
      <c r="D2412" t="s">
        <v>5209</v>
      </c>
      <c r="E2412" t="s">
        <v>8</v>
      </c>
      <c r="F2412" t="s">
        <v>1849</v>
      </c>
      <c r="G2412" t="s">
        <v>4532</v>
      </c>
      <c r="H2412" t="s">
        <v>5210</v>
      </c>
      <c r="I2412" t="s">
        <v>51</v>
      </c>
    </row>
    <row r="2413" spans="1:9" x14ac:dyDescent="0.25">
      <c r="A2413" s="1" t="str">
        <f>HYPERLINK("https://lynxcrm-apac--c.eu19.visual.force.com/0011i000001xoZXAAY","Lai, Hock Choong")</f>
        <v>Lai, Hock Choong</v>
      </c>
      <c r="B2413" t="s">
        <v>5211</v>
      </c>
      <c r="C2413" t="s">
        <v>28</v>
      </c>
      <c r="D2413" t="s">
        <v>261</v>
      </c>
      <c r="E2413" t="s">
        <v>8</v>
      </c>
      <c r="F2413" t="s">
        <v>261</v>
      </c>
      <c r="G2413" t="s">
        <v>347</v>
      </c>
      <c r="H2413" t="s">
        <v>347</v>
      </c>
      <c r="I2413" t="s">
        <v>260</v>
      </c>
    </row>
    <row r="2414" spans="1:9" x14ac:dyDescent="0.25">
      <c r="A2414" s="1" t="str">
        <f>HYPERLINK("https://lynxcrm-apac--c.eu19.visual.force.com/0011i000001xoZXAAY","Lai, Hock Choong")</f>
        <v>Lai, Hock Choong</v>
      </c>
      <c r="B2414" t="s">
        <v>5211</v>
      </c>
      <c r="C2414" t="s">
        <v>28</v>
      </c>
      <c r="D2414" t="s">
        <v>257</v>
      </c>
      <c r="E2414" t="s">
        <v>8</v>
      </c>
      <c r="F2414" t="s">
        <v>258</v>
      </c>
      <c r="G2414" t="s">
        <v>261</v>
      </c>
      <c r="H2414" t="s">
        <v>261</v>
      </c>
      <c r="I2414" t="s">
        <v>260</v>
      </c>
    </row>
    <row r="2415" spans="1:9" x14ac:dyDescent="0.25">
      <c r="A2415" s="1" t="str">
        <f>HYPERLINK("https://lynxcrm-apac--c.eu19.visual.force.com/0011i00000FIZpkAAH","Lai, Junxu")</f>
        <v>Lai, Junxu</v>
      </c>
      <c r="B2415" t="s">
        <v>5212</v>
      </c>
      <c r="C2415" t="s">
        <v>28</v>
      </c>
      <c r="D2415" t="s">
        <v>8</v>
      </c>
      <c r="E2415" t="s">
        <v>8</v>
      </c>
      <c r="F2415" t="s">
        <v>1849</v>
      </c>
      <c r="G2415" t="s">
        <v>5213</v>
      </c>
      <c r="H2415" t="s">
        <v>5214</v>
      </c>
      <c r="I2415" t="s">
        <v>51</v>
      </c>
    </row>
    <row r="2416" spans="1:9" x14ac:dyDescent="0.25">
      <c r="A2416" s="1" t="str">
        <f>HYPERLINK("https://lynxcrm-apac--c.eu19.visual.force.com/0011i00000FIZpkAAH","Lai, Junxu")</f>
        <v>Lai, Junxu</v>
      </c>
      <c r="B2416" t="s">
        <v>5212</v>
      </c>
      <c r="C2416" t="s">
        <v>28</v>
      </c>
      <c r="D2416" t="s">
        <v>5215</v>
      </c>
      <c r="E2416" t="s">
        <v>8</v>
      </c>
      <c r="F2416" t="s">
        <v>1849</v>
      </c>
      <c r="G2416" t="s">
        <v>5213</v>
      </c>
      <c r="H2416" t="s">
        <v>5214</v>
      </c>
      <c r="I2416" t="s">
        <v>51</v>
      </c>
    </row>
    <row r="2417" spans="1:9" x14ac:dyDescent="0.25">
      <c r="A2417" s="1" t="str">
        <f>HYPERLINK("https://lynxcrm-apac--c.eu19.visual.force.com/0011i000001xo9oAAA","Lai, Kok Wei")</f>
        <v>Lai, Kok Wei</v>
      </c>
      <c r="B2417" t="s">
        <v>5216</v>
      </c>
      <c r="C2417" t="s">
        <v>28</v>
      </c>
      <c r="D2417" t="s">
        <v>5217</v>
      </c>
      <c r="E2417" t="s">
        <v>8</v>
      </c>
      <c r="F2417" t="s">
        <v>5218</v>
      </c>
      <c r="G2417" t="s">
        <v>5219</v>
      </c>
      <c r="H2417" t="s">
        <v>5220</v>
      </c>
      <c r="I2417" t="s">
        <v>3102</v>
      </c>
    </row>
    <row r="2418" spans="1:9" x14ac:dyDescent="0.25">
      <c r="A2418" s="1" t="str">
        <f>HYPERLINK("https://lynxcrm-apac--c.eu19.visual.force.com/0011i000001xoPJAAY","Lai, Nai An")</f>
        <v>Lai, Nai An</v>
      </c>
      <c r="B2418" t="s">
        <v>5221</v>
      </c>
      <c r="C2418" t="s">
        <v>28</v>
      </c>
      <c r="D2418" t="s">
        <v>251</v>
      </c>
      <c r="E2418" t="s">
        <v>8</v>
      </c>
      <c r="F2418" t="s">
        <v>252</v>
      </c>
      <c r="G2418" t="s">
        <v>251</v>
      </c>
      <c r="H2418" t="s">
        <v>251</v>
      </c>
      <c r="I2418" t="s">
        <v>253</v>
      </c>
    </row>
    <row r="2419" spans="1:9" x14ac:dyDescent="0.25">
      <c r="A2419" s="1" t="str">
        <f>HYPERLINK("https://lynxcrm-apac--c.eu19.visual.force.com/0011i000001xoPJAAY","Lai, Nai An")</f>
        <v>Lai, Nai An</v>
      </c>
      <c r="B2419" t="s">
        <v>5221</v>
      </c>
      <c r="C2419" t="s">
        <v>28</v>
      </c>
      <c r="D2419" t="s">
        <v>251</v>
      </c>
      <c r="E2419" t="s">
        <v>8</v>
      </c>
      <c r="F2419" t="s">
        <v>251</v>
      </c>
      <c r="G2419" t="s">
        <v>252</v>
      </c>
      <c r="H2419" t="s">
        <v>252</v>
      </c>
      <c r="I2419" t="s">
        <v>253</v>
      </c>
    </row>
    <row r="2420" spans="1:9" x14ac:dyDescent="0.25">
      <c r="A2420" s="1" t="str">
        <f>HYPERLINK("https://lynxcrm-apac--c.eu19.visual.force.com/0011i000001xorsAAA","Lai, Oi Leng")</f>
        <v>Lai, Oi Leng</v>
      </c>
      <c r="B2420" t="s">
        <v>5222</v>
      </c>
      <c r="C2420" t="s">
        <v>28</v>
      </c>
      <c r="D2420" t="s">
        <v>5223</v>
      </c>
      <c r="E2420" t="s">
        <v>8</v>
      </c>
      <c r="F2420" t="s">
        <v>5224</v>
      </c>
      <c r="G2420" t="s">
        <v>4929</v>
      </c>
      <c r="H2420" t="s">
        <v>4929</v>
      </c>
      <c r="I2420" t="s">
        <v>5225</v>
      </c>
    </row>
    <row r="2421" spans="1:9" x14ac:dyDescent="0.25">
      <c r="A2421" s="1" t="str">
        <f>HYPERLINK("https://lynxcrm-apac--c.eu19.visual.force.com/0011i000001xnjoAAA","Lai, Shan Hui")</f>
        <v>Lai, Shan Hui</v>
      </c>
      <c r="B2421" t="s">
        <v>5226</v>
      </c>
      <c r="C2421" t="s">
        <v>28</v>
      </c>
      <c r="D2421" t="s">
        <v>520</v>
      </c>
      <c r="E2421" t="s">
        <v>8</v>
      </c>
      <c r="F2421" t="s">
        <v>90</v>
      </c>
      <c r="G2421" t="s">
        <v>521</v>
      </c>
      <c r="H2421" t="s">
        <v>521</v>
      </c>
      <c r="I2421" t="s">
        <v>92</v>
      </c>
    </row>
    <row r="2422" spans="1:9" x14ac:dyDescent="0.25">
      <c r="A2422" s="1" t="str">
        <f>HYPERLINK("https://lynxcrm-apac--c.eu19.visual.force.com/0011i000001xoSOAAY","Lai, Tien Yew Jeffrey")</f>
        <v>Lai, Tien Yew Jeffrey</v>
      </c>
      <c r="B2422" t="s">
        <v>5227</v>
      </c>
      <c r="C2422" t="s">
        <v>28</v>
      </c>
      <c r="D2422" t="s">
        <v>3575</v>
      </c>
      <c r="E2422" t="s">
        <v>8</v>
      </c>
      <c r="F2422" t="s">
        <v>1013</v>
      </c>
      <c r="G2422" t="s">
        <v>1013</v>
      </c>
      <c r="H2422" t="s">
        <v>8</v>
      </c>
      <c r="I2422" t="s">
        <v>1014</v>
      </c>
    </row>
    <row r="2423" spans="1:9" x14ac:dyDescent="0.25">
      <c r="A2423" s="1" t="str">
        <f>HYPERLINK("https://lynxcrm-apac--c.eu19.visual.force.com/0011i000001xoojAAA","Lai, Vincent")</f>
        <v>Lai, Vincent</v>
      </c>
      <c r="B2423" t="s">
        <v>5228</v>
      </c>
      <c r="C2423" t="s">
        <v>28</v>
      </c>
      <c r="D2423" t="s">
        <v>5229</v>
      </c>
      <c r="E2423" t="s">
        <v>8</v>
      </c>
      <c r="F2423" t="s">
        <v>3440</v>
      </c>
      <c r="G2423" t="s">
        <v>121</v>
      </c>
      <c r="H2423" t="s">
        <v>121</v>
      </c>
      <c r="I2423" t="s">
        <v>123</v>
      </c>
    </row>
    <row r="2424" spans="1:9" x14ac:dyDescent="0.25">
      <c r="A2424" s="1" t="str">
        <f>HYPERLINK("https://lynxcrm-apac--c.eu19.visual.force.com/0011i000001xorwAAA","Lai, Wee Lee")</f>
        <v>Lai, Wee Lee</v>
      </c>
      <c r="B2424" t="s">
        <v>5230</v>
      </c>
      <c r="C2424" t="s">
        <v>28</v>
      </c>
      <c r="D2424" t="s">
        <v>5231</v>
      </c>
      <c r="E2424" t="s">
        <v>8</v>
      </c>
      <c r="F2424" t="s">
        <v>5232</v>
      </c>
      <c r="G2424" t="s">
        <v>910</v>
      </c>
      <c r="H2424" t="s">
        <v>5233</v>
      </c>
      <c r="I2424" t="s">
        <v>5234</v>
      </c>
    </row>
    <row r="2425" spans="1:9" x14ac:dyDescent="0.25">
      <c r="A2425" s="1" t="str">
        <f>HYPERLINK("https://lynxcrm-apac--c.eu19.visual.force.com/0011i00000rasjQAAQ","Lai, Wern Sheng Maksim")</f>
        <v>Lai, Wern Sheng Maksim</v>
      </c>
      <c r="B2425" t="s">
        <v>5235</v>
      </c>
      <c r="C2425" t="s">
        <v>28</v>
      </c>
      <c r="D2425" t="s">
        <v>8</v>
      </c>
      <c r="E2425" t="s">
        <v>8</v>
      </c>
      <c r="F2425" t="s">
        <v>753</v>
      </c>
      <c r="G2425" t="s">
        <v>929</v>
      </c>
      <c r="H2425" t="s">
        <v>139</v>
      </c>
      <c r="I2425" t="s">
        <v>137</v>
      </c>
    </row>
    <row r="2426" spans="1:9" x14ac:dyDescent="0.25">
      <c r="A2426" s="1" t="str">
        <f>HYPERLINK("https://lynxcrm-apac--c.eu19.visual.force.com/0011i00000rasjQAAQ","Lai, Wern Sheng Maksim")</f>
        <v>Lai, Wern Sheng Maksim</v>
      </c>
      <c r="B2426" t="s">
        <v>5235</v>
      </c>
      <c r="C2426" t="s">
        <v>28</v>
      </c>
      <c r="D2426" t="s">
        <v>928</v>
      </c>
      <c r="E2426" t="s">
        <v>8</v>
      </c>
      <c r="F2426" t="s">
        <v>753</v>
      </c>
      <c r="G2426" t="s">
        <v>929</v>
      </c>
      <c r="H2426" t="s">
        <v>139</v>
      </c>
      <c r="I2426" t="s">
        <v>137</v>
      </c>
    </row>
    <row r="2427" spans="1:9" x14ac:dyDescent="0.25">
      <c r="A2427" s="1" t="str">
        <f>HYPERLINK("https://lynxcrm-apac--c.eu19.visual.force.com/0011i000001xnpVAAQ","Lai, Yew Min")</f>
        <v>Lai, Yew Min</v>
      </c>
      <c r="B2427" t="s">
        <v>5236</v>
      </c>
      <c r="C2427" t="s">
        <v>28</v>
      </c>
      <c r="D2427" t="s">
        <v>1412</v>
      </c>
      <c r="E2427" t="s">
        <v>8</v>
      </c>
      <c r="F2427" t="s">
        <v>428</v>
      </c>
      <c r="G2427" t="s">
        <v>429</v>
      </c>
      <c r="H2427" t="s">
        <v>429</v>
      </c>
      <c r="I2427" t="s">
        <v>430</v>
      </c>
    </row>
    <row r="2428" spans="1:9" x14ac:dyDescent="0.25">
      <c r="A2428" s="1" t="str">
        <f>HYPERLINK("https://lynxcrm-apac--c.eu19.visual.force.com/0011i000001xoryAAA","Lai, Yew Tah")</f>
        <v>Lai, Yew Tah</v>
      </c>
      <c r="B2428" t="s">
        <v>5237</v>
      </c>
      <c r="C2428" t="s">
        <v>28</v>
      </c>
      <c r="D2428" t="s">
        <v>5238</v>
      </c>
      <c r="E2428" t="s">
        <v>8</v>
      </c>
      <c r="F2428" t="s">
        <v>5239</v>
      </c>
      <c r="G2428" t="s">
        <v>1206</v>
      </c>
      <c r="H2428" t="s">
        <v>5240</v>
      </c>
      <c r="I2428" t="s">
        <v>5241</v>
      </c>
    </row>
    <row r="2429" spans="1:9" x14ac:dyDescent="0.25">
      <c r="A2429" s="1" t="str">
        <f>HYPERLINK("https://lynxcrm-apac--c.eu19.visual.force.com/0011i000001xnW4AAI","Lai Clinic")</f>
        <v>Lai Clinic</v>
      </c>
      <c r="B2429" t="s">
        <v>5242</v>
      </c>
      <c r="C2429" t="s">
        <v>10</v>
      </c>
      <c r="D2429" t="s">
        <v>8</v>
      </c>
      <c r="E2429" t="s">
        <v>8</v>
      </c>
      <c r="F2429" t="s">
        <v>5243</v>
      </c>
      <c r="G2429" t="s">
        <v>5244</v>
      </c>
      <c r="H2429" t="s">
        <v>5245</v>
      </c>
      <c r="I2429" t="s">
        <v>2810</v>
      </c>
    </row>
    <row r="2430" spans="1:9" x14ac:dyDescent="0.25">
      <c r="A2430" s="1" t="str">
        <f>HYPERLINK("https://lynxcrm-apac--c.eu19.visual.force.com/0011i000001xmvjAAA","Lai Endoscopy &amp; Colorectal Surgery")</f>
        <v>Lai Endoscopy &amp; Colorectal Surgery</v>
      </c>
      <c r="B2430" t="s">
        <v>5246</v>
      </c>
      <c r="C2430" t="s">
        <v>10</v>
      </c>
      <c r="D2430" t="s">
        <v>8</v>
      </c>
      <c r="E2430" t="s">
        <v>8</v>
      </c>
      <c r="F2430" t="s">
        <v>5247</v>
      </c>
      <c r="G2430" t="s">
        <v>121</v>
      </c>
      <c r="H2430" t="s">
        <v>121</v>
      </c>
      <c r="I2430" t="s">
        <v>123</v>
      </c>
    </row>
    <row r="2431" spans="1:9" x14ac:dyDescent="0.25">
      <c r="A2431" s="1" t="str">
        <f>HYPERLINK("https://lynxcrm-apac--c.eu19.visual.force.com/0011i000001xnLGAAY","Lai Medical Clinic")</f>
        <v>Lai Medical Clinic</v>
      </c>
      <c r="B2431" t="s">
        <v>5248</v>
      </c>
      <c r="C2431" t="s">
        <v>10</v>
      </c>
      <c r="D2431" t="s">
        <v>8</v>
      </c>
      <c r="E2431" t="s">
        <v>8</v>
      </c>
      <c r="F2431" t="s">
        <v>5224</v>
      </c>
      <c r="G2431" t="s">
        <v>4929</v>
      </c>
      <c r="H2431" t="s">
        <v>4929</v>
      </c>
      <c r="I2431" t="s">
        <v>5225</v>
      </c>
    </row>
    <row r="2432" spans="1:9" x14ac:dyDescent="0.25">
      <c r="A2432" s="1" t="str">
        <f>HYPERLINK("https://lynxcrm-apac--c.eu19.visual.force.com/0011i000001xoHBAAY","Lalitha, Jayakumar")</f>
        <v>Lalitha, Jayakumar</v>
      </c>
      <c r="B2432" t="s">
        <v>5249</v>
      </c>
      <c r="C2432" t="s">
        <v>28</v>
      </c>
      <c r="D2432" t="s">
        <v>251</v>
      </c>
      <c r="E2432" t="s">
        <v>8</v>
      </c>
      <c r="F2432" t="s">
        <v>246</v>
      </c>
      <c r="G2432" t="s">
        <v>252</v>
      </c>
      <c r="H2432" t="s">
        <v>252</v>
      </c>
      <c r="I2432" t="s">
        <v>253</v>
      </c>
    </row>
    <row r="2433" spans="1:9" x14ac:dyDescent="0.25">
      <c r="A2433" s="1" t="str">
        <f>HYPERLINK("https://lynxcrm-apac--c.eu19.visual.force.com/0011i00000ULbZbAAL","Lam, Adeline")</f>
        <v>Lam, Adeline</v>
      </c>
      <c r="B2433" t="s">
        <v>5250</v>
      </c>
      <c r="C2433" t="s">
        <v>28</v>
      </c>
      <c r="D2433" t="s">
        <v>8</v>
      </c>
      <c r="E2433" t="s">
        <v>8</v>
      </c>
      <c r="F2433" t="s">
        <v>257</v>
      </c>
      <c r="G2433" t="s">
        <v>258</v>
      </c>
      <c r="H2433" t="s">
        <v>259</v>
      </c>
      <c r="I2433" t="s">
        <v>260</v>
      </c>
    </row>
    <row r="2434" spans="1:9" x14ac:dyDescent="0.25">
      <c r="A2434" s="1" t="str">
        <f>HYPERLINK("https://lynxcrm-apac--c.eu19.visual.force.com/0011i00000ULbZbAAL","Lam, Adeline")</f>
        <v>Lam, Adeline</v>
      </c>
      <c r="B2434" t="s">
        <v>5250</v>
      </c>
      <c r="C2434" t="s">
        <v>28</v>
      </c>
      <c r="D2434" t="s">
        <v>261</v>
      </c>
      <c r="E2434" t="s">
        <v>8</v>
      </c>
      <c r="F2434" t="s">
        <v>261</v>
      </c>
      <c r="G2434" t="s">
        <v>347</v>
      </c>
      <c r="H2434" t="s">
        <v>347</v>
      </c>
      <c r="I2434" t="s">
        <v>260</v>
      </c>
    </row>
    <row r="2435" spans="1:9" x14ac:dyDescent="0.25">
      <c r="A2435" s="1" t="str">
        <f>HYPERLINK("https://lynxcrm-apac--c.eu19.visual.force.com/0011i000001xoVWAAY","Lam, Bee Lan")</f>
        <v>Lam, Bee Lan</v>
      </c>
      <c r="B2435" t="s">
        <v>5251</v>
      </c>
      <c r="C2435" t="s">
        <v>28</v>
      </c>
      <c r="D2435" t="s">
        <v>1733</v>
      </c>
      <c r="E2435" t="s">
        <v>8</v>
      </c>
      <c r="F2435" t="s">
        <v>1559</v>
      </c>
      <c r="G2435" t="s">
        <v>1734</v>
      </c>
      <c r="H2435" t="s">
        <v>1735</v>
      </c>
      <c r="I2435" t="s">
        <v>161</v>
      </c>
    </row>
    <row r="2436" spans="1:9" x14ac:dyDescent="0.25">
      <c r="A2436" s="1" t="str">
        <f>HYPERLINK("https://lynxcrm-apac--c.eu19.visual.force.com/0011i00000Xf1GwAAJ","Lam, Justina")</f>
        <v>Lam, Justina</v>
      </c>
      <c r="B2436" t="s">
        <v>5252</v>
      </c>
      <c r="C2436" t="s">
        <v>28</v>
      </c>
      <c r="D2436" t="s">
        <v>2027</v>
      </c>
      <c r="E2436" t="s">
        <v>8</v>
      </c>
      <c r="F2436" t="s">
        <v>2028</v>
      </c>
      <c r="G2436" t="s">
        <v>2029</v>
      </c>
      <c r="H2436" t="s">
        <v>8</v>
      </c>
      <c r="I2436" t="s">
        <v>488</v>
      </c>
    </row>
    <row r="2437" spans="1:9" x14ac:dyDescent="0.25">
      <c r="A2437" s="1" t="str">
        <f>HYPERLINK("https://lynxcrm-apac--c.eu19.visual.force.com/0011i000001xosEAAQ","Lam, Kwong Ho Lawrence")</f>
        <v>Lam, Kwong Ho Lawrence</v>
      </c>
      <c r="B2437" t="s">
        <v>5253</v>
      </c>
      <c r="C2437" t="s">
        <v>28</v>
      </c>
      <c r="D2437" t="s">
        <v>1333</v>
      </c>
      <c r="E2437" t="s">
        <v>8</v>
      </c>
      <c r="F2437" t="s">
        <v>4025</v>
      </c>
      <c r="G2437" t="s">
        <v>4026</v>
      </c>
      <c r="H2437" t="s">
        <v>4026</v>
      </c>
      <c r="I2437" t="s">
        <v>581</v>
      </c>
    </row>
    <row r="2438" spans="1:9" x14ac:dyDescent="0.25">
      <c r="A2438" s="1" t="str">
        <f>HYPERLINK("https://lynxcrm-apac--c.eu19.visual.force.com/0011i000001xoAlAAI","Lam, Ming Ai")</f>
        <v>Lam, Ming Ai</v>
      </c>
      <c r="B2438" t="s">
        <v>5254</v>
      </c>
      <c r="C2438" t="s">
        <v>28</v>
      </c>
      <c r="D2438" t="s">
        <v>261</v>
      </c>
      <c r="E2438" t="s">
        <v>8</v>
      </c>
      <c r="F2438" t="s">
        <v>359</v>
      </c>
      <c r="G2438" t="s">
        <v>258</v>
      </c>
      <c r="H2438" t="s">
        <v>259</v>
      </c>
      <c r="I2438" t="s">
        <v>260</v>
      </c>
    </row>
    <row r="2439" spans="1:9" x14ac:dyDescent="0.25">
      <c r="A2439" s="1" t="str">
        <f>HYPERLINK("https://lynxcrm-apac--c.eu19.visual.force.com/0011i000001xo2kAAA","Lam, Mun San")</f>
        <v>Lam, Mun San</v>
      </c>
      <c r="B2439" t="s">
        <v>5255</v>
      </c>
      <c r="C2439" t="s">
        <v>28</v>
      </c>
      <c r="D2439" t="s">
        <v>5256</v>
      </c>
      <c r="E2439" t="s">
        <v>8</v>
      </c>
      <c r="F2439" t="s">
        <v>377</v>
      </c>
      <c r="G2439" t="s">
        <v>4473</v>
      </c>
      <c r="H2439" t="s">
        <v>4473</v>
      </c>
      <c r="I2439" t="s">
        <v>123</v>
      </c>
    </row>
    <row r="2440" spans="1:9" x14ac:dyDescent="0.25">
      <c r="A2440" s="1" t="str">
        <f>HYPERLINK("https://lynxcrm-apac--c.eu19.visual.force.com/0011i000001xos6AAA","Lam, Pui Wai Michael")</f>
        <v>Lam, Pui Wai Michael</v>
      </c>
      <c r="B2440" t="s">
        <v>5257</v>
      </c>
      <c r="C2440" t="s">
        <v>28</v>
      </c>
      <c r="D2440" t="s">
        <v>5258</v>
      </c>
      <c r="E2440" t="s">
        <v>8</v>
      </c>
      <c r="F2440" t="s">
        <v>181</v>
      </c>
      <c r="G2440" t="s">
        <v>178</v>
      </c>
      <c r="H2440" t="s">
        <v>178</v>
      </c>
      <c r="I2440" t="s">
        <v>179</v>
      </c>
    </row>
    <row r="2441" spans="1:9" x14ac:dyDescent="0.25">
      <c r="A2441" s="1" t="str">
        <f>HYPERLINK("https://lynxcrm-apac--c.eu19.visual.force.com/0011i000001xo42AAA","Lam, Stanley")</f>
        <v>Lam, Stanley</v>
      </c>
      <c r="B2441" t="s">
        <v>5259</v>
      </c>
      <c r="C2441" t="s">
        <v>28</v>
      </c>
      <c r="D2441" t="s">
        <v>261</v>
      </c>
      <c r="E2441" t="s">
        <v>8</v>
      </c>
      <c r="F2441" t="s">
        <v>261</v>
      </c>
      <c r="G2441" t="s">
        <v>347</v>
      </c>
      <c r="H2441" t="s">
        <v>347</v>
      </c>
      <c r="I2441" t="s">
        <v>260</v>
      </c>
    </row>
    <row r="2442" spans="1:9" x14ac:dyDescent="0.25">
      <c r="A2442" s="1" t="str">
        <f>HYPERLINK("https://lynxcrm-apac--c.eu19.visual.force.com/0011i000001xosBAAQ","Lam, Ying-Nam Fred")</f>
        <v>Lam, Ying-Nam Fred</v>
      </c>
      <c r="B2442" t="s">
        <v>5260</v>
      </c>
      <c r="C2442" t="s">
        <v>28</v>
      </c>
      <c r="D2442" t="s">
        <v>5261</v>
      </c>
      <c r="E2442" t="s">
        <v>8</v>
      </c>
      <c r="F2442" t="s">
        <v>2742</v>
      </c>
      <c r="G2442" t="s">
        <v>2743</v>
      </c>
      <c r="H2442" t="s">
        <v>2743</v>
      </c>
      <c r="I2442" t="s">
        <v>2744</v>
      </c>
    </row>
    <row r="2443" spans="1:9" x14ac:dyDescent="0.25">
      <c r="A2443" s="1" t="str">
        <f>HYPERLINK("https://lynxcrm-apac--c.eu19.visual.force.com/0011i00000FGudBAAT","Lam Wei Ting, Derrick")</f>
        <v>Lam Wei Ting, Derrick</v>
      </c>
      <c r="B2443" t="s">
        <v>5262</v>
      </c>
      <c r="C2443" t="s">
        <v>28</v>
      </c>
      <c r="D2443" t="s">
        <v>2728</v>
      </c>
      <c r="E2443" t="s">
        <v>8</v>
      </c>
      <c r="F2443" t="s">
        <v>181</v>
      </c>
      <c r="G2443" t="s">
        <v>178</v>
      </c>
      <c r="H2443" t="s">
        <v>8</v>
      </c>
      <c r="I2443" t="s">
        <v>179</v>
      </c>
    </row>
    <row r="2444" spans="1:9" x14ac:dyDescent="0.25">
      <c r="A2444" s="1" t="str">
        <f>HYPERLINK("https://lynxcrm-apac--c.eu19.visual.force.com/0011i000001xosFAAQ","Lan, Jiann Jong")</f>
        <v>Lan, Jiann Jong</v>
      </c>
      <c r="B2444" t="s">
        <v>5263</v>
      </c>
      <c r="C2444" t="s">
        <v>28</v>
      </c>
      <c r="D2444" t="s">
        <v>5264</v>
      </c>
      <c r="E2444" t="s">
        <v>8</v>
      </c>
      <c r="F2444" t="s">
        <v>5265</v>
      </c>
      <c r="G2444" t="s">
        <v>5266</v>
      </c>
      <c r="H2444" t="s">
        <v>5267</v>
      </c>
      <c r="I2444" t="s">
        <v>5268</v>
      </c>
    </row>
    <row r="2445" spans="1:9" x14ac:dyDescent="0.25">
      <c r="A2445" s="1" t="str">
        <f>HYPERLINK("https://lynxcrm-apac--c.eu19.visual.force.com/0011i000001xo74AAA","Lather, Shipra")</f>
        <v>Lather, Shipra</v>
      </c>
      <c r="B2445" t="s">
        <v>5269</v>
      </c>
      <c r="C2445" t="s">
        <v>28</v>
      </c>
      <c r="D2445" t="s">
        <v>709</v>
      </c>
      <c r="E2445" t="s">
        <v>8</v>
      </c>
      <c r="F2445" t="s">
        <v>710</v>
      </c>
      <c r="G2445" t="s">
        <v>135</v>
      </c>
      <c r="H2445" t="s">
        <v>135</v>
      </c>
      <c r="I2445" t="s">
        <v>711</v>
      </c>
    </row>
    <row r="2446" spans="1:9" x14ac:dyDescent="0.25">
      <c r="A2446" s="1" t="str">
        <f>HYPERLINK("https://lynxcrm-apac--c.eu19.visual.force.com/0011i000001xo74AAA","Lather, Shipra")</f>
        <v>Lather, Shipra</v>
      </c>
      <c r="B2446" t="s">
        <v>5269</v>
      </c>
      <c r="C2446" t="s">
        <v>28</v>
      </c>
      <c r="D2446" t="s">
        <v>709</v>
      </c>
      <c r="E2446" t="s">
        <v>8</v>
      </c>
      <c r="F2446" t="s">
        <v>710</v>
      </c>
      <c r="G2446" t="s">
        <v>710</v>
      </c>
      <c r="H2446" t="s">
        <v>3293</v>
      </c>
      <c r="I2446" t="s">
        <v>711</v>
      </c>
    </row>
    <row r="2447" spans="1:9" x14ac:dyDescent="0.25">
      <c r="A2447" s="1" t="str">
        <f>HYPERLINK("https://lynxcrm-apac--c.eu19.visual.force.com/0011i000001xoZ1AAI","Lau, Buong Yan Maggie")</f>
        <v>Lau, Buong Yan Maggie</v>
      </c>
      <c r="B2447" t="s">
        <v>5270</v>
      </c>
      <c r="C2447" t="s">
        <v>28</v>
      </c>
      <c r="D2447" t="s">
        <v>5271</v>
      </c>
      <c r="E2447" t="s">
        <v>8</v>
      </c>
      <c r="F2447" t="s">
        <v>5272</v>
      </c>
      <c r="G2447" t="s">
        <v>5273</v>
      </c>
      <c r="H2447" t="s">
        <v>5273</v>
      </c>
      <c r="I2447" t="s">
        <v>4278</v>
      </c>
    </row>
    <row r="2448" spans="1:9" x14ac:dyDescent="0.25">
      <c r="A2448" s="1" t="str">
        <f>HYPERLINK("https://lynxcrm-apac--c.eu19.visual.force.com/0011i000001xosKAAQ","Lau, Chee Chong")</f>
        <v>Lau, Chee Chong</v>
      </c>
      <c r="B2448" t="s">
        <v>5274</v>
      </c>
      <c r="C2448" t="s">
        <v>28</v>
      </c>
      <c r="D2448" t="s">
        <v>5275</v>
      </c>
      <c r="E2448" t="s">
        <v>8</v>
      </c>
      <c r="F2448" t="s">
        <v>377</v>
      </c>
      <c r="G2448" t="s">
        <v>5276</v>
      </c>
      <c r="H2448" t="s">
        <v>5276</v>
      </c>
      <c r="I2448" t="s">
        <v>123</v>
      </c>
    </row>
    <row r="2449" spans="1:9" x14ac:dyDescent="0.25">
      <c r="A2449" s="1" t="str">
        <f>HYPERLINK("https://lynxcrm-apac--c.eu19.visual.force.com/0011i000001xoaqAAA","Lau, Ching Ho")</f>
        <v>Lau, Ching Ho</v>
      </c>
      <c r="B2449" t="s">
        <v>5277</v>
      </c>
      <c r="C2449" t="s">
        <v>28</v>
      </c>
      <c r="D2449" t="s">
        <v>251</v>
      </c>
      <c r="E2449" t="s">
        <v>8</v>
      </c>
      <c r="F2449" t="s">
        <v>251</v>
      </c>
      <c r="G2449" t="s">
        <v>252</v>
      </c>
      <c r="H2449" t="s">
        <v>252</v>
      </c>
      <c r="I2449" t="s">
        <v>253</v>
      </c>
    </row>
    <row r="2450" spans="1:9" x14ac:dyDescent="0.25">
      <c r="A2450" s="1" t="str">
        <f>HYPERLINK("https://lynxcrm-apac--c.eu19.visual.force.com/0011i000001xoaqAAA","Lau, Ching Ho")</f>
        <v>Lau, Ching Ho</v>
      </c>
      <c r="B2450" t="s">
        <v>5277</v>
      </c>
      <c r="C2450" t="s">
        <v>28</v>
      </c>
      <c r="D2450" t="s">
        <v>514</v>
      </c>
      <c r="E2450" t="s">
        <v>8</v>
      </c>
      <c r="F2450" t="s">
        <v>252</v>
      </c>
      <c r="G2450" t="s">
        <v>251</v>
      </c>
      <c r="H2450" t="s">
        <v>251</v>
      </c>
      <c r="I2450" t="s">
        <v>253</v>
      </c>
    </row>
    <row r="2451" spans="1:9" x14ac:dyDescent="0.25">
      <c r="A2451" s="1" t="str">
        <f>HYPERLINK("https://lynxcrm-apac--c.eu19.visual.force.com/0011i000001xooDAAQ","Lau, Chin Shiou Sharon")</f>
        <v>Lau, Chin Shiou Sharon</v>
      </c>
      <c r="B2451" t="s">
        <v>5278</v>
      </c>
      <c r="C2451" t="s">
        <v>28</v>
      </c>
      <c r="D2451" t="s">
        <v>1164</v>
      </c>
      <c r="E2451" t="s">
        <v>8</v>
      </c>
      <c r="F2451" t="s">
        <v>1165</v>
      </c>
      <c r="G2451" t="s">
        <v>1166</v>
      </c>
      <c r="H2451" t="s">
        <v>1166</v>
      </c>
      <c r="I2451" t="s">
        <v>1167</v>
      </c>
    </row>
    <row r="2452" spans="1:9" x14ac:dyDescent="0.25">
      <c r="A2452" s="1" t="str">
        <f>HYPERLINK("https://lynxcrm-apac--c.eu19.visual.force.com/0011i000001xooDAAQ","Lau, Chin Shiou Sharon")</f>
        <v>Lau, Chin Shiou Sharon</v>
      </c>
      <c r="B2452" t="s">
        <v>5278</v>
      </c>
      <c r="C2452" t="s">
        <v>28</v>
      </c>
      <c r="D2452" t="s">
        <v>1164</v>
      </c>
      <c r="E2452" t="s">
        <v>8</v>
      </c>
      <c r="F2452" t="s">
        <v>1165</v>
      </c>
      <c r="G2452" t="s">
        <v>1165</v>
      </c>
      <c r="H2452" t="s">
        <v>3621</v>
      </c>
      <c r="I2452" t="s">
        <v>1167</v>
      </c>
    </row>
    <row r="2453" spans="1:9" x14ac:dyDescent="0.25">
      <c r="A2453" s="1" t="str">
        <f>HYPERLINK("https://lynxcrm-apac--c.eu19.visual.force.com/0011i000001xoCVAAY","Lau, Eng Kien Ivan")</f>
        <v>Lau, Eng Kien Ivan</v>
      </c>
      <c r="B2453" t="s">
        <v>5279</v>
      </c>
      <c r="C2453" t="s">
        <v>28</v>
      </c>
      <c r="D2453" t="s">
        <v>5280</v>
      </c>
      <c r="E2453" t="s">
        <v>8</v>
      </c>
      <c r="F2453" t="s">
        <v>5281</v>
      </c>
      <c r="G2453" t="s">
        <v>1739</v>
      </c>
      <c r="H2453" t="s">
        <v>5282</v>
      </c>
      <c r="I2453" t="s">
        <v>1740</v>
      </c>
    </row>
    <row r="2454" spans="1:9" x14ac:dyDescent="0.25">
      <c r="A2454" s="1" t="str">
        <f>HYPERLINK("https://lynxcrm-apac--c.eu19.visual.force.com/0011i000001xoeEAAQ","Lau, Grace")</f>
        <v>Lau, Grace</v>
      </c>
      <c r="B2454" t="s">
        <v>5283</v>
      </c>
      <c r="C2454" t="s">
        <v>28</v>
      </c>
      <c r="D2454" t="s">
        <v>550</v>
      </c>
      <c r="E2454" t="s">
        <v>8</v>
      </c>
      <c r="F2454" t="s">
        <v>2342</v>
      </c>
      <c r="G2454" t="s">
        <v>919</v>
      </c>
      <c r="H2454" t="s">
        <v>919</v>
      </c>
      <c r="I2454" t="s">
        <v>554</v>
      </c>
    </row>
    <row r="2455" spans="1:9" x14ac:dyDescent="0.25">
      <c r="A2455" s="1" t="str">
        <f>HYPERLINK("https://lynxcrm-apac--c.eu19.visual.force.com/0011i000001xohcAAA","Lau, Jason")</f>
        <v>Lau, Jason</v>
      </c>
      <c r="B2455" t="s">
        <v>5284</v>
      </c>
      <c r="C2455" t="s">
        <v>28</v>
      </c>
      <c r="D2455" t="s">
        <v>58</v>
      </c>
      <c r="E2455" t="s">
        <v>8</v>
      </c>
      <c r="F2455" t="s">
        <v>57</v>
      </c>
      <c r="G2455" t="s">
        <v>57</v>
      </c>
      <c r="H2455" t="s">
        <v>8</v>
      </c>
      <c r="I2455" t="s">
        <v>59</v>
      </c>
    </row>
    <row r="2456" spans="1:9" x14ac:dyDescent="0.25">
      <c r="A2456" s="1" t="str">
        <f>HYPERLINK("https://lynxcrm-apac--c.eu19.visual.force.com/0011i000001xoMVAAY","Lau, Joshua")</f>
        <v>Lau, Joshua</v>
      </c>
      <c r="B2456" t="s">
        <v>5285</v>
      </c>
      <c r="C2456" t="s">
        <v>28</v>
      </c>
      <c r="D2456" t="s">
        <v>4437</v>
      </c>
      <c r="E2456" t="s">
        <v>8</v>
      </c>
      <c r="F2456" t="s">
        <v>5286</v>
      </c>
      <c r="G2456" t="s">
        <v>16</v>
      </c>
      <c r="H2456" t="s">
        <v>16</v>
      </c>
      <c r="I2456" t="s">
        <v>4440</v>
      </c>
    </row>
    <row r="2457" spans="1:9" x14ac:dyDescent="0.25">
      <c r="A2457" s="1" t="str">
        <f>HYPERLINK("https://lynxcrm-apac--c.eu19.visual.force.com/0011i000001xo2mAAA","Lau, Kean Wah")</f>
        <v>Lau, Kean Wah</v>
      </c>
      <c r="B2457" t="s">
        <v>5287</v>
      </c>
      <c r="C2457" t="s">
        <v>28</v>
      </c>
      <c r="D2457" t="s">
        <v>5288</v>
      </c>
      <c r="E2457" t="s">
        <v>8</v>
      </c>
      <c r="F2457" t="s">
        <v>469</v>
      </c>
      <c r="G2457" t="s">
        <v>5289</v>
      </c>
      <c r="H2457" t="s">
        <v>5290</v>
      </c>
      <c r="I2457" t="s">
        <v>466</v>
      </c>
    </row>
    <row r="2458" spans="1:9" x14ac:dyDescent="0.25">
      <c r="A2458" s="1" t="str">
        <f>HYPERLINK("https://lynxcrm-apac--c.eu19.visual.force.com/0011i000001xosSAAQ","Lau, Kwok Nam @ Low Kwok Nam")</f>
        <v>Lau, Kwok Nam @ Low Kwok Nam</v>
      </c>
      <c r="B2458" t="s">
        <v>5291</v>
      </c>
      <c r="C2458" t="s">
        <v>28</v>
      </c>
      <c r="D2458" t="s">
        <v>5292</v>
      </c>
      <c r="E2458" t="s">
        <v>8</v>
      </c>
      <c r="F2458" t="s">
        <v>4943</v>
      </c>
      <c r="G2458" t="s">
        <v>4944</v>
      </c>
      <c r="H2458" t="s">
        <v>4945</v>
      </c>
      <c r="I2458" t="s">
        <v>4946</v>
      </c>
    </row>
    <row r="2459" spans="1:9" x14ac:dyDescent="0.25">
      <c r="A2459" s="1" t="str">
        <f>HYPERLINK("https://lynxcrm-apac--c.eu19.visual.force.com/0011i000001xoncAAA","Lau, Man Chun Jeffrey")</f>
        <v>Lau, Man Chun Jeffrey</v>
      </c>
      <c r="B2459" t="s">
        <v>5293</v>
      </c>
      <c r="C2459" t="s">
        <v>28</v>
      </c>
      <c r="D2459" t="s">
        <v>449</v>
      </c>
      <c r="E2459" t="s">
        <v>8</v>
      </c>
      <c r="F2459" t="s">
        <v>450</v>
      </c>
      <c r="G2459" t="s">
        <v>449</v>
      </c>
      <c r="H2459" t="s">
        <v>449</v>
      </c>
      <c r="I2459" t="s">
        <v>451</v>
      </c>
    </row>
    <row r="2460" spans="1:9" x14ac:dyDescent="0.25">
      <c r="A2460" s="1" t="str">
        <f>HYPERLINK("https://lynxcrm-apac--c.eu19.visual.force.com/0011i000001xoncAAA","Lau, Man Chun Jeffrey")</f>
        <v>Lau, Man Chun Jeffrey</v>
      </c>
      <c r="B2460" t="s">
        <v>5293</v>
      </c>
      <c r="C2460" t="s">
        <v>28</v>
      </c>
      <c r="D2460" t="s">
        <v>449</v>
      </c>
      <c r="E2460" t="s">
        <v>8</v>
      </c>
      <c r="F2460" t="s">
        <v>234</v>
      </c>
      <c r="G2460" t="s">
        <v>452</v>
      </c>
      <c r="H2460" t="s">
        <v>453</v>
      </c>
      <c r="I2460" t="s">
        <v>454</v>
      </c>
    </row>
    <row r="2461" spans="1:9" x14ac:dyDescent="0.25">
      <c r="A2461" s="1" t="str">
        <f>HYPERLINK("https://lynxcrm-apac--c.eu19.visual.force.com/0011i00000ugAlgAAE","Lau, Priscilla")</f>
        <v>Lau, Priscilla</v>
      </c>
      <c r="B2461" t="s">
        <v>5294</v>
      </c>
      <c r="C2461" t="s">
        <v>28</v>
      </c>
      <c r="D2461" t="s">
        <v>8</v>
      </c>
      <c r="E2461" t="s">
        <v>8</v>
      </c>
      <c r="F2461" t="s">
        <v>753</v>
      </c>
      <c r="G2461" t="s">
        <v>929</v>
      </c>
      <c r="H2461" t="s">
        <v>139</v>
      </c>
      <c r="I2461" t="s">
        <v>137</v>
      </c>
    </row>
    <row r="2462" spans="1:9" x14ac:dyDescent="0.25">
      <c r="A2462" s="1" t="str">
        <f>HYPERLINK("https://lynxcrm-apac--c.eu19.visual.force.com/0011i00000ugAlgAAE","Lau, Priscilla")</f>
        <v>Lau, Priscilla</v>
      </c>
      <c r="B2462" t="s">
        <v>5294</v>
      </c>
      <c r="C2462" t="s">
        <v>28</v>
      </c>
      <c r="D2462" t="s">
        <v>928</v>
      </c>
      <c r="E2462" t="s">
        <v>8</v>
      </c>
      <c r="F2462" t="s">
        <v>753</v>
      </c>
      <c r="G2462" t="s">
        <v>929</v>
      </c>
      <c r="H2462" t="s">
        <v>139</v>
      </c>
      <c r="I2462" t="s">
        <v>137</v>
      </c>
    </row>
    <row r="2463" spans="1:9" x14ac:dyDescent="0.25">
      <c r="A2463" s="1" t="str">
        <f>HYPERLINK("https://lynxcrm-apac--c.eu19.visual.force.com/0011i00000oXwHSAA0","Lau, Sharon")</f>
        <v>Lau, Sharon</v>
      </c>
      <c r="B2463" t="s">
        <v>5295</v>
      </c>
      <c r="C2463" t="s">
        <v>28</v>
      </c>
      <c r="D2463" t="s">
        <v>1164</v>
      </c>
      <c r="E2463" t="s">
        <v>8</v>
      </c>
      <c r="F2463" t="s">
        <v>1165</v>
      </c>
      <c r="G2463" t="s">
        <v>1166</v>
      </c>
      <c r="H2463" t="s">
        <v>1166</v>
      </c>
      <c r="I2463" t="s">
        <v>1167</v>
      </c>
    </row>
    <row r="2464" spans="1:9" x14ac:dyDescent="0.25">
      <c r="A2464" s="1" t="str">
        <f>HYPERLINK("https://lynxcrm-apac--c.eu19.visual.force.com/0011i000001xnnFAAQ","Lau, Siew Meng")</f>
        <v>Lau, Siew Meng</v>
      </c>
      <c r="B2464" t="s">
        <v>5296</v>
      </c>
      <c r="C2464" t="s">
        <v>28</v>
      </c>
      <c r="D2464" t="s">
        <v>1126</v>
      </c>
      <c r="E2464" t="s">
        <v>8</v>
      </c>
      <c r="F2464" t="s">
        <v>994</v>
      </c>
      <c r="G2464" t="s">
        <v>995</v>
      </c>
      <c r="H2464" t="s">
        <v>998</v>
      </c>
      <c r="I2464" t="s">
        <v>996</v>
      </c>
    </row>
    <row r="2465" spans="1:9" x14ac:dyDescent="0.25">
      <c r="A2465" s="1" t="str">
        <f>HYPERLINK("https://lynxcrm-apac--c.eu19.visual.force.com/0011i000001xoaKAAQ","Lau, Vi Hok Don")</f>
        <v>Lau, Vi Hok Don</v>
      </c>
      <c r="B2465" t="s">
        <v>5297</v>
      </c>
      <c r="C2465" t="s">
        <v>28</v>
      </c>
      <c r="D2465" t="s">
        <v>5298</v>
      </c>
      <c r="E2465" t="s">
        <v>8</v>
      </c>
      <c r="F2465" t="s">
        <v>5299</v>
      </c>
      <c r="G2465" t="s">
        <v>5300</v>
      </c>
      <c r="H2465" t="s">
        <v>5301</v>
      </c>
      <c r="I2465" t="s">
        <v>5302</v>
      </c>
    </row>
    <row r="2466" spans="1:9" x14ac:dyDescent="0.25">
      <c r="A2466" s="1" t="str">
        <f>HYPERLINK("https://lynxcrm-apac--c.eu19.visual.force.com/0011i000001xoEUAAY","Lau, Wai Leong Titus")</f>
        <v>Lau, Wai Leong Titus</v>
      </c>
      <c r="B2466" t="s">
        <v>5303</v>
      </c>
      <c r="C2466" t="s">
        <v>28</v>
      </c>
      <c r="D2466" t="s">
        <v>429</v>
      </c>
      <c r="E2466" t="s">
        <v>8</v>
      </c>
      <c r="F2466" t="s">
        <v>3202</v>
      </c>
      <c r="G2466" t="s">
        <v>428</v>
      </c>
      <c r="H2466" t="s">
        <v>428</v>
      </c>
      <c r="I2466" t="s">
        <v>430</v>
      </c>
    </row>
    <row r="2467" spans="1:9" x14ac:dyDescent="0.25">
      <c r="A2467" s="1" t="str">
        <f>HYPERLINK("https://lynxcrm-apac--c.eu19.visual.force.com/0011i000001xoEUAAY","Lau, Wai Leong Titus")</f>
        <v>Lau, Wai Leong Titus</v>
      </c>
      <c r="B2467" t="s">
        <v>5303</v>
      </c>
      <c r="C2467" t="s">
        <v>28</v>
      </c>
      <c r="D2467" t="s">
        <v>429</v>
      </c>
      <c r="E2467" t="s">
        <v>8</v>
      </c>
      <c r="F2467" t="s">
        <v>429</v>
      </c>
      <c r="G2467" t="s">
        <v>428</v>
      </c>
      <c r="H2467" t="s">
        <v>428</v>
      </c>
      <c r="I2467" t="s">
        <v>430</v>
      </c>
    </row>
    <row r="2468" spans="1:9" x14ac:dyDescent="0.25">
      <c r="A2468" s="1" t="str">
        <f>HYPERLINK("https://lynxcrm-apac--c.eu19.visual.force.com/0011i000001xoW4AAI","Lau, Yen Ning")</f>
        <v>Lau, Yen Ning</v>
      </c>
      <c r="B2468" t="s">
        <v>5304</v>
      </c>
      <c r="C2468" t="s">
        <v>28</v>
      </c>
      <c r="D2468" t="s">
        <v>335</v>
      </c>
      <c r="E2468" t="s">
        <v>8</v>
      </c>
      <c r="F2468" t="s">
        <v>339</v>
      </c>
      <c r="G2468" t="s">
        <v>337</v>
      </c>
      <c r="H2468" t="s">
        <v>340</v>
      </c>
      <c r="I2468" t="s">
        <v>338</v>
      </c>
    </row>
    <row r="2469" spans="1:9" x14ac:dyDescent="0.25">
      <c r="A2469" s="1" t="str">
        <f>HYPERLINK("https://lynxcrm-apac--c.eu19.visual.force.com/0011i000001xn9zAAA","Lau Clinic &amp; Surgery")</f>
        <v>Lau Clinic &amp; Surgery</v>
      </c>
      <c r="B2469" t="s">
        <v>5305</v>
      </c>
      <c r="C2469" t="s">
        <v>10</v>
      </c>
      <c r="D2469" t="s">
        <v>8</v>
      </c>
      <c r="E2469" t="s">
        <v>8</v>
      </c>
      <c r="F2469" t="s">
        <v>5306</v>
      </c>
      <c r="G2469" t="s">
        <v>5306</v>
      </c>
      <c r="H2469" t="s">
        <v>5307</v>
      </c>
      <c r="I2469" t="s">
        <v>5308</v>
      </c>
    </row>
    <row r="2470" spans="1:9" x14ac:dyDescent="0.25">
      <c r="A2470" s="1" t="str">
        <f>HYPERLINK("https://lynxcrm-apac--c.eu19.visual.force.com/0011i000001xnWfAAI","Lavender Medical Clinic")</f>
        <v>Lavender Medical Clinic</v>
      </c>
      <c r="B2470" t="s">
        <v>5309</v>
      </c>
      <c r="C2470" t="s">
        <v>10</v>
      </c>
      <c r="D2470" t="s">
        <v>8</v>
      </c>
      <c r="E2470" t="s">
        <v>8</v>
      </c>
      <c r="F2470" t="s">
        <v>4912</v>
      </c>
      <c r="G2470" t="s">
        <v>5310</v>
      </c>
      <c r="H2470" t="s">
        <v>5310</v>
      </c>
      <c r="I2470" t="s">
        <v>4914</v>
      </c>
    </row>
    <row r="2471" spans="1:9" x14ac:dyDescent="0.25">
      <c r="A2471" s="1" t="str">
        <f>HYPERLINK("https://lynxcrm-apac--c.eu19.visual.force.com/0011i000002Id9rAAC","Law, Shipei")</f>
        <v>Law, Shipei</v>
      </c>
      <c r="B2471" t="s">
        <v>5311</v>
      </c>
      <c r="C2471" t="s">
        <v>28</v>
      </c>
      <c r="D2471" t="s">
        <v>58</v>
      </c>
      <c r="E2471" t="s">
        <v>8</v>
      </c>
      <c r="F2471" t="s">
        <v>57</v>
      </c>
      <c r="G2471" t="s">
        <v>57</v>
      </c>
      <c r="H2471" t="s">
        <v>8</v>
      </c>
      <c r="I2471" t="s">
        <v>59</v>
      </c>
    </row>
    <row r="2472" spans="1:9" x14ac:dyDescent="0.25">
      <c r="A2472" s="1" t="str">
        <f>HYPERLINK("https://lynxcrm-apac--c.eu19.visual.force.com/0011i000001xnmRAAQ","Lawrie, Faraz Adam")</f>
        <v>Lawrie, Faraz Adam</v>
      </c>
      <c r="B2472" t="s">
        <v>5312</v>
      </c>
      <c r="C2472" t="s">
        <v>28</v>
      </c>
      <c r="D2472" t="s">
        <v>1698</v>
      </c>
      <c r="E2472" t="s">
        <v>8</v>
      </c>
      <c r="F2472" t="s">
        <v>2273</v>
      </c>
      <c r="G2472" t="s">
        <v>2273</v>
      </c>
      <c r="H2472" t="s">
        <v>8</v>
      </c>
      <c r="I2472" t="s">
        <v>8</v>
      </c>
    </row>
    <row r="2473" spans="1:9" x14ac:dyDescent="0.25">
      <c r="A2473" s="1" t="str">
        <f>HYPERLINK("https://lynxcrm-apac--c.eu19.visual.force.com/0011i000001xmklAAA","LD Heart Clinic")</f>
        <v>LD Heart Clinic</v>
      </c>
      <c r="B2473" t="s">
        <v>5313</v>
      </c>
      <c r="C2473" t="s">
        <v>10</v>
      </c>
      <c r="D2473" t="s">
        <v>8</v>
      </c>
      <c r="E2473" t="s">
        <v>8</v>
      </c>
      <c r="F2473" t="s">
        <v>469</v>
      </c>
      <c r="G2473" t="s">
        <v>5289</v>
      </c>
      <c r="H2473" t="s">
        <v>5290</v>
      </c>
      <c r="I2473" t="s">
        <v>466</v>
      </c>
    </row>
    <row r="2474" spans="1:9" x14ac:dyDescent="0.25">
      <c r="A2474" s="1" t="str">
        <f>HYPERLINK("https://lynxcrm-apac--c.eu19.visual.force.com/0011i000001xo2pAAA","Lee, Ai Ming Audrey")</f>
        <v>Lee, Ai Ming Audrey</v>
      </c>
      <c r="B2474" t="s">
        <v>5314</v>
      </c>
      <c r="C2474" t="s">
        <v>28</v>
      </c>
      <c r="D2474" t="s">
        <v>709</v>
      </c>
      <c r="E2474" t="s">
        <v>8</v>
      </c>
      <c r="F2474" t="s">
        <v>710</v>
      </c>
      <c r="G2474" t="s">
        <v>135</v>
      </c>
      <c r="H2474" t="s">
        <v>135</v>
      </c>
      <c r="I2474" t="s">
        <v>711</v>
      </c>
    </row>
    <row r="2475" spans="1:9" x14ac:dyDescent="0.25">
      <c r="A2475" s="1" t="str">
        <f>HYPERLINK("https://lynxcrm-apac--c.eu19.visual.force.com/0011i000001xo2pAAA","Lee, Ai Ming Audrey")</f>
        <v>Lee, Ai Ming Audrey</v>
      </c>
      <c r="B2475" t="s">
        <v>5314</v>
      </c>
      <c r="C2475" t="s">
        <v>28</v>
      </c>
      <c r="D2475" t="s">
        <v>1867</v>
      </c>
      <c r="E2475" t="s">
        <v>8</v>
      </c>
      <c r="F2475" t="s">
        <v>135</v>
      </c>
      <c r="G2475" t="s">
        <v>709</v>
      </c>
      <c r="H2475" t="s">
        <v>709</v>
      </c>
      <c r="I2475" t="s">
        <v>711</v>
      </c>
    </row>
    <row r="2476" spans="1:9" x14ac:dyDescent="0.25">
      <c r="A2476" s="1" t="str">
        <f>HYPERLINK("https://lynxcrm-apac--c.eu19.visual.force.com/0011i000001xolnAAA","Lee, Alice")</f>
        <v>Lee, Alice</v>
      </c>
      <c r="B2476" t="s">
        <v>5315</v>
      </c>
      <c r="C2476" t="s">
        <v>28</v>
      </c>
      <c r="D2476" t="s">
        <v>5316</v>
      </c>
      <c r="E2476" t="s">
        <v>8</v>
      </c>
      <c r="F2476" t="s">
        <v>5317</v>
      </c>
      <c r="G2476" t="s">
        <v>3507</v>
      </c>
      <c r="H2476" t="s">
        <v>3507</v>
      </c>
      <c r="I2476" t="s">
        <v>5318</v>
      </c>
    </row>
    <row r="2477" spans="1:9" x14ac:dyDescent="0.25">
      <c r="A2477" s="1" t="str">
        <f>HYPERLINK("https://lynxcrm-apac--c.eu19.visual.force.com/0011i000002IdA6AAK","Lee, Andrew")</f>
        <v>Lee, Andrew</v>
      </c>
      <c r="B2477" t="s">
        <v>5319</v>
      </c>
      <c r="C2477" t="s">
        <v>28</v>
      </c>
      <c r="D2477" t="s">
        <v>12</v>
      </c>
      <c r="E2477" t="s">
        <v>8</v>
      </c>
      <c r="F2477" t="s">
        <v>11</v>
      </c>
      <c r="G2477" t="s">
        <v>11</v>
      </c>
      <c r="H2477" t="s">
        <v>8</v>
      </c>
      <c r="I2477" t="s">
        <v>13</v>
      </c>
    </row>
    <row r="2478" spans="1:9" x14ac:dyDescent="0.25">
      <c r="A2478" s="1" t="str">
        <f>HYPERLINK("https://lynxcrm-apac--c.eu19.visual.force.com/0011i000001xoegAAA","Lee, Boon Chuan Nelson")</f>
        <v>Lee, Boon Chuan Nelson</v>
      </c>
      <c r="B2478" t="s">
        <v>5320</v>
      </c>
      <c r="C2478" t="s">
        <v>28</v>
      </c>
      <c r="D2478" t="s">
        <v>5321</v>
      </c>
      <c r="E2478" t="s">
        <v>8</v>
      </c>
      <c r="F2478" t="s">
        <v>5322</v>
      </c>
      <c r="G2478" t="s">
        <v>326</v>
      </c>
      <c r="H2478" t="s">
        <v>326</v>
      </c>
      <c r="I2478" t="s">
        <v>310</v>
      </c>
    </row>
    <row r="2479" spans="1:9" x14ac:dyDescent="0.25">
      <c r="A2479" s="1" t="str">
        <f>HYPERLINK("https://lynxcrm-apac--c.eu19.visual.force.com/0011i000001xoskAAA","Lee, Boon Kok Thomas")</f>
        <v>Lee, Boon Kok Thomas</v>
      </c>
      <c r="B2479" t="s">
        <v>5323</v>
      </c>
      <c r="C2479" t="s">
        <v>28</v>
      </c>
      <c r="D2479" t="s">
        <v>3275</v>
      </c>
      <c r="E2479" t="s">
        <v>8</v>
      </c>
      <c r="F2479" t="s">
        <v>3276</v>
      </c>
      <c r="G2479" t="s">
        <v>5324</v>
      </c>
      <c r="H2479" t="s">
        <v>5325</v>
      </c>
      <c r="I2479" t="s">
        <v>3278</v>
      </c>
    </row>
    <row r="2480" spans="1:9" x14ac:dyDescent="0.25">
      <c r="A2480" s="1" t="str">
        <f>HYPERLINK("https://lynxcrm-apac--c.eu19.visual.force.com/0011i000001xosmAAA","Lee, Boon Siong")</f>
        <v>Lee, Boon Siong</v>
      </c>
      <c r="B2480" t="s">
        <v>5326</v>
      </c>
      <c r="C2480" t="s">
        <v>28</v>
      </c>
      <c r="D2480" t="s">
        <v>5327</v>
      </c>
      <c r="E2480" t="s">
        <v>8</v>
      </c>
      <c r="F2480" t="s">
        <v>2413</v>
      </c>
      <c r="G2480" t="s">
        <v>5328</v>
      </c>
      <c r="H2480" t="s">
        <v>5329</v>
      </c>
      <c r="I2480" t="s">
        <v>2416</v>
      </c>
    </row>
    <row r="2481" spans="1:9" x14ac:dyDescent="0.25">
      <c r="A2481" s="1" t="str">
        <f>HYPERLINK("https://lynxcrm-apac--c.eu19.visual.force.com/0011i000001xosoAAA","Lee, Boon Teck")</f>
        <v>Lee, Boon Teck</v>
      </c>
      <c r="B2481" t="s">
        <v>5330</v>
      </c>
      <c r="C2481" t="s">
        <v>28</v>
      </c>
      <c r="D2481" t="s">
        <v>981</v>
      </c>
      <c r="E2481" t="s">
        <v>8</v>
      </c>
      <c r="F2481" t="s">
        <v>121</v>
      </c>
      <c r="G2481" t="s">
        <v>981</v>
      </c>
      <c r="H2481" t="s">
        <v>982</v>
      </c>
      <c r="I2481" t="s">
        <v>123</v>
      </c>
    </row>
    <row r="2482" spans="1:9" x14ac:dyDescent="0.25">
      <c r="A2482" s="1" t="str">
        <f>HYPERLINK("https://lynxcrm-apac--c.eu19.visual.force.com/0011i000007DbWNAA0","Lee, Chai Peng")</f>
        <v>Lee, Chai Peng</v>
      </c>
      <c r="B2482" t="s">
        <v>5331</v>
      </c>
      <c r="C2482" t="s">
        <v>28</v>
      </c>
      <c r="D2482" t="s">
        <v>1462</v>
      </c>
      <c r="E2482" t="s">
        <v>8</v>
      </c>
      <c r="F2482" t="s">
        <v>1463</v>
      </c>
      <c r="G2482" t="s">
        <v>1464</v>
      </c>
      <c r="H2482" t="s">
        <v>8</v>
      </c>
      <c r="I2482" t="s">
        <v>1465</v>
      </c>
    </row>
    <row r="2483" spans="1:9" x14ac:dyDescent="0.25">
      <c r="A2483" s="1" t="str">
        <f>HYPERLINK("https://lynxcrm-apac--c.eu19.visual.force.com/0011i000001xosrAAA","Lee, Chang Long")</f>
        <v>Lee, Chang Long</v>
      </c>
      <c r="B2483" t="s">
        <v>5332</v>
      </c>
      <c r="C2483" t="s">
        <v>28</v>
      </c>
      <c r="D2483" t="s">
        <v>5333</v>
      </c>
      <c r="E2483" t="s">
        <v>8</v>
      </c>
      <c r="F2483" t="s">
        <v>5334</v>
      </c>
      <c r="G2483" t="s">
        <v>5335</v>
      </c>
      <c r="H2483" t="s">
        <v>5335</v>
      </c>
      <c r="I2483" t="s">
        <v>5336</v>
      </c>
    </row>
    <row r="2484" spans="1:9" x14ac:dyDescent="0.25">
      <c r="A2484" s="1" t="str">
        <f>HYPERLINK("https://lynxcrm-apac--c.eu19.visual.force.com/0011i000001xossAAA","Lee, Chau Wah")</f>
        <v>Lee, Chau Wah</v>
      </c>
      <c r="B2484" t="s">
        <v>5337</v>
      </c>
      <c r="C2484" t="s">
        <v>28</v>
      </c>
      <c r="D2484" t="s">
        <v>3565</v>
      </c>
      <c r="E2484" t="s">
        <v>8</v>
      </c>
      <c r="F2484" t="s">
        <v>658</v>
      </c>
      <c r="G2484" t="s">
        <v>659</v>
      </c>
      <c r="H2484" t="s">
        <v>659</v>
      </c>
      <c r="I2484" t="s">
        <v>660</v>
      </c>
    </row>
    <row r="2485" spans="1:9" x14ac:dyDescent="0.25">
      <c r="A2485" s="1" t="str">
        <f>HYPERLINK("https://lynxcrm-apac--c.eu19.visual.force.com/0011i000001xostAAA","Lee, Chee Wan")</f>
        <v>Lee, Chee Wan</v>
      </c>
      <c r="B2485" t="s">
        <v>5338</v>
      </c>
      <c r="C2485" t="s">
        <v>28</v>
      </c>
      <c r="D2485" t="s">
        <v>5339</v>
      </c>
      <c r="E2485" t="s">
        <v>8</v>
      </c>
      <c r="F2485" t="s">
        <v>1042</v>
      </c>
      <c r="G2485" t="s">
        <v>388</v>
      </c>
      <c r="H2485" t="s">
        <v>388</v>
      </c>
      <c r="I2485" t="s">
        <v>123</v>
      </c>
    </row>
    <row r="2486" spans="1:9" x14ac:dyDescent="0.25">
      <c r="A2486" s="1" t="str">
        <f>HYPERLINK("https://lynxcrm-apac--c.eu19.visual.force.com/0011i000001xo2rAAA","Lee, Cheng")</f>
        <v>Lee, Cheng</v>
      </c>
      <c r="B2486" t="s">
        <v>5340</v>
      </c>
      <c r="C2486" t="s">
        <v>28</v>
      </c>
      <c r="D2486" t="s">
        <v>815</v>
      </c>
      <c r="E2486" t="s">
        <v>8</v>
      </c>
      <c r="F2486" t="s">
        <v>5341</v>
      </c>
      <c r="G2486" t="s">
        <v>816</v>
      </c>
      <c r="H2486" t="s">
        <v>1888</v>
      </c>
      <c r="I2486" t="s">
        <v>817</v>
      </c>
    </row>
    <row r="2487" spans="1:9" x14ac:dyDescent="0.25">
      <c r="A2487" s="1" t="str">
        <f>HYPERLINK("https://lynxcrm-apac--c.eu19.visual.force.com/0011i000001xo2uAAA","Lee, Cheng Chuan")</f>
        <v>Lee, Cheng Chuan</v>
      </c>
      <c r="B2487" t="s">
        <v>5342</v>
      </c>
      <c r="C2487" t="s">
        <v>28</v>
      </c>
      <c r="D2487" t="s">
        <v>261</v>
      </c>
      <c r="E2487" t="s">
        <v>8</v>
      </c>
      <c r="F2487" t="s">
        <v>5343</v>
      </c>
      <c r="G2487" t="s">
        <v>258</v>
      </c>
      <c r="H2487" t="s">
        <v>259</v>
      </c>
      <c r="I2487" t="s">
        <v>260</v>
      </c>
    </row>
    <row r="2488" spans="1:9" x14ac:dyDescent="0.25">
      <c r="A2488" s="1" t="str">
        <f>HYPERLINK("https://lynxcrm-apac--c.eu19.visual.force.com/0011i000001xo2uAAA","Lee, Cheng Chuan")</f>
        <v>Lee, Cheng Chuan</v>
      </c>
      <c r="B2488" t="s">
        <v>5342</v>
      </c>
      <c r="C2488" t="s">
        <v>28</v>
      </c>
      <c r="D2488" t="s">
        <v>261</v>
      </c>
      <c r="E2488" t="s">
        <v>8</v>
      </c>
      <c r="F2488" t="s">
        <v>261</v>
      </c>
      <c r="G2488" t="s">
        <v>347</v>
      </c>
      <c r="H2488" t="s">
        <v>347</v>
      </c>
      <c r="I2488" t="s">
        <v>260</v>
      </c>
    </row>
    <row r="2489" spans="1:9" x14ac:dyDescent="0.25">
      <c r="A2489" s="1" t="str">
        <f>HYPERLINK("https://lynxcrm-apac--c.eu19.visual.force.com/0011i000001xnmJAAQ","Lee, Cheng Marilyn")</f>
        <v>Lee, Cheng Marilyn</v>
      </c>
      <c r="B2489" t="s">
        <v>5344</v>
      </c>
      <c r="C2489" t="s">
        <v>28</v>
      </c>
      <c r="D2489" t="s">
        <v>5345</v>
      </c>
      <c r="E2489" t="s">
        <v>8</v>
      </c>
      <c r="F2489" t="s">
        <v>5346</v>
      </c>
      <c r="G2489" t="s">
        <v>1838</v>
      </c>
      <c r="H2489" t="s">
        <v>1838</v>
      </c>
      <c r="I2489" t="s">
        <v>344</v>
      </c>
    </row>
    <row r="2490" spans="1:9" x14ac:dyDescent="0.25">
      <c r="A2490" s="1" t="str">
        <f>HYPERLINK("https://lynxcrm-apac--c.eu19.visual.force.com/0011i000001xoRHAAY","Lee, Chien Nien")</f>
        <v>Lee, Chien Nien</v>
      </c>
      <c r="B2490" t="s">
        <v>5347</v>
      </c>
      <c r="C2490" t="s">
        <v>28</v>
      </c>
      <c r="D2490" t="s">
        <v>5348</v>
      </c>
      <c r="E2490" t="s">
        <v>8</v>
      </c>
      <c r="F2490" t="s">
        <v>5349</v>
      </c>
      <c r="G2490" t="s">
        <v>5350</v>
      </c>
      <c r="H2490" t="s">
        <v>5350</v>
      </c>
      <c r="I2490" t="s">
        <v>5351</v>
      </c>
    </row>
    <row r="2491" spans="1:9" x14ac:dyDescent="0.25">
      <c r="A2491" s="1" t="str">
        <f>HYPERLINK("https://lynxcrm-apac--c.eu19.visual.force.com/0011i000001xot6AAA","Lee, Chon Sham")</f>
        <v>Lee, Chon Sham</v>
      </c>
      <c r="B2491" t="s">
        <v>5352</v>
      </c>
      <c r="C2491" t="s">
        <v>28</v>
      </c>
      <c r="D2491" t="s">
        <v>5353</v>
      </c>
      <c r="E2491" t="s">
        <v>8</v>
      </c>
      <c r="F2491" t="s">
        <v>5354</v>
      </c>
      <c r="G2491" t="s">
        <v>5354</v>
      </c>
      <c r="H2491" t="s">
        <v>5355</v>
      </c>
      <c r="I2491" t="s">
        <v>5356</v>
      </c>
    </row>
    <row r="2492" spans="1:9" x14ac:dyDescent="0.25">
      <c r="A2492" s="1" t="str">
        <f>HYPERLINK("https://lynxcrm-apac--c.eu19.visual.force.com/0011i000001xotBAAQ","Lee, Chuen Neng")</f>
        <v>Lee, Chuen Neng</v>
      </c>
      <c r="B2492" t="s">
        <v>5357</v>
      </c>
      <c r="C2492" t="s">
        <v>28</v>
      </c>
      <c r="D2492" t="s">
        <v>5358</v>
      </c>
      <c r="E2492" t="s">
        <v>8</v>
      </c>
      <c r="F2492" t="s">
        <v>69</v>
      </c>
      <c r="G2492" t="s">
        <v>1055</v>
      </c>
      <c r="H2492" t="s">
        <v>1056</v>
      </c>
      <c r="I2492" t="s">
        <v>67</v>
      </c>
    </row>
    <row r="2493" spans="1:9" x14ac:dyDescent="0.25">
      <c r="A2493" s="1" t="str">
        <f>HYPERLINK("https://lynxcrm-apac--c.eu19.visual.force.com/0011i000001xo2vAAA","Lee, Chung Horn")</f>
        <v>Lee, Chung Horn</v>
      </c>
      <c r="B2493" t="s">
        <v>5359</v>
      </c>
      <c r="C2493" t="s">
        <v>28</v>
      </c>
      <c r="D2493" t="s">
        <v>5360</v>
      </c>
      <c r="E2493" t="s">
        <v>8</v>
      </c>
      <c r="F2493" t="s">
        <v>69</v>
      </c>
      <c r="G2493" t="s">
        <v>5361</v>
      </c>
      <c r="H2493" t="s">
        <v>5362</v>
      </c>
      <c r="I2493" t="s">
        <v>67</v>
      </c>
    </row>
    <row r="2494" spans="1:9" x14ac:dyDescent="0.25">
      <c r="A2494" s="1" t="str">
        <f>HYPERLINK("https://lynxcrm-apac--c.eu19.visual.force.com/0011i000001xo2wAAA","Lee, Chung Yin")</f>
        <v>Lee, Chung Yin</v>
      </c>
      <c r="B2494" t="s">
        <v>5363</v>
      </c>
      <c r="C2494" t="s">
        <v>28</v>
      </c>
      <c r="D2494" t="s">
        <v>449</v>
      </c>
      <c r="E2494" t="s">
        <v>8</v>
      </c>
      <c r="F2494" t="s">
        <v>450</v>
      </c>
      <c r="G2494" t="s">
        <v>449</v>
      </c>
      <c r="H2494" t="s">
        <v>449</v>
      </c>
      <c r="I2494" t="s">
        <v>451</v>
      </c>
    </row>
    <row r="2495" spans="1:9" x14ac:dyDescent="0.25">
      <c r="A2495" s="1" t="str">
        <f>HYPERLINK("https://lynxcrm-apac--c.eu19.visual.force.com/0011i000001xo2wAAA","Lee, Chung Yin")</f>
        <v>Lee, Chung Yin</v>
      </c>
      <c r="B2495" t="s">
        <v>5363</v>
      </c>
      <c r="C2495" t="s">
        <v>28</v>
      </c>
      <c r="D2495" t="s">
        <v>449</v>
      </c>
      <c r="E2495" t="s">
        <v>8</v>
      </c>
      <c r="F2495" t="s">
        <v>234</v>
      </c>
      <c r="G2495" t="s">
        <v>452</v>
      </c>
      <c r="H2495" t="s">
        <v>453</v>
      </c>
      <c r="I2495" t="s">
        <v>454</v>
      </c>
    </row>
    <row r="2496" spans="1:9" x14ac:dyDescent="0.25">
      <c r="A2496" s="1" t="str">
        <f>HYPERLINK("https://lynxcrm-apac--c.eu19.visual.force.com/0011i00000Xf1HWAAZ","Lee, Chun Tsu")</f>
        <v>Lee, Chun Tsu</v>
      </c>
      <c r="B2496" t="s">
        <v>5364</v>
      </c>
      <c r="C2496" t="s">
        <v>28</v>
      </c>
      <c r="D2496" t="s">
        <v>429</v>
      </c>
      <c r="E2496" t="s">
        <v>8</v>
      </c>
      <c r="F2496" t="s">
        <v>594</v>
      </c>
      <c r="G2496" t="s">
        <v>595</v>
      </c>
      <c r="H2496" t="s">
        <v>8</v>
      </c>
      <c r="I2496" t="s">
        <v>596</v>
      </c>
    </row>
    <row r="2497" spans="1:9" x14ac:dyDescent="0.25">
      <c r="A2497" s="1" t="str">
        <f>HYPERLINK("https://lynxcrm-apac--c.eu19.visual.force.com/0011i000001xooaAAA","Lee, Chun Tsu")</f>
        <v>Lee, Chun Tsu</v>
      </c>
      <c r="B2497" t="s">
        <v>5365</v>
      </c>
      <c r="C2497" t="s">
        <v>28</v>
      </c>
      <c r="D2497" t="s">
        <v>429</v>
      </c>
      <c r="E2497" t="s">
        <v>8</v>
      </c>
      <c r="F2497" t="s">
        <v>429</v>
      </c>
      <c r="G2497" t="s">
        <v>428</v>
      </c>
      <c r="H2497" t="s">
        <v>428</v>
      </c>
      <c r="I2497" t="s">
        <v>430</v>
      </c>
    </row>
    <row r="2498" spans="1:9" x14ac:dyDescent="0.25">
      <c r="A2498" s="1" t="str">
        <f>HYPERLINK("https://lynxcrm-apac--c.eu19.visual.force.com/0011i000001xooaAAA","Lee, Chun Tsu")</f>
        <v>Lee, Chun Tsu</v>
      </c>
      <c r="B2498" t="s">
        <v>5365</v>
      </c>
      <c r="C2498" t="s">
        <v>28</v>
      </c>
      <c r="D2498" t="s">
        <v>429</v>
      </c>
      <c r="E2498" t="s">
        <v>8</v>
      </c>
      <c r="F2498" t="s">
        <v>444</v>
      </c>
      <c r="G2498" t="s">
        <v>444</v>
      </c>
      <c r="H2498" t="s">
        <v>8</v>
      </c>
      <c r="I2498" t="s">
        <v>430</v>
      </c>
    </row>
    <row r="2499" spans="1:9" x14ac:dyDescent="0.25">
      <c r="A2499" s="1" t="str">
        <f>HYPERLINK("https://lynxcrm-apac--c.eu19.visual.force.com/0011i000001xooaAAA","Lee, Chun Tsu")</f>
        <v>Lee, Chun Tsu</v>
      </c>
      <c r="B2499" t="s">
        <v>5365</v>
      </c>
      <c r="C2499" t="s">
        <v>28</v>
      </c>
      <c r="D2499" t="s">
        <v>429</v>
      </c>
      <c r="E2499" t="s">
        <v>8</v>
      </c>
      <c r="F2499" t="s">
        <v>445</v>
      </c>
      <c r="G2499" t="s">
        <v>428</v>
      </c>
      <c r="H2499" t="s">
        <v>428</v>
      </c>
      <c r="I2499" t="s">
        <v>430</v>
      </c>
    </row>
    <row r="2500" spans="1:9" x14ac:dyDescent="0.25">
      <c r="A2500" s="1" t="str">
        <f>HYPERLINK("https://lynxcrm-apac--c.eu19.visual.force.com/0011i000001xooaAAA","Lee, Chun Tsu")</f>
        <v>Lee, Chun Tsu</v>
      </c>
      <c r="B2500" t="s">
        <v>5365</v>
      </c>
      <c r="C2500" t="s">
        <v>28</v>
      </c>
      <c r="D2500" t="s">
        <v>429</v>
      </c>
      <c r="E2500" t="s">
        <v>8</v>
      </c>
      <c r="F2500" t="s">
        <v>444</v>
      </c>
      <c r="G2500" t="s">
        <v>444</v>
      </c>
      <c r="H2500" t="s">
        <v>8</v>
      </c>
      <c r="I2500" t="s">
        <v>8</v>
      </c>
    </row>
    <row r="2501" spans="1:9" x14ac:dyDescent="0.25">
      <c r="A2501" s="1" t="str">
        <f t="shared" ref="A2501:A2507" si="17">HYPERLINK("https://lynxcrm-apac--c.eu19.visual.force.com/0011i00000Q3ReJAAV","Lee, Daphne Hui Min")</f>
        <v>Lee, Daphne Hui Min</v>
      </c>
      <c r="B2501" t="s">
        <v>5366</v>
      </c>
      <c r="C2501" t="s">
        <v>28</v>
      </c>
      <c r="D2501" t="s">
        <v>501</v>
      </c>
      <c r="E2501" t="s">
        <v>8</v>
      </c>
      <c r="F2501" t="s">
        <v>501</v>
      </c>
      <c r="G2501" t="s">
        <v>502</v>
      </c>
      <c r="H2501" t="s">
        <v>502</v>
      </c>
      <c r="I2501" t="s">
        <v>506</v>
      </c>
    </row>
    <row r="2502" spans="1:9" x14ac:dyDescent="0.25">
      <c r="A2502" s="1" t="str">
        <f t="shared" si="17"/>
        <v>Lee, Daphne Hui Min</v>
      </c>
      <c r="B2502" t="s">
        <v>5366</v>
      </c>
      <c r="C2502" t="s">
        <v>28</v>
      </c>
      <c r="D2502" t="s">
        <v>8</v>
      </c>
      <c r="E2502" t="s">
        <v>8</v>
      </c>
      <c r="F2502" t="s">
        <v>246</v>
      </c>
      <c r="G2502" t="s">
        <v>502</v>
      </c>
      <c r="H2502" t="s">
        <v>503</v>
      </c>
      <c r="I2502" t="s">
        <v>504</v>
      </c>
    </row>
    <row r="2503" spans="1:9" x14ac:dyDescent="0.25">
      <c r="A2503" s="1" t="str">
        <f t="shared" si="17"/>
        <v>Lee, Daphne Hui Min</v>
      </c>
      <c r="B2503" t="s">
        <v>5366</v>
      </c>
      <c r="C2503" t="s">
        <v>28</v>
      </c>
      <c r="D2503" t="s">
        <v>501</v>
      </c>
      <c r="E2503" t="s">
        <v>8</v>
      </c>
      <c r="F2503" t="s">
        <v>502</v>
      </c>
      <c r="G2503" t="s">
        <v>502</v>
      </c>
      <c r="H2503" t="s">
        <v>503</v>
      </c>
      <c r="I2503" t="s">
        <v>504</v>
      </c>
    </row>
    <row r="2504" spans="1:9" x14ac:dyDescent="0.25">
      <c r="A2504" s="1" t="str">
        <f t="shared" si="17"/>
        <v>Lee, Daphne Hui Min</v>
      </c>
      <c r="B2504" t="s">
        <v>5366</v>
      </c>
      <c r="C2504" t="s">
        <v>28</v>
      </c>
      <c r="D2504" t="s">
        <v>501</v>
      </c>
      <c r="E2504" t="s">
        <v>8</v>
      </c>
      <c r="F2504" t="s">
        <v>246</v>
      </c>
      <c r="G2504" t="s">
        <v>502</v>
      </c>
      <c r="H2504" t="s">
        <v>503</v>
      </c>
      <c r="I2504" t="s">
        <v>504</v>
      </c>
    </row>
    <row r="2505" spans="1:9" x14ac:dyDescent="0.25">
      <c r="A2505" s="1" t="str">
        <f t="shared" si="17"/>
        <v>Lee, Daphne Hui Min</v>
      </c>
      <c r="B2505" t="s">
        <v>5366</v>
      </c>
      <c r="C2505" t="s">
        <v>28</v>
      </c>
      <c r="D2505" t="s">
        <v>501</v>
      </c>
      <c r="E2505" t="s">
        <v>8</v>
      </c>
      <c r="F2505" t="s">
        <v>246</v>
      </c>
      <c r="G2505" t="s">
        <v>502</v>
      </c>
      <c r="H2505" t="s">
        <v>503</v>
      </c>
      <c r="I2505" t="s">
        <v>505</v>
      </c>
    </row>
    <row r="2506" spans="1:9" x14ac:dyDescent="0.25">
      <c r="A2506" s="1" t="str">
        <f t="shared" si="17"/>
        <v>Lee, Daphne Hui Min</v>
      </c>
      <c r="B2506" t="s">
        <v>5366</v>
      </c>
      <c r="C2506" t="s">
        <v>28</v>
      </c>
      <c r="D2506" t="s">
        <v>501</v>
      </c>
      <c r="E2506" t="s">
        <v>8</v>
      </c>
      <c r="F2506" t="s">
        <v>234</v>
      </c>
      <c r="G2506" t="s">
        <v>502</v>
      </c>
      <c r="H2506" t="s">
        <v>503</v>
      </c>
      <c r="I2506" t="s">
        <v>504</v>
      </c>
    </row>
    <row r="2507" spans="1:9" x14ac:dyDescent="0.25">
      <c r="A2507" s="1" t="str">
        <f t="shared" si="17"/>
        <v>Lee, Daphne Hui Min</v>
      </c>
      <c r="B2507" t="s">
        <v>5366</v>
      </c>
      <c r="C2507" t="s">
        <v>28</v>
      </c>
      <c r="D2507" t="s">
        <v>501</v>
      </c>
      <c r="E2507" t="s">
        <v>8</v>
      </c>
      <c r="F2507" t="s">
        <v>359</v>
      </c>
      <c r="G2507" t="s">
        <v>502</v>
      </c>
      <c r="H2507" t="s">
        <v>503</v>
      </c>
      <c r="I2507" t="s">
        <v>506</v>
      </c>
    </row>
    <row r="2508" spans="1:9" x14ac:dyDescent="0.25">
      <c r="A2508" s="1" t="str">
        <f>HYPERLINK("https://lynxcrm-apac--c.eu19.visual.force.com/0011i000001xokiAAA","Lee, Ee Ching")</f>
        <v>Lee, Ee Ching</v>
      </c>
      <c r="B2508" t="s">
        <v>5367</v>
      </c>
      <c r="C2508" t="s">
        <v>28</v>
      </c>
      <c r="D2508" t="s">
        <v>335</v>
      </c>
      <c r="E2508" t="s">
        <v>8</v>
      </c>
      <c r="F2508" t="s">
        <v>336</v>
      </c>
      <c r="G2508" t="s">
        <v>337</v>
      </c>
      <c r="H2508" t="s">
        <v>337</v>
      </c>
      <c r="I2508" t="s">
        <v>338</v>
      </c>
    </row>
    <row r="2509" spans="1:9" x14ac:dyDescent="0.25">
      <c r="A2509" s="1" t="str">
        <f>HYPERLINK("https://lynxcrm-apac--c.eu19.visual.force.com/0011i000001xoNjAAI","Lee, Ee Lian")</f>
        <v>Lee, Ee Lian</v>
      </c>
      <c r="B2509" t="s">
        <v>5368</v>
      </c>
      <c r="C2509" t="s">
        <v>28</v>
      </c>
      <c r="D2509" t="s">
        <v>5369</v>
      </c>
      <c r="E2509" t="s">
        <v>8</v>
      </c>
      <c r="F2509" t="s">
        <v>885</v>
      </c>
      <c r="G2509" t="s">
        <v>886</v>
      </c>
      <c r="H2509" t="s">
        <v>886</v>
      </c>
      <c r="I2509" t="s">
        <v>887</v>
      </c>
    </row>
    <row r="2510" spans="1:9" x14ac:dyDescent="0.25">
      <c r="A2510" s="1" t="str">
        <f>HYPERLINK("https://lynxcrm-apac--c.eu19.visual.force.com/0011i000001xol1AAA","Lee, Elin")</f>
        <v>Lee, Elin</v>
      </c>
      <c r="B2510" t="s">
        <v>5370</v>
      </c>
      <c r="C2510" t="s">
        <v>28</v>
      </c>
      <c r="D2510" t="s">
        <v>148</v>
      </c>
      <c r="E2510" t="s">
        <v>8</v>
      </c>
      <c r="F2510" t="s">
        <v>736</v>
      </c>
      <c r="G2510" t="s">
        <v>736</v>
      </c>
      <c r="H2510" t="s">
        <v>8</v>
      </c>
      <c r="I2510" t="s">
        <v>149</v>
      </c>
    </row>
    <row r="2511" spans="1:9" x14ac:dyDescent="0.25">
      <c r="A2511" s="1" t="str">
        <f>HYPERLINK("https://lynxcrm-apac--c.eu19.visual.force.com/0011i000001xotIAAQ","Lee, Eng Hua")</f>
        <v>Lee, Eng Hua</v>
      </c>
      <c r="B2511" t="s">
        <v>5371</v>
      </c>
      <c r="C2511" t="s">
        <v>28</v>
      </c>
      <c r="D2511" t="s">
        <v>5372</v>
      </c>
      <c r="E2511" t="s">
        <v>8</v>
      </c>
      <c r="F2511" t="s">
        <v>5373</v>
      </c>
      <c r="G2511" t="s">
        <v>5374</v>
      </c>
      <c r="H2511" t="s">
        <v>5374</v>
      </c>
      <c r="I2511" t="s">
        <v>5375</v>
      </c>
    </row>
    <row r="2512" spans="1:9" x14ac:dyDescent="0.25">
      <c r="A2512" s="1" t="str">
        <f>HYPERLINK("https://lynxcrm-apac--c.eu19.visual.force.com/0011i00000ugBF7AAM","Lee, Ern Jie Abigail")</f>
        <v>Lee, Ern Jie Abigail</v>
      </c>
      <c r="B2512" t="s">
        <v>5376</v>
      </c>
      <c r="C2512" t="s">
        <v>28</v>
      </c>
      <c r="D2512" t="s">
        <v>8</v>
      </c>
      <c r="E2512" t="s">
        <v>8</v>
      </c>
      <c r="F2512" t="s">
        <v>1123</v>
      </c>
      <c r="G2512" t="s">
        <v>1123</v>
      </c>
      <c r="H2512" t="s">
        <v>1124</v>
      </c>
      <c r="I2512" t="s">
        <v>703</v>
      </c>
    </row>
    <row r="2513" spans="1:9" x14ac:dyDescent="0.25">
      <c r="A2513" s="1" t="str">
        <f>HYPERLINK("https://lynxcrm-apac--c.eu19.visual.force.com/0011i00000ugBF7AAM","Lee, Ern Jie Abigail")</f>
        <v>Lee, Ern Jie Abigail</v>
      </c>
      <c r="B2513" t="s">
        <v>5376</v>
      </c>
      <c r="C2513" t="s">
        <v>28</v>
      </c>
      <c r="D2513" t="s">
        <v>701</v>
      </c>
      <c r="E2513" t="s">
        <v>8</v>
      </c>
      <c r="F2513" t="s">
        <v>1123</v>
      </c>
      <c r="G2513" t="s">
        <v>1123</v>
      </c>
      <c r="H2513" t="s">
        <v>1124</v>
      </c>
      <c r="I2513" t="s">
        <v>703</v>
      </c>
    </row>
    <row r="2514" spans="1:9" x14ac:dyDescent="0.25">
      <c r="A2514" s="1" t="str">
        <f>HYPERLINK("https://lynxcrm-apac--c.eu19.visual.force.com/0011i000001xoUqAAI","Lee, Fang Jann")</f>
        <v>Lee, Fang Jann</v>
      </c>
      <c r="B2514" t="s">
        <v>5377</v>
      </c>
      <c r="C2514" t="s">
        <v>28</v>
      </c>
      <c r="D2514" t="s">
        <v>251</v>
      </c>
      <c r="E2514" t="s">
        <v>8</v>
      </c>
      <c r="F2514" t="s">
        <v>251</v>
      </c>
      <c r="G2514" t="s">
        <v>252</v>
      </c>
      <c r="H2514" t="s">
        <v>252</v>
      </c>
      <c r="I2514" t="s">
        <v>253</v>
      </c>
    </row>
    <row r="2515" spans="1:9" x14ac:dyDescent="0.25">
      <c r="A2515" s="1" t="str">
        <f>HYPERLINK("https://lynxcrm-apac--c.eu19.visual.force.com/0011i000001xoUqAAI","Lee, Fang Jann")</f>
        <v>Lee, Fang Jann</v>
      </c>
      <c r="B2515" t="s">
        <v>5377</v>
      </c>
      <c r="C2515" t="s">
        <v>28</v>
      </c>
      <c r="D2515" t="s">
        <v>1242</v>
      </c>
      <c r="E2515" t="s">
        <v>8</v>
      </c>
      <c r="F2515" t="s">
        <v>252</v>
      </c>
      <c r="G2515" t="s">
        <v>251</v>
      </c>
      <c r="H2515" t="s">
        <v>251</v>
      </c>
      <c r="I2515" t="s">
        <v>253</v>
      </c>
    </row>
    <row r="2516" spans="1:9" x14ac:dyDescent="0.25">
      <c r="A2516" s="1" t="str">
        <f>HYPERLINK("https://lynxcrm-apac--c.eu19.visual.force.com/0011i000001xo2xAAA","Lee, Gay Lin Josephine")</f>
        <v>Lee, Gay Lin Josephine</v>
      </c>
      <c r="B2516" t="s">
        <v>5378</v>
      </c>
      <c r="C2516" t="s">
        <v>28</v>
      </c>
      <c r="D2516" t="s">
        <v>5379</v>
      </c>
      <c r="E2516" t="s">
        <v>8</v>
      </c>
      <c r="F2516" t="s">
        <v>4599</v>
      </c>
      <c r="G2516" t="s">
        <v>4600</v>
      </c>
      <c r="H2516" t="s">
        <v>4600</v>
      </c>
      <c r="I2516" t="s">
        <v>4601</v>
      </c>
    </row>
    <row r="2517" spans="1:9" x14ac:dyDescent="0.25">
      <c r="A2517" s="1" t="str">
        <f>HYPERLINK("https://lynxcrm-apac--c.eu19.visual.force.com/0011i00000Xf1GyAAJ","Lee, Guek Eng")</f>
        <v>Lee, Guek Eng</v>
      </c>
      <c r="B2517" t="s">
        <v>5380</v>
      </c>
      <c r="C2517" t="s">
        <v>28</v>
      </c>
      <c r="D2517" t="s">
        <v>2027</v>
      </c>
      <c r="E2517" t="s">
        <v>8</v>
      </c>
      <c r="F2517" t="s">
        <v>2028</v>
      </c>
      <c r="G2517" t="s">
        <v>2029</v>
      </c>
      <c r="H2517" t="s">
        <v>8</v>
      </c>
      <c r="I2517" t="s">
        <v>488</v>
      </c>
    </row>
    <row r="2518" spans="1:9" x14ac:dyDescent="0.25">
      <c r="A2518" s="1" t="str">
        <f>HYPERLINK("https://lynxcrm-apac--c.eu19.visual.force.com/0011i000001xodoAAA","Lee, Haw Chou")</f>
        <v>Lee, Haw Chou</v>
      </c>
      <c r="B2518" t="s">
        <v>5381</v>
      </c>
      <c r="C2518" t="s">
        <v>28</v>
      </c>
      <c r="D2518" t="s">
        <v>5382</v>
      </c>
      <c r="E2518" t="s">
        <v>8</v>
      </c>
      <c r="F2518" t="s">
        <v>5383</v>
      </c>
      <c r="G2518" t="s">
        <v>5384</v>
      </c>
      <c r="H2518" t="s">
        <v>5384</v>
      </c>
      <c r="I2518" t="s">
        <v>5385</v>
      </c>
    </row>
    <row r="2519" spans="1:9" x14ac:dyDescent="0.25">
      <c r="A2519" s="1" t="str">
        <f>HYPERLINK("https://lynxcrm-apac--c.eu19.visual.force.com/0011i000001xoHgAAI","Lee, Hong Huei")</f>
        <v>Lee, Hong Huei</v>
      </c>
      <c r="B2519" t="s">
        <v>5386</v>
      </c>
      <c r="C2519" t="s">
        <v>28</v>
      </c>
      <c r="D2519" t="s">
        <v>578</v>
      </c>
      <c r="E2519" t="s">
        <v>8</v>
      </c>
      <c r="F2519" t="s">
        <v>730</v>
      </c>
      <c r="G2519" t="s">
        <v>731</v>
      </c>
      <c r="H2519" t="s">
        <v>731</v>
      </c>
      <c r="I2519" t="s">
        <v>733</v>
      </c>
    </row>
    <row r="2520" spans="1:9" x14ac:dyDescent="0.25">
      <c r="A2520" s="1" t="str">
        <f>HYPERLINK("https://lynxcrm-apac--c.eu19.visual.force.com/0011i000001xoNoAAI","Lee, Huei Yen")</f>
        <v>Lee, Huei Yen</v>
      </c>
      <c r="B2520" t="s">
        <v>5387</v>
      </c>
      <c r="C2520" t="s">
        <v>28</v>
      </c>
      <c r="D2520" t="s">
        <v>251</v>
      </c>
      <c r="E2520" t="s">
        <v>8</v>
      </c>
      <c r="F2520" t="s">
        <v>251</v>
      </c>
      <c r="G2520" t="s">
        <v>252</v>
      </c>
      <c r="H2520" t="s">
        <v>252</v>
      </c>
      <c r="I2520" t="s">
        <v>253</v>
      </c>
    </row>
    <row r="2521" spans="1:9" x14ac:dyDescent="0.25">
      <c r="A2521" s="1" t="str">
        <f>HYPERLINK("https://lynxcrm-apac--c.eu19.visual.force.com/0011i000001xoCTAAY","Lee, Hwee Huang")</f>
        <v>Lee, Hwee Huang</v>
      </c>
      <c r="B2521" t="s">
        <v>5388</v>
      </c>
      <c r="C2521" t="s">
        <v>28</v>
      </c>
      <c r="D2521" t="s">
        <v>202</v>
      </c>
      <c r="E2521" t="s">
        <v>8</v>
      </c>
      <c r="F2521" t="s">
        <v>202</v>
      </c>
      <c r="G2521" t="s">
        <v>203</v>
      </c>
      <c r="H2521" t="s">
        <v>203</v>
      </c>
      <c r="I2521" t="s">
        <v>200</v>
      </c>
    </row>
    <row r="2522" spans="1:9" x14ac:dyDescent="0.25">
      <c r="A2522" s="1" t="str">
        <f>HYPERLINK("https://lynxcrm-apac--c.eu19.visual.force.com/0011i000001xotTAAQ","Lee, Hwee Ming")</f>
        <v>Lee, Hwee Ming</v>
      </c>
      <c r="B2522" t="s">
        <v>5389</v>
      </c>
      <c r="C2522" t="s">
        <v>28</v>
      </c>
      <c r="D2522" t="s">
        <v>5390</v>
      </c>
      <c r="E2522" t="s">
        <v>8</v>
      </c>
      <c r="F2522" t="s">
        <v>5391</v>
      </c>
      <c r="G2522" t="s">
        <v>5392</v>
      </c>
      <c r="H2522" t="s">
        <v>5393</v>
      </c>
      <c r="I2522" t="s">
        <v>5394</v>
      </c>
    </row>
    <row r="2523" spans="1:9" x14ac:dyDescent="0.25">
      <c r="A2523" s="1" t="str">
        <f>HYPERLINK("https://lynxcrm-apac--c.eu19.visual.force.com/0011i000001xoswAAA","Lee, Jin Hwa")</f>
        <v>Lee, Jin Hwa</v>
      </c>
      <c r="B2523" t="s">
        <v>5395</v>
      </c>
      <c r="C2523" t="s">
        <v>28</v>
      </c>
      <c r="D2523" t="s">
        <v>2333</v>
      </c>
      <c r="E2523" t="s">
        <v>8</v>
      </c>
      <c r="F2523" t="s">
        <v>2334</v>
      </c>
      <c r="G2523" t="s">
        <v>2335</v>
      </c>
      <c r="H2523" t="s">
        <v>2335</v>
      </c>
      <c r="I2523" t="s">
        <v>2336</v>
      </c>
    </row>
    <row r="2524" spans="1:9" x14ac:dyDescent="0.25">
      <c r="A2524" s="1" t="str">
        <f>HYPERLINK("https://lynxcrm-apac--c.eu19.visual.force.com/0011i000001xoYPAAY","Lee, Jong Jian")</f>
        <v>Lee, Jong Jian</v>
      </c>
      <c r="B2524" t="s">
        <v>5396</v>
      </c>
      <c r="C2524" t="s">
        <v>28</v>
      </c>
      <c r="D2524" t="s">
        <v>261</v>
      </c>
      <c r="E2524" t="s">
        <v>8</v>
      </c>
      <c r="F2524" t="s">
        <v>261</v>
      </c>
      <c r="G2524" t="s">
        <v>347</v>
      </c>
      <c r="H2524" t="s">
        <v>347</v>
      </c>
      <c r="I2524" t="s">
        <v>260</v>
      </c>
    </row>
    <row r="2525" spans="1:9" x14ac:dyDescent="0.25">
      <c r="A2525" s="1" t="str">
        <f>HYPERLINK("https://lynxcrm-apac--c.eu19.visual.force.com/0011i000001xoYPAAY","Lee, Jong Jian")</f>
        <v>Lee, Jong Jian</v>
      </c>
      <c r="B2525" t="s">
        <v>5396</v>
      </c>
      <c r="C2525" t="s">
        <v>28</v>
      </c>
      <c r="D2525" t="s">
        <v>1318</v>
      </c>
      <c r="E2525" t="s">
        <v>8</v>
      </c>
      <c r="F2525" t="s">
        <v>258</v>
      </c>
      <c r="G2525" t="s">
        <v>261</v>
      </c>
      <c r="H2525" t="s">
        <v>261</v>
      </c>
      <c r="I2525" t="s">
        <v>260</v>
      </c>
    </row>
    <row r="2526" spans="1:9" x14ac:dyDescent="0.25">
      <c r="A2526" s="1" t="str">
        <f>HYPERLINK("https://lynxcrm-apac--c.eu19.visual.force.com/0011i00000tVKNUAA4","Lee, Joon Loong")</f>
        <v>Lee, Joon Loong</v>
      </c>
      <c r="B2526" t="s">
        <v>5397</v>
      </c>
      <c r="C2526" t="s">
        <v>28</v>
      </c>
      <c r="D2526" t="s">
        <v>5398</v>
      </c>
      <c r="E2526" t="s">
        <v>8</v>
      </c>
      <c r="F2526" t="s">
        <v>5399</v>
      </c>
      <c r="G2526" t="s">
        <v>5400</v>
      </c>
      <c r="H2526" t="s">
        <v>8</v>
      </c>
      <c r="I2526" t="s">
        <v>5401</v>
      </c>
    </row>
    <row r="2527" spans="1:9" x14ac:dyDescent="0.25">
      <c r="A2527" s="1" t="str">
        <f>HYPERLINK("https://lynxcrm-apac--c.eu19.visual.force.com/0011i000001xoafAAA","Lee, Kah Moon")</f>
        <v>Lee, Kah Moon</v>
      </c>
      <c r="B2527" t="s">
        <v>5402</v>
      </c>
      <c r="C2527" t="s">
        <v>28</v>
      </c>
      <c r="D2527" t="s">
        <v>545</v>
      </c>
      <c r="E2527" t="s">
        <v>8</v>
      </c>
      <c r="F2527" t="s">
        <v>546</v>
      </c>
      <c r="G2527" t="s">
        <v>547</v>
      </c>
      <c r="H2527" t="s">
        <v>547</v>
      </c>
      <c r="I2527" t="s">
        <v>548</v>
      </c>
    </row>
    <row r="2528" spans="1:9" x14ac:dyDescent="0.25">
      <c r="A2528" s="1" t="str">
        <f>HYPERLINK("https://lynxcrm-apac--c.eu19.visual.force.com/0011i000001xor0AAA","Lee, Kai Xin")</f>
        <v>Lee, Kai Xin</v>
      </c>
      <c r="B2528" t="s">
        <v>5403</v>
      </c>
      <c r="C2528" t="s">
        <v>28</v>
      </c>
      <c r="D2528" t="s">
        <v>5404</v>
      </c>
      <c r="E2528" t="s">
        <v>8</v>
      </c>
      <c r="F2528" t="s">
        <v>5405</v>
      </c>
      <c r="G2528" t="s">
        <v>2906</v>
      </c>
      <c r="H2528" t="s">
        <v>2906</v>
      </c>
      <c r="I2528" t="s">
        <v>5406</v>
      </c>
    </row>
    <row r="2529" spans="1:9" x14ac:dyDescent="0.25">
      <c r="A2529" s="1" t="str">
        <f>HYPERLINK("https://lynxcrm-apac--c.eu19.visual.force.com/0011i000001xnmSAAQ","Lee, Kawai Denyse")</f>
        <v>Lee, Kawai Denyse</v>
      </c>
      <c r="B2529" t="s">
        <v>5407</v>
      </c>
      <c r="C2529" t="s">
        <v>28</v>
      </c>
      <c r="D2529" t="s">
        <v>1698</v>
      </c>
      <c r="E2529" t="s">
        <v>8</v>
      </c>
      <c r="F2529" t="s">
        <v>2273</v>
      </c>
      <c r="G2529" t="s">
        <v>2273</v>
      </c>
      <c r="H2529" t="s">
        <v>8</v>
      </c>
      <c r="I2529" t="s">
        <v>8</v>
      </c>
    </row>
    <row r="2530" spans="1:9" x14ac:dyDescent="0.25">
      <c r="A2530" s="1" t="str">
        <f>HYPERLINK("https://lynxcrm-apac--c.eu19.visual.force.com/0011i000001xotXAAQ","Lee, Keen Khuen Daniel")</f>
        <v>Lee, Keen Khuen Daniel</v>
      </c>
      <c r="B2530" t="s">
        <v>5408</v>
      </c>
      <c r="C2530" t="s">
        <v>28</v>
      </c>
      <c r="D2530" t="s">
        <v>5372</v>
      </c>
      <c r="E2530" t="s">
        <v>8</v>
      </c>
      <c r="F2530" t="s">
        <v>5409</v>
      </c>
      <c r="G2530" t="s">
        <v>1515</v>
      </c>
      <c r="H2530" t="s">
        <v>1515</v>
      </c>
      <c r="I2530" t="s">
        <v>2040</v>
      </c>
    </row>
    <row r="2531" spans="1:9" x14ac:dyDescent="0.25">
      <c r="A2531" s="1" t="str">
        <f>HYPERLINK("https://lynxcrm-apac--c.eu19.visual.force.com/0011i000001xotbAAA","Lee, Keen Whye")</f>
        <v>Lee, Keen Whye</v>
      </c>
      <c r="B2531" t="s">
        <v>5410</v>
      </c>
      <c r="C2531" t="s">
        <v>28</v>
      </c>
      <c r="D2531" t="s">
        <v>5411</v>
      </c>
      <c r="E2531" t="s">
        <v>8</v>
      </c>
      <c r="F2531" t="s">
        <v>69</v>
      </c>
      <c r="G2531" t="s">
        <v>2812</v>
      </c>
      <c r="H2531" t="s">
        <v>2813</v>
      </c>
      <c r="I2531" t="s">
        <v>67</v>
      </c>
    </row>
    <row r="2532" spans="1:9" x14ac:dyDescent="0.25">
      <c r="A2532" s="1" t="str">
        <f>HYPERLINK("https://lynxcrm-apac--c.eu19.visual.force.com/0011i000001xofDAAQ","Lee, Keng Thiam")</f>
        <v>Lee, Keng Thiam</v>
      </c>
      <c r="B2532" t="s">
        <v>5412</v>
      </c>
      <c r="C2532" t="s">
        <v>28</v>
      </c>
      <c r="D2532" t="s">
        <v>261</v>
      </c>
      <c r="E2532" t="s">
        <v>8</v>
      </c>
      <c r="F2532" t="s">
        <v>427</v>
      </c>
      <c r="G2532" t="s">
        <v>258</v>
      </c>
      <c r="H2532" t="s">
        <v>258</v>
      </c>
      <c r="I2532" t="s">
        <v>260</v>
      </c>
    </row>
    <row r="2533" spans="1:9" x14ac:dyDescent="0.25">
      <c r="A2533" s="1" t="str">
        <f>HYPERLINK("https://lynxcrm-apac--c.eu19.visual.force.com/0011i000001xotfAAA","Lee, Kheng Chew")</f>
        <v>Lee, Kheng Chew</v>
      </c>
      <c r="B2533" t="s">
        <v>5413</v>
      </c>
      <c r="C2533" t="s">
        <v>28</v>
      </c>
      <c r="D2533" t="s">
        <v>774</v>
      </c>
      <c r="E2533" t="s">
        <v>8</v>
      </c>
      <c r="F2533" t="s">
        <v>679</v>
      </c>
      <c r="G2533" t="s">
        <v>2449</v>
      </c>
      <c r="H2533" t="s">
        <v>2450</v>
      </c>
      <c r="I2533" t="s">
        <v>115</v>
      </c>
    </row>
    <row r="2534" spans="1:9" x14ac:dyDescent="0.25">
      <c r="A2534" s="1" t="str">
        <f>HYPERLINK("https://lynxcrm-apac--c.eu19.visual.force.com/0011i000001xothAAA","Lee, Kheng Hin")</f>
        <v>Lee, Kheng Hin</v>
      </c>
      <c r="B2534" t="s">
        <v>5414</v>
      </c>
      <c r="C2534" t="s">
        <v>28</v>
      </c>
      <c r="D2534" t="s">
        <v>5415</v>
      </c>
      <c r="E2534" t="s">
        <v>8</v>
      </c>
      <c r="F2534" t="s">
        <v>69</v>
      </c>
      <c r="G2534" t="s">
        <v>5416</v>
      </c>
      <c r="H2534" t="s">
        <v>5417</v>
      </c>
      <c r="I2534" t="s">
        <v>67</v>
      </c>
    </row>
    <row r="2535" spans="1:9" x14ac:dyDescent="0.25">
      <c r="A2535" s="1" t="str">
        <f>HYPERLINK("https://lynxcrm-apac--c.eu19.visual.force.com/0011i000001xotjAAA","Lee, Kheng Hock")</f>
        <v>Lee, Kheng Hock</v>
      </c>
      <c r="B2535" t="s">
        <v>5418</v>
      </c>
      <c r="C2535" t="s">
        <v>28</v>
      </c>
      <c r="D2535" t="s">
        <v>5419</v>
      </c>
      <c r="E2535" t="s">
        <v>8</v>
      </c>
      <c r="F2535" t="s">
        <v>866</v>
      </c>
      <c r="G2535" t="s">
        <v>3429</v>
      </c>
      <c r="H2535" t="s">
        <v>5420</v>
      </c>
      <c r="I2535" t="s">
        <v>867</v>
      </c>
    </row>
    <row r="2536" spans="1:9" x14ac:dyDescent="0.25">
      <c r="A2536" s="1" t="str">
        <f>HYPERLINK("https://lynxcrm-apac--c.eu19.visual.force.com/0011i000001xoMbAAI","Lee, Kheng Thiam")</f>
        <v>Lee, Kheng Thiam</v>
      </c>
      <c r="B2536" t="s">
        <v>5421</v>
      </c>
      <c r="C2536" t="s">
        <v>28</v>
      </c>
      <c r="D2536" t="s">
        <v>368</v>
      </c>
      <c r="E2536" t="s">
        <v>8</v>
      </c>
      <c r="F2536" t="s">
        <v>360</v>
      </c>
      <c r="G2536" t="s">
        <v>1253</v>
      </c>
      <c r="H2536" t="s">
        <v>1253</v>
      </c>
      <c r="I2536" t="s">
        <v>362</v>
      </c>
    </row>
    <row r="2537" spans="1:9" x14ac:dyDescent="0.25">
      <c r="A2537" s="1" t="str">
        <f>HYPERLINK("https://lynxcrm-apac--c.eu19.visual.force.com/0011i000001xngcAAA","Lee, Kien Wei")</f>
        <v>Lee, Kien Wei</v>
      </c>
      <c r="B2537" t="s">
        <v>5422</v>
      </c>
      <c r="C2537" t="s">
        <v>28</v>
      </c>
      <c r="D2537" t="s">
        <v>335</v>
      </c>
      <c r="E2537" t="s">
        <v>8</v>
      </c>
      <c r="F2537" t="s">
        <v>336</v>
      </c>
      <c r="G2537" t="s">
        <v>337</v>
      </c>
      <c r="H2537" t="s">
        <v>337</v>
      </c>
      <c r="I2537" t="s">
        <v>338</v>
      </c>
    </row>
    <row r="2538" spans="1:9" x14ac:dyDescent="0.25">
      <c r="A2538" s="1" t="str">
        <f>HYPERLINK("https://lynxcrm-apac--c.eu19.visual.force.com/0011i000001xoCyAAI","Lee, Kim Kee")</f>
        <v>Lee, Kim Kee</v>
      </c>
      <c r="B2538" t="s">
        <v>5423</v>
      </c>
      <c r="C2538" t="s">
        <v>28</v>
      </c>
      <c r="D2538" t="s">
        <v>5424</v>
      </c>
      <c r="E2538" t="s">
        <v>8</v>
      </c>
      <c r="F2538" t="s">
        <v>5425</v>
      </c>
      <c r="G2538" t="s">
        <v>1454</v>
      </c>
      <c r="H2538" t="s">
        <v>1454</v>
      </c>
      <c r="I2538" t="s">
        <v>5426</v>
      </c>
    </row>
    <row r="2539" spans="1:9" x14ac:dyDescent="0.25">
      <c r="A2539" s="1" t="str">
        <f>HYPERLINK("https://lynxcrm-apac--c.eu19.visual.force.com/0011i00000oYBECAA4","Lee, Kin Chern")</f>
        <v>Lee, Kin Chern</v>
      </c>
      <c r="B2539" t="s">
        <v>5427</v>
      </c>
      <c r="C2539" t="s">
        <v>28</v>
      </c>
      <c r="D2539" t="s">
        <v>8</v>
      </c>
      <c r="E2539" t="s">
        <v>8</v>
      </c>
      <c r="F2539" t="s">
        <v>393</v>
      </c>
      <c r="G2539" t="s">
        <v>394</v>
      </c>
      <c r="H2539" t="s">
        <v>395</v>
      </c>
      <c r="I2539" t="s">
        <v>396</v>
      </c>
    </row>
    <row r="2540" spans="1:9" x14ac:dyDescent="0.25">
      <c r="A2540" s="1" t="str">
        <f>HYPERLINK("https://lynxcrm-apac--c.eu19.visual.force.com/0011i00000oYBECAA4","Lee, Kin Chern")</f>
        <v>Lee, Kin Chern</v>
      </c>
      <c r="B2540" t="s">
        <v>5427</v>
      </c>
      <c r="C2540" t="s">
        <v>28</v>
      </c>
      <c r="D2540" t="s">
        <v>392</v>
      </c>
      <c r="E2540" t="s">
        <v>8</v>
      </c>
      <c r="F2540" t="s">
        <v>393</v>
      </c>
      <c r="G2540" t="s">
        <v>394</v>
      </c>
      <c r="H2540" t="s">
        <v>395</v>
      </c>
      <c r="I2540" t="s">
        <v>396</v>
      </c>
    </row>
    <row r="2541" spans="1:9" x14ac:dyDescent="0.25">
      <c r="A2541" s="1" t="str">
        <f>HYPERLINK("https://lynxcrm-apac--c.eu19.visual.force.com/0011i000001xoQ8AAI","Lee, King Chien")</f>
        <v>Lee, King Chien</v>
      </c>
      <c r="B2541" t="s">
        <v>5428</v>
      </c>
      <c r="C2541" t="s">
        <v>28</v>
      </c>
      <c r="D2541" t="s">
        <v>251</v>
      </c>
      <c r="E2541" t="s">
        <v>8</v>
      </c>
      <c r="F2541" t="s">
        <v>251</v>
      </c>
      <c r="G2541" t="s">
        <v>252</v>
      </c>
      <c r="H2541" t="s">
        <v>252</v>
      </c>
      <c r="I2541" t="s">
        <v>253</v>
      </c>
    </row>
    <row r="2542" spans="1:9" x14ac:dyDescent="0.25">
      <c r="A2542" s="1" t="str">
        <f>HYPERLINK("https://lynxcrm-apac--c.eu19.visual.force.com/0011i000001xoQ8AAI","Lee, King Chien")</f>
        <v>Lee, King Chien</v>
      </c>
      <c r="B2542" t="s">
        <v>5428</v>
      </c>
      <c r="C2542" t="s">
        <v>28</v>
      </c>
      <c r="D2542" t="s">
        <v>1242</v>
      </c>
      <c r="E2542" t="s">
        <v>8</v>
      </c>
      <c r="F2542" t="s">
        <v>252</v>
      </c>
      <c r="G2542" t="s">
        <v>251</v>
      </c>
      <c r="H2542" t="s">
        <v>251</v>
      </c>
      <c r="I2542" t="s">
        <v>253</v>
      </c>
    </row>
    <row r="2543" spans="1:9" x14ac:dyDescent="0.25">
      <c r="A2543" s="1" t="str">
        <f>HYPERLINK("https://lynxcrm-apac--c.eu19.visual.force.com/0011i000001xoEIAAY","Lee, Kin Weng")</f>
        <v>Lee, Kin Weng</v>
      </c>
      <c r="B2543" t="s">
        <v>5429</v>
      </c>
      <c r="C2543" t="s">
        <v>28</v>
      </c>
      <c r="D2543" t="s">
        <v>545</v>
      </c>
      <c r="E2543" t="s">
        <v>8</v>
      </c>
      <c r="F2543" t="s">
        <v>844</v>
      </c>
      <c r="G2543" t="s">
        <v>845</v>
      </c>
      <c r="H2543" t="s">
        <v>846</v>
      </c>
      <c r="I2543" t="s">
        <v>847</v>
      </c>
    </row>
    <row r="2544" spans="1:9" x14ac:dyDescent="0.25">
      <c r="A2544" s="1" t="str">
        <f>HYPERLINK("https://lynxcrm-apac--c.eu19.visual.force.com/0011i000001xoH4AAI","Lee, Kok Onn")</f>
        <v>Lee, Kok Onn</v>
      </c>
      <c r="B2544" t="s">
        <v>5430</v>
      </c>
      <c r="C2544" t="s">
        <v>28</v>
      </c>
      <c r="D2544" t="s">
        <v>429</v>
      </c>
      <c r="E2544" t="s">
        <v>8</v>
      </c>
      <c r="F2544" t="s">
        <v>246</v>
      </c>
      <c r="G2544" t="s">
        <v>428</v>
      </c>
      <c r="H2544" t="s">
        <v>1320</v>
      </c>
      <c r="I2544" t="s">
        <v>430</v>
      </c>
    </row>
    <row r="2545" spans="1:9" x14ac:dyDescent="0.25">
      <c r="A2545" s="1" t="str">
        <f>HYPERLINK("https://lynxcrm-apac--c.eu19.visual.force.com/0011i000001xoH4AAI","Lee, Kok Onn")</f>
        <v>Lee, Kok Onn</v>
      </c>
      <c r="B2545" t="s">
        <v>5430</v>
      </c>
      <c r="C2545" t="s">
        <v>28</v>
      </c>
      <c r="D2545" t="s">
        <v>429</v>
      </c>
      <c r="E2545" t="s">
        <v>8</v>
      </c>
      <c r="F2545" t="s">
        <v>429</v>
      </c>
      <c r="G2545" t="s">
        <v>428</v>
      </c>
      <c r="H2545" t="s">
        <v>428</v>
      </c>
      <c r="I2545" t="s">
        <v>430</v>
      </c>
    </row>
    <row r="2546" spans="1:9" x14ac:dyDescent="0.25">
      <c r="A2546" s="1" t="str">
        <f>HYPERLINK("https://lynxcrm-apac--c.eu19.visual.force.com/0011i000001xocsAAA","Lee, Kong How")</f>
        <v>Lee, Kong How</v>
      </c>
      <c r="B2546" t="s">
        <v>5431</v>
      </c>
      <c r="C2546" t="s">
        <v>28</v>
      </c>
      <c r="D2546" t="s">
        <v>1898</v>
      </c>
      <c r="E2546" t="s">
        <v>8</v>
      </c>
      <c r="F2546" t="s">
        <v>1899</v>
      </c>
      <c r="G2546" t="s">
        <v>1900</v>
      </c>
      <c r="H2546" t="s">
        <v>3017</v>
      </c>
      <c r="I2546" t="s">
        <v>1902</v>
      </c>
    </row>
    <row r="2547" spans="1:9" x14ac:dyDescent="0.25">
      <c r="A2547" s="1" t="str">
        <f>HYPERLINK("https://lynxcrm-apac--c.eu19.visual.force.com/0011i000001xnfpAAA","Lee, Kong How (2)")</f>
        <v>Lee, Kong How (2)</v>
      </c>
      <c r="B2547" t="s">
        <v>5432</v>
      </c>
      <c r="C2547" t="s">
        <v>28</v>
      </c>
      <c r="D2547" t="s">
        <v>1898</v>
      </c>
      <c r="E2547" t="s">
        <v>8</v>
      </c>
      <c r="F2547" t="s">
        <v>3019</v>
      </c>
      <c r="G2547" t="s">
        <v>3020</v>
      </c>
      <c r="H2547" t="s">
        <v>3020</v>
      </c>
      <c r="I2547" t="s">
        <v>3021</v>
      </c>
    </row>
    <row r="2548" spans="1:9" x14ac:dyDescent="0.25">
      <c r="A2548" s="1" t="str">
        <f>HYPERLINK("https://lynxcrm-apac--c.eu19.visual.force.com/0011i000001xnviAAA","Lee, Kusuma Widjaja")</f>
        <v>Lee, Kusuma Widjaja</v>
      </c>
      <c r="B2548" t="s">
        <v>5433</v>
      </c>
      <c r="C2548" t="s">
        <v>28</v>
      </c>
      <c r="D2548" t="s">
        <v>5434</v>
      </c>
      <c r="E2548" t="s">
        <v>8</v>
      </c>
      <c r="F2548" t="s">
        <v>675</v>
      </c>
      <c r="G2548" t="s">
        <v>5435</v>
      </c>
      <c r="H2548" t="s">
        <v>5435</v>
      </c>
      <c r="I2548" t="s">
        <v>677</v>
      </c>
    </row>
    <row r="2549" spans="1:9" x14ac:dyDescent="0.25">
      <c r="A2549" s="1" t="str">
        <f>HYPERLINK("https://lynxcrm-apac--c.eu19.visual.force.com/0011i000001xofJAAQ","Lee, Kwang Hao")</f>
        <v>Lee, Kwang Hao</v>
      </c>
      <c r="B2549" t="s">
        <v>5436</v>
      </c>
      <c r="C2549" t="s">
        <v>28</v>
      </c>
      <c r="D2549" t="s">
        <v>148</v>
      </c>
      <c r="E2549" t="s">
        <v>8</v>
      </c>
      <c r="F2549" t="s">
        <v>736</v>
      </c>
      <c r="G2549" t="s">
        <v>736</v>
      </c>
      <c r="H2549" t="s">
        <v>8</v>
      </c>
      <c r="I2549" t="s">
        <v>149</v>
      </c>
    </row>
    <row r="2550" spans="1:9" x14ac:dyDescent="0.25">
      <c r="A2550" s="1" t="str">
        <f>HYPERLINK("https://lynxcrm-apac--c.eu19.visual.force.com/0011i000001xotrAAA","Lee, Lai Kit Sylvia")</f>
        <v>Lee, Lai Kit Sylvia</v>
      </c>
      <c r="B2550" t="s">
        <v>5437</v>
      </c>
      <c r="C2550" t="s">
        <v>28</v>
      </c>
      <c r="D2550" t="s">
        <v>5438</v>
      </c>
      <c r="E2550" t="s">
        <v>8</v>
      </c>
      <c r="F2550" t="s">
        <v>5439</v>
      </c>
      <c r="G2550" t="s">
        <v>5440</v>
      </c>
      <c r="H2550" t="s">
        <v>5440</v>
      </c>
      <c r="I2550" t="s">
        <v>5441</v>
      </c>
    </row>
    <row r="2551" spans="1:9" x14ac:dyDescent="0.25">
      <c r="A2551" s="1" t="str">
        <f>HYPERLINK("https://lynxcrm-apac--c.eu19.visual.force.com/0011i000001xoBCAAY","Lee, Liang Tee")</f>
        <v>Lee, Liang Tee</v>
      </c>
      <c r="B2551" t="s">
        <v>5442</v>
      </c>
      <c r="C2551" t="s">
        <v>28</v>
      </c>
      <c r="D2551" t="s">
        <v>261</v>
      </c>
      <c r="E2551" t="s">
        <v>8</v>
      </c>
      <c r="F2551" t="s">
        <v>359</v>
      </c>
      <c r="G2551" t="s">
        <v>258</v>
      </c>
      <c r="H2551" t="s">
        <v>259</v>
      </c>
      <c r="I2551" t="s">
        <v>260</v>
      </c>
    </row>
    <row r="2552" spans="1:9" x14ac:dyDescent="0.25">
      <c r="A2552" s="1" t="str">
        <f>HYPERLINK("https://lynxcrm-apac--c.eu19.visual.force.com/0011i000001xoNwAAI","Lee, Lip Seng")</f>
        <v>Lee, Lip Seng</v>
      </c>
      <c r="B2552" t="s">
        <v>5443</v>
      </c>
      <c r="C2552" t="s">
        <v>28</v>
      </c>
      <c r="D2552" t="s">
        <v>583</v>
      </c>
      <c r="E2552" t="s">
        <v>8</v>
      </c>
      <c r="F2552" t="s">
        <v>583</v>
      </c>
      <c r="G2552" t="s">
        <v>584</v>
      </c>
      <c r="H2552" t="s">
        <v>584</v>
      </c>
      <c r="I2552" t="s">
        <v>585</v>
      </c>
    </row>
    <row r="2553" spans="1:9" x14ac:dyDescent="0.25">
      <c r="A2553" s="1" t="str">
        <f>HYPERLINK("https://lynxcrm-apac--c.eu19.visual.force.com/0011i00000Q2V7tAAF","Lee, Martin")</f>
        <v>Lee, Martin</v>
      </c>
      <c r="B2553" t="s">
        <v>5444</v>
      </c>
      <c r="C2553" t="s">
        <v>28</v>
      </c>
      <c r="D2553" t="s">
        <v>8</v>
      </c>
      <c r="E2553" t="s">
        <v>8</v>
      </c>
      <c r="F2553" t="s">
        <v>2128</v>
      </c>
      <c r="G2553" t="s">
        <v>428</v>
      </c>
      <c r="H2553" t="s">
        <v>1320</v>
      </c>
      <c r="I2553" t="s">
        <v>430</v>
      </c>
    </row>
    <row r="2554" spans="1:9" x14ac:dyDescent="0.25">
      <c r="A2554" s="1" t="str">
        <f>HYPERLINK("https://lynxcrm-apac--c.eu19.visual.force.com/0011i00000Q2V7tAAF","Lee, Martin")</f>
        <v>Lee, Martin</v>
      </c>
      <c r="B2554" t="s">
        <v>5444</v>
      </c>
      <c r="C2554" t="s">
        <v>28</v>
      </c>
      <c r="D2554" t="s">
        <v>429</v>
      </c>
      <c r="E2554" t="s">
        <v>8</v>
      </c>
      <c r="F2554" t="s">
        <v>2128</v>
      </c>
      <c r="G2554" t="s">
        <v>428</v>
      </c>
      <c r="H2554" t="s">
        <v>1320</v>
      </c>
      <c r="I2554" t="s">
        <v>430</v>
      </c>
    </row>
    <row r="2555" spans="1:9" x14ac:dyDescent="0.25">
      <c r="A2555" s="1" t="str">
        <f>HYPERLINK("https://lynxcrm-apac--c.eu19.visual.force.com/0011i000001xoFBAAY","Lee, Meng Kam Richard")</f>
        <v>Lee, Meng Kam Richard</v>
      </c>
      <c r="B2555" t="s">
        <v>5445</v>
      </c>
      <c r="C2555" t="s">
        <v>28</v>
      </c>
      <c r="D2555" t="s">
        <v>1333</v>
      </c>
      <c r="E2555" t="s">
        <v>8</v>
      </c>
      <c r="F2555" t="s">
        <v>2225</v>
      </c>
      <c r="G2555" t="s">
        <v>2226</v>
      </c>
      <c r="H2555" t="s">
        <v>2226</v>
      </c>
      <c r="I2555" t="s">
        <v>2227</v>
      </c>
    </row>
    <row r="2556" spans="1:9" x14ac:dyDescent="0.25">
      <c r="A2556" s="1" t="str">
        <f>HYPERLINK("https://lynxcrm-apac--c.eu19.visual.force.com/0011i000001xoFBAAY","Lee, Meng Kam Richard")</f>
        <v>Lee, Meng Kam Richard</v>
      </c>
      <c r="B2556" t="s">
        <v>5445</v>
      </c>
      <c r="C2556" t="s">
        <v>28</v>
      </c>
      <c r="D2556" t="s">
        <v>21</v>
      </c>
      <c r="E2556" t="s">
        <v>8</v>
      </c>
      <c r="F2556" t="s">
        <v>5446</v>
      </c>
      <c r="G2556" t="s">
        <v>5446</v>
      </c>
      <c r="H2556" t="s">
        <v>5447</v>
      </c>
      <c r="I2556" t="s">
        <v>22</v>
      </c>
    </row>
    <row r="2557" spans="1:9" x14ac:dyDescent="0.25">
      <c r="A2557" s="1" t="str">
        <f>HYPERLINK("https://lynxcrm-apac--c.eu19.visual.force.com/0011i000001xotzAAA","Lee, Meow Yoong")</f>
        <v>Lee, Meow Yoong</v>
      </c>
      <c r="B2557" t="s">
        <v>5448</v>
      </c>
      <c r="C2557" t="s">
        <v>28</v>
      </c>
      <c r="D2557" t="s">
        <v>5449</v>
      </c>
      <c r="E2557" t="s">
        <v>8</v>
      </c>
      <c r="F2557" t="s">
        <v>4679</v>
      </c>
      <c r="G2557" t="s">
        <v>4680</v>
      </c>
      <c r="H2557" t="s">
        <v>4681</v>
      </c>
      <c r="I2557" t="s">
        <v>3912</v>
      </c>
    </row>
    <row r="2558" spans="1:9" x14ac:dyDescent="0.25">
      <c r="A2558" s="1" t="str">
        <f>HYPERLINK("https://lynxcrm-apac--c.eu19.visual.force.com/0011i00000YUxi1AAD","Lee, Mingyong")</f>
        <v>Lee, Mingyong</v>
      </c>
      <c r="B2558" t="s">
        <v>5450</v>
      </c>
      <c r="C2558" t="s">
        <v>28</v>
      </c>
      <c r="D2558" t="s">
        <v>540</v>
      </c>
      <c r="E2558" t="s">
        <v>8</v>
      </c>
      <c r="F2558" t="s">
        <v>542</v>
      </c>
      <c r="G2558" t="s">
        <v>706</v>
      </c>
      <c r="H2558" t="s">
        <v>706</v>
      </c>
      <c r="I2558" t="s">
        <v>543</v>
      </c>
    </row>
    <row r="2559" spans="1:9" x14ac:dyDescent="0.25">
      <c r="A2559" s="1" t="str">
        <f>HYPERLINK("https://lynxcrm-apac--c.eu19.visual.force.com/0011i00000YUxi1AAD","Lee, Mingyong")</f>
        <v>Lee, Mingyong</v>
      </c>
      <c r="B2559" t="s">
        <v>5450</v>
      </c>
      <c r="C2559" t="s">
        <v>28</v>
      </c>
      <c r="D2559" t="s">
        <v>540</v>
      </c>
      <c r="E2559" t="s">
        <v>8</v>
      </c>
      <c r="F2559" t="s">
        <v>542</v>
      </c>
      <c r="G2559" t="s">
        <v>706</v>
      </c>
      <c r="H2559" t="s">
        <v>5451</v>
      </c>
      <c r="I2559" t="s">
        <v>543</v>
      </c>
    </row>
    <row r="2560" spans="1:9" x14ac:dyDescent="0.25">
      <c r="A2560" s="1" t="str">
        <f>HYPERLINK("https://lynxcrm-apac--c.eu19.visual.force.com/0011i000001xoSdAAI","Lee, Ming Zhou")</f>
        <v>Lee, Ming Zhou</v>
      </c>
      <c r="B2560" t="s">
        <v>5452</v>
      </c>
      <c r="C2560" t="s">
        <v>28</v>
      </c>
      <c r="D2560" t="s">
        <v>1698</v>
      </c>
      <c r="E2560" t="s">
        <v>8</v>
      </c>
      <c r="F2560" t="s">
        <v>2273</v>
      </c>
      <c r="G2560" t="s">
        <v>2273</v>
      </c>
      <c r="H2560" t="s">
        <v>8</v>
      </c>
      <c r="I2560" t="s">
        <v>8</v>
      </c>
    </row>
    <row r="2561" spans="1:9" x14ac:dyDescent="0.25">
      <c r="A2561" s="1" t="str">
        <f>HYPERLINK("https://lynxcrm-apac--c.eu19.visual.force.com/0011i000001xoB8AAI","Lee, Mun Tuck")</f>
        <v>Lee, Mun Tuck</v>
      </c>
      <c r="B2561" t="s">
        <v>5453</v>
      </c>
      <c r="C2561" t="s">
        <v>28</v>
      </c>
      <c r="D2561" t="s">
        <v>1661</v>
      </c>
      <c r="E2561" t="s">
        <v>8</v>
      </c>
      <c r="F2561" t="s">
        <v>627</v>
      </c>
      <c r="G2561" t="s">
        <v>628</v>
      </c>
      <c r="H2561" t="s">
        <v>628</v>
      </c>
      <c r="I2561" t="s">
        <v>624</v>
      </c>
    </row>
    <row r="2562" spans="1:9" x14ac:dyDescent="0.25">
      <c r="A2562" s="1" t="str">
        <f>HYPERLINK("https://lynxcrm-apac--c.eu19.visual.force.com/0011i000001xocwAAA","Lee, Oh Chong Leng")</f>
        <v>Lee, Oh Chong Leng</v>
      </c>
      <c r="B2562" t="s">
        <v>5454</v>
      </c>
      <c r="C2562" t="s">
        <v>28</v>
      </c>
      <c r="D2562" t="s">
        <v>5455</v>
      </c>
      <c r="E2562" t="s">
        <v>8</v>
      </c>
      <c r="F2562" t="s">
        <v>5456</v>
      </c>
      <c r="G2562" t="s">
        <v>5457</v>
      </c>
      <c r="H2562" t="s">
        <v>5458</v>
      </c>
      <c r="I2562" t="s">
        <v>5459</v>
      </c>
    </row>
    <row r="2563" spans="1:9" x14ac:dyDescent="0.25">
      <c r="A2563" s="1" t="str">
        <f>HYPERLINK("https://lynxcrm-apac--c.eu19.visual.force.com/0011i000001xo35AAA","Lee, Onn Kei Angel")</f>
        <v>Lee, Onn Kei Angel</v>
      </c>
      <c r="B2563" t="s">
        <v>5460</v>
      </c>
      <c r="C2563" t="s">
        <v>28</v>
      </c>
      <c r="D2563" t="s">
        <v>261</v>
      </c>
      <c r="E2563" t="s">
        <v>8</v>
      </c>
      <c r="F2563" t="s">
        <v>248</v>
      </c>
      <c r="G2563" t="s">
        <v>258</v>
      </c>
      <c r="H2563" t="s">
        <v>259</v>
      </c>
      <c r="I2563" t="s">
        <v>260</v>
      </c>
    </row>
    <row r="2564" spans="1:9" x14ac:dyDescent="0.25">
      <c r="A2564" s="1" t="str">
        <f>HYPERLINK("https://lynxcrm-apac--c.eu19.visual.force.com/0011i000001xnvjAAA","Lee, Pei Ling Cheryl")</f>
        <v>Lee, Pei Ling Cheryl</v>
      </c>
      <c r="B2564" t="s">
        <v>5461</v>
      </c>
      <c r="C2564" t="s">
        <v>28</v>
      </c>
      <c r="D2564" t="s">
        <v>261</v>
      </c>
      <c r="E2564" t="s">
        <v>8</v>
      </c>
      <c r="F2564" t="s">
        <v>261</v>
      </c>
      <c r="G2564" t="s">
        <v>347</v>
      </c>
      <c r="H2564" t="s">
        <v>347</v>
      </c>
      <c r="I2564" t="s">
        <v>260</v>
      </c>
    </row>
    <row r="2565" spans="1:9" x14ac:dyDescent="0.25">
      <c r="A2565" s="1" t="str">
        <f>HYPERLINK("https://lynxcrm-apac--c.eu19.visual.force.com/0011i000001xnvjAAA","Lee, Pei Ling Cheryl")</f>
        <v>Lee, Pei Ling Cheryl</v>
      </c>
      <c r="B2565" t="s">
        <v>5461</v>
      </c>
      <c r="C2565" t="s">
        <v>28</v>
      </c>
      <c r="D2565" t="s">
        <v>368</v>
      </c>
      <c r="E2565" t="s">
        <v>8</v>
      </c>
      <c r="F2565" t="s">
        <v>258</v>
      </c>
      <c r="G2565" t="s">
        <v>261</v>
      </c>
      <c r="H2565" t="s">
        <v>261</v>
      </c>
      <c r="I2565" t="s">
        <v>260</v>
      </c>
    </row>
    <row r="2566" spans="1:9" x14ac:dyDescent="0.25">
      <c r="A2566" s="1" t="str">
        <f>HYPERLINK("https://lynxcrm-apac--c.eu19.visual.force.com/0011i000001xoHbAAI","Lee, Peng Khow")</f>
        <v>Lee, Peng Khow</v>
      </c>
      <c r="B2566" t="s">
        <v>5462</v>
      </c>
      <c r="C2566" t="s">
        <v>28</v>
      </c>
      <c r="D2566" t="s">
        <v>1499</v>
      </c>
      <c r="E2566" t="s">
        <v>8</v>
      </c>
      <c r="F2566" t="s">
        <v>5463</v>
      </c>
      <c r="G2566" t="s">
        <v>1501</v>
      </c>
      <c r="H2566" t="s">
        <v>1502</v>
      </c>
      <c r="I2566" t="s">
        <v>1503</v>
      </c>
    </row>
    <row r="2567" spans="1:9" x14ac:dyDescent="0.25">
      <c r="A2567" s="1" t="str">
        <f>HYPERLINK("https://lynxcrm-apac--c.eu19.visual.force.com/0011i000001xnxNAAQ","Lee, Pheng Hui Brian")</f>
        <v>Lee, Pheng Hui Brian</v>
      </c>
      <c r="B2567" t="s">
        <v>5464</v>
      </c>
      <c r="C2567" t="s">
        <v>28</v>
      </c>
      <c r="D2567" t="s">
        <v>5465</v>
      </c>
      <c r="E2567" t="s">
        <v>8</v>
      </c>
      <c r="F2567" t="s">
        <v>377</v>
      </c>
      <c r="G2567" t="s">
        <v>5466</v>
      </c>
      <c r="H2567" t="s">
        <v>5467</v>
      </c>
      <c r="I2567" t="s">
        <v>123</v>
      </c>
    </row>
    <row r="2568" spans="1:9" x14ac:dyDescent="0.25">
      <c r="A2568" s="1" t="str">
        <f>HYPERLINK("https://lynxcrm-apac--c.eu19.visual.force.com/0011i000001xoYtAAI","Lee, Pheng Lip Ian")</f>
        <v>Lee, Pheng Lip Ian</v>
      </c>
      <c r="B2568" t="s">
        <v>5468</v>
      </c>
      <c r="C2568" t="s">
        <v>28</v>
      </c>
      <c r="D2568" t="s">
        <v>5469</v>
      </c>
      <c r="E2568" t="s">
        <v>8</v>
      </c>
      <c r="F2568" t="s">
        <v>4493</v>
      </c>
      <c r="G2568" t="s">
        <v>4494</v>
      </c>
      <c r="H2568" t="s">
        <v>4494</v>
      </c>
      <c r="I2568" t="s">
        <v>4495</v>
      </c>
    </row>
    <row r="2569" spans="1:9" x14ac:dyDescent="0.25">
      <c r="A2569" s="1" t="str">
        <f>HYPERLINK("https://lynxcrm-apac--c.eu19.visual.force.com/0011i000002IdA0AAK","Lee, Pheng Soon")</f>
        <v>Lee, Pheng Soon</v>
      </c>
      <c r="B2569" t="s">
        <v>5470</v>
      </c>
      <c r="C2569" t="s">
        <v>28</v>
      </c>
      <c r="D2569" t="s">
        <v>5471</v>
      </c>
      <c r="E2569" t="s">
        <v>8</v>
      </c>
      <c r="F2569" t="s">
        <v>3156</v>
      </c>
      <c r="G2569" t="s">
        <v>3156</v>
      </c>
      <c r="H2569" t="s">
        <v>8</v>
      </c>
      <c r="I2569" t="s">
        <v>3157</v>
      </c>
    </row>
    <row r="2570" spans="1:9" x14ac:dyDescent="0.25">
      <c r="A2570" s="1" t="str">
        <f>HYPERLINK("https://lynxcrm-apac--c.eu19.visual.force.com/0011i000001xnnfAAA","Lee, Phong Ching")</f>
        <v>Lee, Phong Ching</v>
      </c>
      <c r="B2570" t="s">
        <v>5472</v>
      </c>
      <c r="C2570" t="s">
        <v>28</v>
      </c>
      <c r="D2570" t="s">
        <v>251</v>
      </c>
      <c r="E2570" t="s">
        <v>8</v>
      </c>
      <c r="F2570" t="s">
        <v>251</v>
      </c>
      <c r="G2570" t="s">
        <v>252</v>
      </c>
      <c r="H2570" t="s">
        <v>252</v>
      </c>
      <c r="I2570" t="s">
        <v>253</v>
      </c>
    </row>
    <row r="2571" spans="1:9" x14ac:dyDescent="0.25">
      <c r="A2571" s="1" t="str">
        <f t="shared" ref="A2571:A2583" si="18">HYPERLINK("https://lynxcrm-apac--c.eu19.visual.force.com/0011i000007E9wsAAC","Lee, Pristin")</f>
        <v>Lee, Pristin</v>
      </c>
      <c r="B2571" t="s">
        <v>5473</v>
      </c>
      <c r="C2571" t="s">
        <v>28</v>
      </c>
      <c r="D2571" t="s">
        <v>164</v>
      </c>
      <c r="E2571" t="s">
        <v>8</v>
      </c>
      <c r="F2571" t="s">
        <v>236</v>
      </c>
      <c r="G2571" t="s">
        <v>237</v>
      </c>
      <c r="H2571" t="s">
        <v>237</v>
      </c>
      <c r="I2571" t="s">
        <v>165</v>
      </c>
    </row>
    <row r="2572" spans="1:9" x14ac:dyDescent="0.25">
      <c r="A2572" s="1" t="str">
        <f t="shared" si="18"/>
        <v>Lee, Pristin</v>
      </c>
      <c r="B2572" t="s">
        <v>5473</v>
      </c>
      <c r="C2572" t="s">
        <v>28</v>
      </c>
      <c r="D2572" t="s">
        <v>164</v>
      </c>
      <c r="E2572" t="s">
        <v>8</v>
      </c>
      <c r="F2572" t="s">
        <v>238</v>
      </c>
      <c r="G2572" t="s">
        <v>163</v>
      </c>
      <c r="H2572" t="s">
        <v>163</v>
      </c>
      <c r="I2572" t="s">
        <v>165</v>
      </c>
    </row>
    <row r="2573" spans="1:9" x14ac:dyDescent="0.25">
      <c r="A2573" s="1" t="str">
        <f t="shared" si="18"/>
        <v>Lee, Pristin</v>
      </c>
      <c r="B2573" t="s">
        <v>5473</v>
      </c>
      <c r="C2573" t="s">
        <v>28</v>
      </c>
      <c r="D2573" t="s">
        <v>164</v>
      </c>
      <c r="E2573" t="s">
        <v>8</v>
      </c>
      <c r="F2573" t="s">
        <v>239</v>
      </c>
      <c r="G2573" t="s">
        <v>163</v>
      </c>
      <c r="H2573" t="s">
        <v>163</v>
      </c>
      <c r="I2573" t="s">
        <v>165</v>
      </c>
    </row>
    <row r="2574" spans="1:9" x14ac:dyDescent="0.25">
      <c r="A2574" s="1" t="str">
        <f t="shared" si="18"/>
        <v>Lee, Pristin</v>
      </c>
      <c r="B2574" t="s">
        <v>5473</v>
      </c>
      <c r="C2574" t="s">
        <v>28</v>
      </c>
      <c r="D2574" t="s">
        <v>164</v>
      </c>
      <c r="E2574" t="s">
        <v>8</v>
      </c>
      <c r="F2574" t="s">
        <v>240</v>
      </c>
      <c r="G2574" t="s">
        <v>163</v>
      </c>
      <c r="H2574" t="s">
        <v>163</v>
      </c>
      <c r="I2574" t="s">
        <v>165</v>
      </c>
    </row>
    <row r="2575" spans="1:9" x14ac:dyDescent="0.25">
      <c r="A2575" s="1" t="str">
        <f t="shared" si="18"/>
        <v>Lee, Pristin</v>
      </c>
      <c r="B2575" t="s">
        <v>5473</v>
      </c>
      <c r="C2575" t="s">
        <v>28</v>
      </c>
      <c r="D2575" t="s">
        <v>164</v>
      </c>
      <c r="E2575" t="s">
        <v>8</v>
      </c>
      <c r="F2575" t="s">
        <v>234</v>
      </c>
      <c r="G2575" t="s">
        <v>163</v>
      </c>
      <c r="H2575" t="s">
        <v>163</v>
      </c>
      <c r="I2575" t="s">
        <v>235</v>
      </c>
    </row>
    <row r="2576" spans="1:9" x14ac:dyDescent="0.25">
      <c r="A2576" s="1" t="str">
        <f t="shared" si="18"/>
        <v>Lee, Pristin</v>
      </c>
      <c r="B2576" t="s">
        <v>5473</v>
      </c>
      <c r="C2576" t="s">
        <v>28</v>
      </c>
      <c r="D2576" t="s">
        <v>164</v>
      </c>
      <c r="E2576" t="s">
        <v>8</v>
      </c>
      <c r="F2576" t="s">
        <v>241</v>
      </c>
      <c r="G2576" t="s">
        <v>163</v>
      </c>
      <c r="H2576" t="s">
        <v>242</v>
      </c>
      <c r="I2576" t="s">
        <v>165</v>
      </c>
    </row>
    <row r="2577" spans="1:9" x14ac:dyDescent="0.25">
      <c r="A2577" s="1" t="str">
        <f t="shared" si="18"/>
        <v>Lee, Pristin</v>
      </c>
      <c r="B2577" t="s">
        <v>5473</v>
      </c>
      <c r="C2577" t="s">
        <v>28</v>
      </c>
      <c r="D2577" t="s">
        <v>164</v>
      </c>
      <c r="E2577" t="s">
        <v>8</v>
      </c>
      <c r="F2577" t="s">
        <v>243</v>
      </c>
      <c r="G2577" t="s">
        <v>163</v>
      </c>
      <c r="H2577" t="s">
        <v>163</v>
      </c>
      <c r="I2577" t="s">
        <v>244</v>
      </c>
    </row>
    <row r="2578" spans="1:9" x14ac:dyDescent="0.25">
      <c r="A2578" s="1" t="str">
        <f t="shared" si="18"/>
        <v>Lee, Pristin</v>
      </c>
      <c r="B2578" t="s">
        <v>5473</v>
      </c>
      <c r="C2578" t="s">
        <v>28</v>
      </c>
      <c r="D2578" t="s">
        <v>164</v>
      </c>
      <c r="E2578" t="s">
        <v>8</v>
      </c>
      <c r="F2578" t="s">
        <v>245</v>
      </c>
      <c r="G2578" t="s">
        <v>163</v>
      </c>
      <c r="H2578" t="s">
        <v>163</v>
      </c>
      <c r="I2578" t="s">
        <v>165</v>
      </c>
    </row>
    <row r="2579" spans="1:9" x14ac:dyDescent="0.25">
      <c r="A2579" s="1" t="str">
        <f t="shared" si="18"/>
        <v>Lee, Pristin</v>
      </c>
      <c r="B2579" t="s">
        <v>5473</v>
      </c>
      <c r="C2579" t="s">
        <v>28</v>
      </c>
      <c r="D2579" t="s">
        <v>164</v>
      </c>
      <c r="E2579" t="s">
        <v>8</v>
      </c>
      <c r="F2579" t="s">
        <v>246</v>
      </c>
      <c r="G2579" t="s">
        <v>163</v>
      </c>
      <c r="H2579" t="s">
        <v>163</v>
      </c>
      <c r="I2579" t="s">
        <v>244</v>
      </c>
    </row>
    <row r="2580" spans="1:9" x14ac:dyDescent="0.25">
      <c r="A2580" s="1" t="str">
        <f t="shared" si="18"/>
        <v>Lee, Pristin</v>
      </c>
      <c r="B2580" t="s">
        <v>5473</v>
      </c>
      <c r="C2580" t="s">
        <v>28</v>
      </c>
      <c r="D2580" t="s">
        <v>164</v>
      </c>
      <c r="E2580" t="s">
        <v>8</v>
      </c>
      <c r="F2580" t="s">
        <v>247</v>
      </c>
      <c r="G2580" t="s">
        <v>163</v>
      </c>
      <c r="H2580" t="s">
        <v>242</v>
      </c>
      <c r="I2580" t="s">
        <v>165</v>
      </c>
    </row>
    <row r="2581" spans="1:9" x14ac:dyDescent="0.25">
      <c r="A2581" s="1" t="str">
        <f t="shared" si="18"/>
        <v>Lee, Pristin</v>
      </c>
      <c r="B2581" t="s">
        <v>5473</v>
      </c>
      <c r="C2581" t="s">
        <v>28</v>
      </c>
      <c r="D2581" t="s">
        <v>164</v>
      </c>
      <c r="E2581" t="s">
        <v>8</v>
      </c>
      <c r="F2581" t="s">
        <v>248</v>
      </c>
      <c r="G2581" t="s">
        <v>163</v>
      </c>
      <c r="H2581" t="s">
        <v>242</v>
      </c>
      <c r="I2581" t="s">
        <v>165</v>
      </c>
    </row>
    <row r="2582" spans="1:9" x14ac:dyDescent="0.25">
      <c r="A2582" s="1" t="str">
        <f t="shared" si="18"/>
        <v>Lee, Pristin</v>
      </c>
      <c r="B2582" t="s">
        <v>5473</v>
      </c>
      <c r="C2582" t="s">
        <v>28</v>
      </c>
      <c r="D2582" t="s">
        <v>164</v>
      </c>
      <c r="E2582" t="s">
        <v>8</v>
      </c>
      <c r="F2582" t="s">
        <v>249</v>
      </c>
      <c r="G2582" t="s">
        <v>163</v>
      </c>
      <c r="H2582" t="s">
        <v>163</v>
      </c>
      <c r="I2582" t="s">
        <v>165</v>
      </c>
    </row>
    <row r="2583" spans="1:9" x14ac:dyDescent="0.25">
      <c r="A2583" s="1" t="str">
        <f t="shared" si="18"/>
        <v>Lee, Pristin</v>
      </c>
      <c r="B2583" t="s">
        <v>5473</v>
      </c>
      <c r="C2583" t="s">
        <v>28</v>
      </c>
      <c r="D2583" t="s">
        <v>164</v>
      </c>
      <c r="E2583" t="s">
        <v>8</v>
      </c>
      <c r="F2583" t="s">
        <v>234</v>
      </c>
      <c r="G2583" t="s">
        <v>163</v>
      </c>
      <c r="H2583" t="s">
        <v>163</v>
      </c>
      <c r="I2583" t="s">
        <v>244</v>
      </c>
    </row>
    <row r="2584" spans="1:9" x14ac:dyDescent="0.25">
      <c r="A2584" s="1" t="str">
        <f>HYPERLINK("https://lynxcrm-apac--c.eu19.visual.force.com/0011i000001xoaiAAA","Lee, Ronald")</f>
        <v>Lee, Ronald</v>
      </c>
      <c r="B2584" t="s">
        <v>5474</v>
      </c>
      <c r="C2584" t="s">
        <v>28</v>
      </c>
      <c r="D2584" t="s">
        <v>429</v>
      </c>
      <c r="E2584" t="s">
        <v>8</v>
      </c>
      <c r="F2584" t="s">
        <v>234</v>
      </c>
      <c r="G2584" t="s">
        <v>428</v>
      </c>
      <c r="H2584" t="s">
        <v>428</v>
      </c>
      <c r="I2584" t="s">
        <v>430</v>
      </c>
    </row>
    <row r="2585" spans="1:9" x14ac:dyDescent="0.25">
      <c r="A2585" s="1" t="str">
        <f>HYPERLINK("https://lynxcrm-apac--c.eu19.visual.force.com/0011i000001xoaiAAA","Lee, Ronald")</f>
        <v>Lee, Ronald</v>
      </c>
      <c r="B2585" t="s">
        <v>5474</v>
      </c>
      <c r="C2585" t="s">
        <v>28</v>
      </c>
      <c r="D2585" t="s">
        <v>429</v>
      </c>
      <c r="E2585" t="s">
        <v>8</v>
      </c>
      <c r="F2585" t="s">
        <v>429</v>
      </c>
      <c r="G2585" t="s">
        <v>428</v>
      </c>
      <c r="H2585" t="s">
        <v>428</v>
      </c>
      <c r="I2585" t="s">
        <v>430</v>
      </c>
    </row>
    <row r="2586" spans="1:9" x14ac:dyDescent="0.25">
      <c r="A2586" s="1" t="str">
        <f>HYPERLINK("https://lynxcrm-apac--c.eu19.visual.force.com/0011i00000pb5JSAAY","Lee, Sandra")</f>
        <v>Lee, Sandra</v>
      </c>
      <c r="B2586" t="s">
        <v>5475</v>
      </c>
      <c r="C2586" t="s">
        <v>28</v>
      </c>
      <c r="D2586" t="s">
        <v>545</v>
      </c>
      <c r="E2586" t="s">
        <v>8</v>
      </c>
      <c r="F2586" t="s">
        <v>546</v>
      </c>
      <c r="G2586" t="s">
        <v>547</v>
      </c>
      <c r="H2586" t="s">
        <v>547</v>
      </c>
      <c r="I2586" t="s">
        <v>548</v>
      </c>
    </row>
    <row r="2587" spans="1:9" x14ac:dyDescent="0.25">
      <c r="A2587" s="1" t="str">
        <f>HYPERLINK("https://lynxcrm-apac--c.eu19.visual.force.com/0011i000001xnjAAAQ","Lee, See Chung")</f>
        <v>Lee, See Chung</v>
      </c>
      <c r="B2587" t="s">
        <v>5476</v>
      </c>
      <c r="C2587" t="s">
        <v>28</v>
      </c>
      <c r="D2587" t="s">
        <v>5477</v>
      </c>
      <c r="E2587" t="s">
        <v>8</v>
      </c>
      <c r="F2587" t="s">
        <v>759</v>
      </c>
      <c r="G2587" t="s">
        <v>5478</v>
      </c>
      <c r="H2587" t="s">
        <v>5478</v>
      </c>
      <c r="I2587" t="s">
        <v>762</v>
      </c>
    </row>
    <row r="2588" spans="1:9" x14ac:dyDescent="0.25">
      <c r="A2588" s="1" t="str">
        <f>HYPERLINK("https://lynxcrm-apac--c.eu19.visual.force.com/0011i000001xoLVAAY","Lee, See Muah")</f>
        <v>Lee, See Muah</v>
      </c>
      <c r="B2588" t="s">
        <v>5479</v>
      </c>
      <c r="C2588" t="s">
        <v>28</v>
      </c>
      <c r="D2588" t="s">
        <v>662</v>
      </c>
      <c r="E2588" t="s">
        <v>8</v>
      </c>
      <c r="F2588" t="s">
        <v>662</v>
      </c>
      <c r="G2588" t="s">
        <v>663</v>
      </c>
      <c r="H2588" t="s">
        <v>663</v>
      </c>
      <c r="I2588" t="s">
        <v>664</v>
      </c>
    </row>
    <row r="2589" spans="1:9" x14ac:dyDescent="0.25">
      <c r="A2589" s="1" t="str">
        <f>HYPERLINK("https://lynxcrm-apac--c.eu19.visual.force.com/0011i000001xnh2AAA","Lee, Seng Swim")</f>
        <v>Lee, Seng Swim</v>
      </c>
      <c r="B2589" t="s">
        <v>5480</v>
      </c>
      <c r="C2589" t="s">
        <v>28</v>
      </c>
      <c r="D2589" t="s">
        <v>164</v>
      </c>
      <c r="E2589" t="s">
        <v>8</v>
      </c>
      <c r="F2589" t="s">
        <v>651</v>
      </c>
      <c r="G2589" t="s">
        <v>163</v>
      </c>
      <c r="H2589" t="s">
        <v>163</v>
      </c>
      <c r="I2589" t="s">
        <v>165</v>
      </c>
    </row>
    <row r="2590" spans="1:9" x14ac:dyDescent="0.25">
      <c r="A2590" s="1" t="str">
        <f>HYPERLINK("https://lynxcrm-apac--c.eu19.visual.force.com/0011i00000X9NcHAAV","Lee, Ser Yee")</f>
        <v>Lee, Ser Yee</v>
      </c>
      <c r="B2590" t="s">
        <v>5481</v>
      </c>
      <c r="C2590" t="s">
        <v>28</v>
      </c>
      <c r="D2590" t="s">
        <v>5482</v>
      </c>
      <c r="E2590" t="s">
        <v>8</v>
      </c>
      <c r="F2590" t="s">
        <v>5483</v>
      </c>
      <c r="G2590" t="s">
        <v>377</v>
      </c>
      <c r="H2590" t="s">
        <v>8</v>
      </c>
      <c r="I2590" t="s">
        <v>123</v>
      </c>
    </row>
    <row r="2591" spans="1:9" x14ac:dyDescent="0.25">
      <c r="A2591" s="1" t="str">
        <f>HYPERLINK("https://lynxcrm-apac--c.eu19.visual.force.com/0011i000001xolbAAA","Lee, Sheldon")</f>
        <v>Lee, Sheldon</v>
      </c>
      <c r="B2591" t="s">
        <v>5484</v>
      </c>
      <c r="C2591" t="s">
        <v>28</v>
      </c>
      <c r="D2591" t="s">
        <v>583</v>
      </c>
      <c r="E2591" t="s">
        <v>8</v>
      </c>
      <c r="F2591" t="s">
        <v>583</v>
      </c>
      <c r="G2591" t="s">
        <v>584</v>
      </c>
      <c r="H2591" t="s">
        <v>584</v>
      </c>
      <c r="I2591" t="s">
        <v>585</v>
      </c>
    </row>
    <row r="2592" spans="1:9" x14ac:dyDescent="0.25">
      <c r="A2592" s="1" t="str">
        <f>HYPERLINK("https://lynxcrm-apac--c.eu19.visual.force.com/0011i000001xngtAAA","Lee, Shing Cheung Al")</f>
        <v>Lee, Shing Cheung Al</v>
      </c>
      <c r="B2592" t="s">
        <v>5485</v>
      </c>
      <c r="C2592" t="s">
        <v>28</v>
      </c>
      <c r="D2592" t="s">
        <v>164</v>
      </c>
      <c r="E2592" t="s">
        <v>8</v>
      </c>
      <c r="F2592" t="s">
        <v>163</v>
      </c>
      <c r="G2592" t="s">
        <v>164</v>
      </c>
      <c r="H2592" t="s">
        <v>164</v>
      </c>
      <c r="I2592" t="s">
        <v>165</v>
      </c>
    </row>
    <row r="2593" spans="1:9" x14ac:dyDescent="0.25">
      <c r="A2593" s="1" t="str">
        <f>HYPERLINK("https://lynxcrm-apac--c.eu19.visual.force.com/0011i000001xoGAAAY","Lee, Shirley")</f>
        <v>Lee, Shirley</v>
      </c>
      <c r="B2593" t="s">
        <v>5486</v>
      </c>
      <c r="C2593" t="s">
        <v>28</v>
      </c>
      <c r="D2593" t="s">
        <v>5487</v>
      </c>
      <c r="E2593" t="s">
        <v>8</v>
      </c>
      <c r="F2593" t="s">
        <v>3099</v>
      </c>
      <c r="G2593" t="s">
        <v>5219</v>
      </c>
      <c r="H2593" t="s">
        <v>5488</v>
      </c>
      <c r="I2593" t="s">
        <v>3102</v>
      </c>
    </row>
    <row r="2594" spans="1:9" x14ac:dyDescent="0.25">
      <c r="A2594" s="1" t="str">
        <f>HYPERLINK("https://lynxcrm-apac--c.eu19.visual.force.com/0011i00000Xf1HXAAZ","Lee, Shir Ying")</f>
        <v>Lee, Shir Ying</v>
      </c>
      <c r="B2594" t="s">
        <v>5489</v>
      </c>
      <c r="C2594" t="s">
        <v>28</v>
      </c>
      <c r="D2594" t="s">
        <v>429</v>
      </c>
      <c r="E2594" t="s">
        <v>8</v>
      </c>
      <c r="F2594" t="s">
        <v>594</v>
      </c>
      <c r="G2594" t="s">
        <v>595</v>
      </c>
      <c r="H2594" t="s">
        <v>8</v>
      </c>
      <c r="I2594" t="s">
        <v>596</v>
      </c>
    </row>
    <row r="2595" spans="1:9" x14ac:dyDescent="0.25">
      <c r="A2595" s="1" t="str">
        <f>HYPERLINK("https://lynxcrm-apac--c.eu19.visual.force.com/0011i000001xngzAAA","Lee, Siew Chong John")</f>
        <v>Lee, Siew Chong John</v>
      </c>
      <c r="B2595" t="s">
        <v>5490</v>
      </c>
      <c r="C2595" t="s">
        <v>28</v>
      </c>
      <c r="D2595" t="s">
        <v>5491</v>
      </c>
      <c r="E2595" t="s">
        <v>8</v>
      </c>
      <c r="F2595" t="s">
        <v>5492</v>
      </c>
      <c r="G2595" t="s">
        <v>5493</v>
      </c>
      <c r="H2595" t="s">
        <v>5494</v>
      </c>
      <c r="I2595" t="s">
        <v>5495</v>
      </c>
    </row>
    <row r="2596" spans="1:9" x14ac:dyDescent="0.25">
      <c r="A2596" s="1" t="str">
        <f>HYPERLINK("https://lynxcrm-apac--c.eu19.visual.force.com/0011i000001xoMMAAY","Lee, Siew Choo")</f>
        <v>Lee, Siew Choo</v>
      </c>
      <c r="B2596" t="s">
        <v>5496</v>
      </c>
      <c r="C2596" t="s">
        <v>28</v>
      </c>
      <c r="D2596" t="s">
        <v>1661</v>
      </c>
      <c r="E2596" t="s">
        <v>8</v>
      </c>
      <c r="F2596" t="s">
        <v>627</v>
      </c>
      <c r="G2596" t="s">
        <v>628</v>
      </c>
      <c r="H2596" t="s">
        <v>628</v>
      </c>
      <c r="I2596" t="s">
        <v>624</v>
      </c>
    </row>
    <row r="2597" spans="1:9" x14ac:dyDescent="0.25">
      <c r="A2597" s="1" t="str">
        <f>HYPERLINK("https://lynxcrm-apac--c.eu19.visual.force.com/0011i000001xnh1AAA","Lee, Siew Khim")</f>
        <v>Lee, Siew Khim</v>
      </c>
      <c r="B2597" t="s">
        <v>5497</v>
      </c>
      <c r="C2597" t="s">
        <v>28</v>
      </c>
      <c r="D2597" t="s">
        <v>5498</v>
      </c>
      <c r="E2597" t="s">
        <v>8</v>
      </c>
      <c r="F2597" t="s">
        <v>5499</v>
      </c>
      <c r="G2597" t="s">
        <v>5500</v>
      </c>
      <c r="H2597" t="s">
        <v>5500</v>
      </c>
      <c r="I2597" t="s">
        <v>5501</v>
      </c>
    </row>
    <row r="2598" spans="1:9" x14ac:dyDescent="0.25">
      <c r="A2598" s="1" t="str">
        <f>HYPERLINK("https://lynxcrm-apac--c.eu19.visual.force.com/0011i000001xnh5AAA","Lee, Siew Luan Grace")</f>
        <v>Lee, Siew Luan Grace</v>
      </c>
      <c r="B2598" t="s">
        <v>5502</v>
      </c>
      <c r="C2598" t="s">
        <v>28</v>
      </c>
      <c r="D2598" t="s">
        <v>5503</v>
      </c>
      <c r="E2598" t="s">
        <v>8</v>
      </c>
      <c r="F2598" t="s">
        <v>69</v>
      </c>
      <c r="G2598" t="s">
        <v>3654</v>
      </c>
      <c r="H2598" t="s">
        <v>3655</v>
      </c>
      <c r="I2598" t="s">
        <v>67</v>
      </c>
    </row>
    <row r="2599" spans="1:9" x14ac:dyDescent="0.25">
      <c r="A2599" s="1" t="str">
        <f>HYPERLINK("https://lynxcrm-apac--c.eu19.visual.force.com/0011i000001xoS6AAI","Lee, Siew Thye")</f>
        <v>Lee, Siew Thye</v>
      </c>
      <c r="B2599" t="s">
        <v>5504</v>
      </c>
      <c r="C2599" t="s">
        <v>28</v>
      </c>
      <c r="D2599" t="s">
        <v>5505</v>
      </c>
      <c r="E2599" t="s">
        <v>8</v>
      </c>
      <c r="F2599" t="s">
        <v>34</v>
      </c>
      <c r="G2599" t="s">
        <v>35</v>
      </c>
      <c r="H2599" t="s">
        <v>35</v>
      </c>
      <c r="I2599" t="s">
        <v>36</v>
      </c>
    </row>
    <row r="2600" spans="1:9" x14ac:dyDescent="0.25">
      <c r="A2600" s="1" t="str">
        <f>HYPERLINK("https://lynxcrm-apac--c.eu19.visual.force.com/0011i000001xoMHAAY","Lee, Simon")</f>
        <v>Lee, Simon</v>
      </c>
      <c r="B2600" t="s">
        <v>5506</v>
      </c>
      <c r="C2600" t="s">
        <v>28</v>
      </c>
      <c r="D2600" t="s">
        <v>12</v>
      </c>
      <c r="E2600" t="s">
        <v>8</v>
      </c>
      <c r="F2600" t="s">
        <v>11</v>
      </c>
      <c r="G2600" t="s">
        <v>11</v>
      </c>
      <c r="H2600" t="s">
        <v>8</v>
      </c>
      <c r="I2600" t="s">
        <v>13</v>
      </c>
    </row>
    <row r="2601" spans="1:9" x14ac:dyDescent="0.25">
      <c r="A2601" s="1" t="str">
        <f>HYPERLINK("https://lynxcrm-apac--c.eu19.visual.force.com/0011i000001xoEeAAI","Lee, Siong See Joyce")</f>
        <v>Lee, Siong See Joyce</v>
      </c>
      <c r="B2601" t="s">
        <v>5507</v>
      </c>
      <c r="C2601" t="s">
        <v>28</v>
      </c>
      <c r="D2601" t="s">
        <v>251</v>
      </c>
      <c r="E2601" t="s">
        <v>8</v>
      </c>
      <c r="F2601" t="s">
        <v>251</v>
      </c>
      <c r="G2601" t="s">
        <v>252</v>
      </c>
      <c r="H2601" t="s">
        <v>252</v>
      </c>
      <c r="I2601" t="s">
        <v>253</v>
      </c>
    </row>
    <row r="2602" spans="1:9" x14ac:dyDescent="0.25">
      <c r="A2602" s="1" t="str">
        <f>HYPERLINK("https://lynxcrm-apac--c.eu19.visual.force.com/0011i000001xoEeAAI","Lee, Siong See Joyce")</f>
        <v>Lee, Siong See Joyce</v>
      </c>
      <c r="B2602" t="s">
        <v>5507</v>
      </c>
      <c r="C2602" t="s">
        <v>28</v>
      </c>
      <c r="D2602" t="s">
        <v>5508</v>
      </c>
      <c r="E2602" t="s">
        <v>8</v>
      </c>
      <c r="F2602" t="s">
        <v>252</v>
      </c>
      <c r="G2602" t="s">
        <v>251</v>
      </c>
      <c r="H2602" t="s">
        <v>251</v>
      </c>
      <c r="I2602" t="s">
        <v>253</v>
      </c>
    </row>
    <row r="2603" spans="1:9" x14ac:dyDescent="0.25">
      <c r="A2603" s="1" t="str">
        <f>HYPERLINK("https://lynxcrm-apac--c.eu19.visual.force.com/0011i000001xoVRAAY","Lee, Siow Kiang")</f>
        <v>Lee, Siow Kiang</v>
      </c>
      <c r="B2603" t="s">
        <v>5509</v>
      </c>
      <c r="C2603" t="s">
        <v>28</v>
      </c>
      <c r="D2603" t="s">
        <v>5510</v>
      </c>
      <c r="E2603" t="s">
        <v>8</v>
      </c>
      <c r="F2603" t="s">
        <v>5511</v>
      </c>
      <c r="G2603" t="s">
        <v>5512</v>
      </c>
      <c r="H2603" t="s">
        <v>5512</v>
      </c>
      <c r="I2603" t="s">
        <v>5513</v>
      </c>
    </row>
    <row r="2604" spans="1:9" x14ac:dyDescent="0.25">
      <c r="A2604" s="1" t="str">
        <f>HYPERLINK("https://lynxcrm-apac--c.eu19.visual.force.com/0011i000001xoUJAAY","Lee, Siu Lin")</f>
        <v>Lee, Siu Lin</v>
      </c>
      <c r="B2604" t="s">
        <v>5514</v>
      </c>
      <c r="C2604" t="s">
        <v>28</v>
      </c>
      <c r="D2604" t="s">
        <v>4282</v>
      </c>
      <c r="E2604" t="s">
        <v>8</v>
      </c>
      <c r="F2604" t="s">
        <v>4283</v>
      </c>
      <c r="G2604" t="s">
        <v>4284</v>
      </c>
      <c r="H2604" t="s">
        <v>4285</v>
      </c>
      <c r="I2604" t="s">
        <v>4286</v>
      </c>
    </row>
    <row r="2605" spans="1:9" x14ac:dyDescent="0.25">
      <c r="A2605" s="1" t="str">
        <f>HYPERLINK("https://lynxcrm-apac--c.eu19.visual.force.com/0011i000001xoBBAAY","Lee, Sueh Ying Patri")</f>
        <v>Lee, Sueh Ying Patri</v>
      </c>
      <c r="B2605" t="s">
        <v>5515</v>
      </c>
      <c r="C2605" t="s">
        <v>28</v>
      </c>
      <c r="D2605" t="s">
        <v>171</v>
      </c>
      <c r="E2605" t="s">
        <v>8</v>
      </c>
      <c r="F2605" t="s">
        <v>171</v>
      </c>
      <c r="G2605" t="s">
        <v>164</v>
      </c>
      <c r="H2605" t="s">
        <v>164</v>
      </c>
      <c r="I2605" t="s">
        <v>165</v>
      </c>
    </row>
    <row r="2606" spans="1:9" x14ac:dyDescent="0.25">
      <c r="A2606" s="1" t="str">
        <f>HYPERLINK("https://lynxcrm-apac--c.eu19.visual.force.com/0011i000001xo3DAAQ","Lee, Sze Haur")</f>
        <v>Lee, Sze Haur</v>
      </c>
      <c r="B2606" t="s">
        <v>5516</v>
      </c>
      <c r="C2606" t="s">
        <v>28</v>
      </c>
      <c r="D2606" t="s">
        <v>474</v>
      </c>
      <c r="E2606" t="s">
        <v>8</v>
      </c>
      <c r="F2606" t="s">
        <v>1263</v>
      </c>
      <c r="G2606" t="s">
        <v>258</v>
      </c>
      <c r="H2606" t="s">
        <v>259</v>
      </c>
      <c r="I2606" t="s">
        <v>260</v>
      </c>
    </row>
    <row r="2607" spans="1:9" x14ac:dyDescent="0.25">
      <c r="A2607" s="1" t="str">
        <f>HYPERLINK("https://lynxcrm-apac--c.eu19.visual.force.com/0011i000001xnw5AAA","Lee, Sze Haur")</f>
        <v>Lee, Sze Haur</v>
      </c>
      <c r="B2607" t="s">
        <v>5517</v>
      </c>
      <c r="C2607" t="s">
        <v>28</v>
      </c>
      <c r="D2607" t="s">
        <v>5518</v>
      </c>
      <c r="E2607" t="s">
        <v>8</v>
      </c>
      <c r="F2607" t="s">
        <v>885</v>
      </c>
      <c r="G2607" t="s">
        <v>5519</v>
      </c>
      <c r="H2607" t="s">
        <v>5519</v>
      </c>
      <c r="I2607" t="s">
        <v>5520</v>
      </c>
    </row>
    <row r="2608" spans="1:9" x14ac:dyDescent="0.25">
      <c r="A2608" s="1" t="str">
        <f>HYPERLINK("https://lynxcrm-apac--c.eu19.visual.force.com/0011i000001xniFAAQ","Lee, Tang Yin")</f>
        <v>Lee, Tang Yin</v>
      </c>
      <c r="B2608" t="s">
        <v>5521</v>
      </c>
      <c r="C2608" t="s">
        <v>28</v>
      </c>
      <c r="D2608" t="s">
        <v>2069</v>
      </c>
      <c r="E2608" t="s">
        <v>8</v>
      </c>
      <c r="F2608" t="s">
        <v>5522</v>
      </c>
      <c r="G2608" t="s">
        <v>841</v>
      </c>
      <c r="H2608" t="s">
        <v>2071</v>
      </c>
      <c r="I2608" t="s">
        <v>2072</v>
      </c>
    </row>
    <row r="2609" spans="1:9" x14ac:dyDescent="0.25">
      <c r="A2609" s="1" t="str">
        <f>HYPERLINK("https://lynxcrm-apac--c.eu19.visual.force.com/0011i000001xniHAAQ","Lee, Teck Soong Stephen")</f>
        <v>Lee, Teck Soong Stephen</v>
      </c>
      <c r="B2609" t="s">
        <v>5523</v>
      </c>
      <c r="C2609" t="s">
        <v>28</v>
      </c>
      <c r="D2609" t="s">
        <v>164</v>
      </c>
      <c r="E2609" t="s">
        <v>8</v>
      </c>
      <c r="F2609" t="s">
        <v>514</v>
      </c>
      <c r="G2609" t="s">
        <v>163</v>
      </c>
      <c r="H2609" t="s">
        <v>163</v>
      </c>
      <c r="I2609" t="s">
        <v>165</v>
      </c>
    </row>
    <row r="2610" spans="1:9" x14ac:dyDescent="0.25">
      <c r="A2610" s="1" t="str">
        <f>HYPERLINK("https://lynxcrm-apac--c.eu19.visual.force.com/0011i000001xorhAAA","Lee, Tee Kit")</f>
        <v>Lee, Tee Kit</v>
      </c>
      <c r="B2610" t="s">
        <v>5524</v>
      </c>
      <c r="C2610" t="s">
        <v>28</v>
      </c>
      <c r="D2610" t="s">
        <v>5525</v>
      </c>
      <c r="E2610" t="s">
        <v>8</v>
      </c>
      <c r="F2610" t="s">
        <v>5526</v>
      </c>
      <c r="G2610" t="s">
        <v>2979</v>
      </c>
      <c r="H2610" t="s">
        <v>2979</v>
      </c>
      <c r="I2610" t="s">
        <v>5527</v>
      </c>
    </row>
    <row r="2611" spans="1:9" x14ac:dyDescent="0.25">
      <c r="A2611" s="1" t="str">
        <f>HYPERLINK("https://lynxcrm-apac--c.eu19.visual.force.com/0011i000001xoQYAAY","Lee, T W Victor")</f>
        <v>Lee, T W Victor</v>
      </c>
      <c r="B2611" t="s">
        <v>5528</v>
      </c>
      <c r="C2611" t="s">
        <v>28</v>
      </c>
      <c r="D2611" t="s">
        <v>251</v>
      </c>
      <c r="E2611" t="s">
        <v>8</v>
      </c>
      <c r="F2611" t="s">
        <v>251</v>
      </c>
      <c r="G2611" t="s">
        <v>252</v>
      </c>
      <c r="H2611" t="s">
        <v>252</v>
      </c>
      <c r="I2611" t="s">
        <v>253</v>
      </c>
    </row>
    <row r="2612" spans="1:9" x14ac:dyDescent="0.25">
      <c r="A2612" s="1" t="str">
        <f>HYPERLINK("https://lynxcrm-apac--c.eu19.visual.force.com/0011i000001xoQYAAY","Lee, T W Victor")</f>
        <v>Lee, T W Victor</v>
      </c>
      <c r="B2612" t="s">
        <v>5528</v>
      </c>
      <c r="C2612" t="s">
        <v>28</v>
      </c>
      <c r="D2612" t="s">
        <v>251</v>
      </c>
      <c r="E2612" t="s">
        <v>8</v>
      </c>
      <c r="F2612" t="s">
        <v>229</v>
      </c>
      <c r="G2612" t="s">
        <v>252</v>
      </c>
      <c r="H2612" t="s">
        <v>858</v>
      </c>
      <c r="I2612" t="s">
        <v>253</v>
      </c>
    </row>
    <row r="2613" spans="1:9" x14ac:dyDescent="0.25">
      <c r="A2613" s="1" t="str">
        <f>HYPERLINK("https://lynxcrm-apac--c.eu19.visual.force.com/0011i000001xniNAAQ","Lee, Van Hien")</f>
        <v>Lee, Van Hien</v>
      </c>
      <c r="B2613" t="s">
        <v>5529</v>
      </c>
      <c r="C2613" t="s">
        <v>28</v>
      </c>
      <c r="D2613" t="s">
        <v>5530</v>
      </c>
      <c r="E2613" t="s">
        <v>8</v>
      </c>
      <c r="F2613" t="s">
        <v>5531</v>
      </c>
      <c r="G2613" t="s">
        <v>5532</v>
      </c>
      <c r="H2613" t="s">
        <v>5533</v>
      </c>
      <c r="I2613" t="s">
        <v>5534</v>
      </c>
    </row>
    <row r="2614" spans="1:9" x14ac:dyDescent="0.25">
      <c r="A2614" s="1" t="str">
        <f>HYPERLINK("https://lynxcrm-apac--c.eu19.visual.force.com/0011i000001xoBFAAY","Lee, Wai Ki")</f>
        <v>Lee, Wai Ki</v>
      </c>
      <c r="B2614" t="s">
        <v>5535</v>
      </c>
      <c r="C2614" t="s">
        <v>28</v>
      </c>
      <c r="D2614" t="s">
        <v>5536</v>
      </c>
      <c r="E2614" t="s">
        <v>8</v>
      </c>
      <c r="F2614" t="s">
        <v>5537</v>
      </c>
      <c r="G2614" t="s">
        <v>5538</v>
      </c>
      <c r="H2614" t="s">
        <v>5538</v>
      </c>
      <c r="I2614" t="s">
        <v>1892</v>
      </c>
    </row>
    <row r="2615" spans="1:9" x14ac:dyDescent="0.25">
      <c r="A2615" s="1" t="str">
        <f>HYPERLINK("https://lynxcrm-apac--c.eu19.visual.force.com/0011i000001xnv8AAA","Lee, Wan Sian")</f>
        <v>Lee, Wan Sian</v>
      </c>
      <c r="B2615" t="s">
        <v>5539</v>
      </c>
      <c r="C2615" t="s">
        <v>28</v>
      </c>
      <c r="D2615" t="s">
        <v>928</v>
      </c>
      <c r="E2615" t="s">
        <v>8</v>
      </c>
      <c r="F2615" t="s">
        <v>753</v>
      </c>
      <c r="G2615" t="s">
        <v>929</v>
      </c>
      <c r="H2615" t="s">
        <v>139</v>
      </c>
      <c r="I2615" t="s">
        <v>137</v>
      </c>
    </row>
    <row r="2616" spans="1:9" x14ac:dyDescent="0.25">
      <c r="A2616" s="1" t="str">
        <f>HYPERLINK("https://lynxcrm-apac--c.eu19.visual.force.com/0011i000002IdAQAA0","Lee, Warren")</f>
        <v>Lee, Warren</v>
      </c>
      <c r="B2616" t="s">
        <v>5540</v>
      </c>
      <c r="C2616" t="s">
        <v>28</v>
      </c>
      <c r="D2616" t="s">
        <v>5541</v>
      </c>
      <c r="E2616" t="s">
        <v>8</v>
      </c>
      <c r="F2616" t="s">
        <v>5542</v>
      </c>
      <c r="G2616" t="s">
        <v>49</v>
      </c>
      <c r="H2616" t="s">
        <v>49</v>
      </c>
      <c r="I2616" t="s">
        <v>51</v>
      </c>
    </row>
    <row r="2617" spans="1:9" x14ac:dyDescent="0.25">
      <c r="A2617" s="1" t="str">
        <f>HYPERLINK("https://lynxcrm-apac--c.eu19.visual.force.com/0011i000001xniPAAQ","Lee, Wee")</f>
        <v>Lee, Wee</v>
      </c>
      <c r="B2617" t="s">
        <v>5543</v>
      </c>
      <c r="C2617" t="s">
        <v>28</v>
      </c>
      <c r="D2617" t="s">
        <v>5544</v>
      </c>
      <c r="E2617" t="s">
        <v>8</v>
      </c>
      <c r="F2617" t="s">
        <v>5545</v>
      </c>
      <c r="G2617" t="s">
        <v>5546</v>
      </c>
      <c r="H2617" t="s">
        <v>5547</v>
      </c>
      <c r="I2617" t="s">
        <v>4078</v>
      </c>
    </row>
    <row r="2618" spans="1:9" x14ac:dyDescent="0.25">
      <c r="A2618" s="1" t="str">
        <f>HYPERLINK("https://lynxcrm-apac--c.eu19.visual.force.com/0011i000001xoBGAAY","Lee, Wee Chieh")</f>
        <v>Lee, Wee Chieh</v>
      </c>
      <c r="B2618" t="s">
        <v>5548</v>
      </c>
      <c r="C2618" t="s">
        <v>28</v>
      </c>
      <c r="D2618" t="s">
        <v>5549</v>
      </c>
      <c r="E2618" t="s">
        <v>8</v>
      </c>
      <c r="F2618" t="s">
        <v>5550</v>
      </c>
      <c r="G2618" t="s">
        <v>4808</v>
      </c>
      <c r="H2618" t="s">
        <v>4808</v>
      </c>
      <c r="I2618" t="s">
        <v>5551</v>
      </c>
    </row>
    <row r="2619" spans="1:9" x14ac:dyDescent="0.25">
      <c r="A2619" s="1" t="str">
        <f>HYPERLINK("https://lynxcrm-apac--c.eu19.visual.force.com/0011i00000oYBFtAAO","Lee, Wilona")</f>
        <v>Lee, Wilona</v>
      </c>
      <c r="B2619" t="s">
        <v>5552</v>
      </c>
      <c r="C2619" t="s">
        <v>28</v>
      </c>
      <c r="D2619" t="s">
        <v>8</v>
      </c>
      <c r="E2619" t="s">
        <v>8</v>
      </c>
      <c r="F2619" t="s">
        <v>393</v>
      </c>
      <c r="G2619" t="s">
        <v>394</v>
      </c>
      <c r="H2619" t="s">
        <v>395</v>
      </c>
      <c r="I2619" t="s">
        <v>396</v>
      </c>
    </row>
    <row r="2620" spans="1:9" x14ac:dyDescent="0.25">
      <c r="A2620" s="1" t="str">
        <f>HYPERLINK("https://lynxcrm-apac--c.eu19.visual.force.com/0011i00000oYBFtAAO","Lee, Wilona")</f>
        <v>Lee, Wilona</v>
      </c>
      <c r="B2620" t="s">
        <v>5552</v>
      </c>
      <c r="C2620" t="s">
        <v>28</v>
      </c>
      <c r="D2620" t="s">
        <v>392</v>
      </c>
      <c r="E2620" t="s">
        <v>8</v>
      </c>
      <c r="F2620" t="s">
        <v>393</v>
      </c>
      <c r="G2620" t="s">
        <v>394</v>
      </c>
      <c r="H2620" t="s">
        <v>395</v>
      </c>
      <c r="I2620" t="s">
        <v>396</v>
      </c>
    </row>
    <row r="2621" spans="1:9" x14ac:dyDescent="0.25">
      <c r="A2621" s="1" t="str">
        <f>HYPERLINK("https://lynxcrm-apac--c.eu19.visual.force.com/0011i000001xodzAAA","Lee, Yew Chung Peter")</f>
        <v>Lee, Yew Chung Peter</v>
      </c>
      <c r="B2621" t="s">
        <v>5553</v>
      </c>
      <c r="C2621" t="s">
        <v>28</v>
      </c>
      <c r="D2621" t="s">
        <v>5554</v>
      </c>
      <c r="E2621" t="s">
        <v>8</v>
      </c>
      <c r="F2621" t="s">
        <v>373</v>
      </c>
      <c r="G2621" t="s">
        <v>5555</v>
      </c>
      <c r="H2621" t="s">
        <v>5556</v>
      </c>
      <c r="I2621" t="s">
        <v>123</v>
      </c>
    </row>
    <row r="2622" spans="1:9" x14ac:dyDescent="0.25">
      <c r="A2622" s="1" t="str">
        <f t="shared" ref="A2622:A2634" si="19">HYPERLINK("https://lynxcrm-apac--c.eu19.visual.force.com/0011i000001xogJAAQ","Lee, Yian Ping")</f>
        <v>Lee, Yian Ping</v>
      </c>
      <c r="B2622" t="s">
        <v>5557</v>
      </c>
      <c r="C2622" t="s">
        <v>28</v>
      </c>
      <c r="D2622" t="s">
        <v>164</v>
      </c>
      <c r="E2622" t="s">
        <v>8</v>
      </c>
      <c r="F2622" t="s">
        <v>247</v>
      </c>
      <c r="G2622" t="s">
        <v>163</v>
      </c>
      <c r="H2622" t="s">
        <v>242</v>
      </c>
      <c r="I2622" t="s">
        <v>165</v>
      </c>
    </row>
    <row r="2623" spans="1:9" x14ac:dyDescent="0.25">
      <c r="A2623" s="1" t="str">
        <f t="shared" si="19"/>
        <v>Lee, Yian Ping</v>
      </c>
      <c r="B2623" t="s">
        <v>5557</v>
      </c>
      <c r="C2623" t="s">
        <v>28</v>
      </c>
      <c r="D2623" t="s">
        <v>164</v>
      </c>
      <c r="E2623" t="s">
        <v>8</v>
      </c>
      <c r="F2623" t="s">
        <v>246</v>
      </c>
      <c r="G2623" t="s">
        <v>163</v>
      </c>
      <c r="H2623" t="s">
        <v>163</v>
      </c>
      <c r="I2623" t="s">
        <v>244</v>
      </c>
    </row>
    <row r="2624" spans="1:9" x14ac:dyDescent="0.25">
      <c r="A2624" s="1" t="str">
        <f t="shared" si="19"/>
        <v>Lee, Yian Ping</v>
      </c>
      <c r="B2624" t="s">
        <v>5557</v>
      </c>
      <c r="C2624" t="s">
        <v>28</v>
      </c>
      <c r="D2624" t="s">
        <v>164</v>
      </c>
      <c r="E2624" t="s">
        <v>8</v>
      </c>
      <c r="F2624" t="s">
        <v>245</v>
      </c>
      <c r="G2624" t="s">
        <v>163</v>
      </c>
      <c r="H2624" t="s">
        <v>163</v>
      </c>
      <c r="I2624" t="s">
        <v>165</v>
      </c>
    </row>
    <row r="2625" spans="1:9" x14ac:dyDescent="0.25">
      <c r="A2625" s="1" t="str">
        <f t="shared" si="19"/>
        <v>Lee, Yian Ping</v>
      </c>
      <c r="B2625" t="s">
        <v>5557</v>
      </c>
      <c r="C2625" t="s">
        <v>28</v>
      </c>
      <c r="D2625" t="s">
        <v>164</v>
      </c>
      <c r="E2625" t="s">
        <v>8</v>
      </c>
      <c r="F2625" t="s">
        <v>243</v>
      </c>
      <c r="G2625" t="s">
        <v>163</v>
      </c>
      <c r="H2625" t="s">
        <v>163</v>
      </c>
      <c r="I2625" t="s">
        <v>244</v>
      </c>
    </row>
    <row r="2626" spans="1:9" x14ac:dyDescent="0.25">
      <c r="A2626" s="1" t="str">
        <f t="shared" si="19"/>
        <v>Lee, Yian Ping</v>
      </c>
      <c r="B2626" t="s">
        <v>5557</v>
      </c>
      <c r="C2626" t="s">
        <v>28</v>
      </c>
      <c r="D2626" t="s">
        <v>164</v>
      </c>
      <c r="E2626" t="s">
        <v>8</v>
      </c>
      <c r="F2626" t="s">
        <v>241</v>
      </c>
      <c r="G2626" t="s">
        <v>163</v>
      </c>
      <c r="H2626" t="s">
        <v>242</v>
      </c>
      <c r="I2626" t="s">
        <v>165</v>
      </c>
    </row>
    <row r="2627" spans="1:9" x14ac:dyDescent="0.25">
      <c r="A2627" s="1" t="str">
        <f t="shared" si="19"/>
        <v>Lee, Yian Ping</v>
      </c>
      <c r="B2627" t="s">
        <v>5557</v>
      </c>
      <c r="C2627" t="s">
        <v>28</v>
      </c>
      <c r="D2627" t="s">
        <v>164</v>
      </c>
      <c r="E2627" t="s">
        <v>8</v>
      </c>
      <c r="F2627" t="s">
        <v>234</v>
      </c>
      <c r="G2627" t="s">
        <v>163</v>
      </c>
      <c r="H2627" t="s">
        <v>163</v>
      </c>
      <c r="I2627" t="s">
        <v>235</v>
      </c>
    </row>
    <row r="2628" spans="1:9" x14ac:dyDescent="0.25">
      <c r="A2628" s="1" t="str">
        <f t="shared" si="19"/>
        <v>Lee, Yian Ping</v>
      </c>
      <c r="B2628" t="s">
        <v>5557</v>
      </c>
      <c r="C2628" t="s">
        <v>28</v>
      </c>
      <c r="D2628" t="s">
        <v>164</v>
      </c>
      <c r="E2628" t="s">
        <v>8</v>
      </c>
      <c r="F2628" t="s">
        <v>240</v>
      </c>
      <c r="G2628" t="s">
        <v>163</v>
      </c>
      <c r="H2628" t="s">
        <v>163</v>
      </c>
      <c r="I2628" t="s">
        <v>165</v>
      </c>
    </row>
    <row r="2629" spans="1:9" x14ac:dyDescent="0.25">
      <c r="A2629" s="1" t="str">
        <f t="shared" si="19"/>
        <v>Lee, Yian Ping</v>
      </c>
      <c r="B2629" t="s">
        <v>5557</v>
      </c>
      <c r="C2629" t="s">
        <v>28</v>
      </c>
      <c r="D2629" t="s">
        <v>164</v>
      </c>
      <c r="E2629" t="s">
        <v>8</v>
      </c>
      <c r="F2629" t="s">
        <v>239</v>
      </c>
      <c r="G2629" t="s">
        <v>163</v>
      </c>
      <c r="H2629" t="s">
        <v>163</v>
      </c>
      <c r="I2629" t="s">
        <v>165</v>
      </c>
    </row>
    <row r="2630" spans="1:9" x14ac:dyDescent="0.25">
      <c r="A2630" s="1" t="str">
        <f t="shared" si="19"/>
        <v>Lee, Yian Ping</v>
      </c>
      <c r="B2630" t="s">
        <v>5557</v>
      </c>
      <c r="C2630" t="s">
        <v>28</v>
      </c>
      <c r="D2630" t="s">
        <v>164</v>
      </c>
      <c r="E2630" t="s">
        <v>8</v>
      </c>
      <c r="F2630" t="s">
        <v>238</v>
      </c>
      <c r="G2630" t="s">
        <v>163</v>
      </c>
      <c r="H2630" t="s">
        <v>163</v>
      </c>
      <c r="I2630" t="s">
        <v>165</v>
      </c>
    </row>
    <row r="2631" spans="1:9" x14ac:dyDescent="0.25">
      <c r="A2631" s="1" t="str">
        <f t="shared" si="19"/>
        <v>Lee, Yian Ping</v>
      </c>
      <c r="B2631" t="s">
        <v>5557</v>
      </c>
      <c r="C2631" t="s">
        <v>28</v>
      </c>
      <c r="D2631" t="s">
        <v>164</v>
      </c>
      <c r="E2631" t="s">
        <v>8</v>
      </c>
      <c r="F2631" t="s">
        <v>236</v>
      </c>
      <c r="G2631" t="s">
        <v>237</v>
      </c>
      <c r="H2631" t="s">
        <v>237</v>
      </c>
      <c r="I2631" t="s">
        <v>165</v>
      </c>
    </row>
    <row r="2632" spans="1:9" x14ac:dyDescent="0.25">
      <c r="A2632" s="1" t="str">
        <f t="shared" si="19"/>
        <v>Lee, Yian Ping</v>
      </c>
      <c r="B2632" t="s">
        <v>5557</v>
      </c>
      <c r="C2632" t="s">
        <v>28</v>
      </c>
      <c r="D2632" t="s">
        <v>164</v>
      </c>
      <c r="E2632" t="s">
        <v>8</v>
      </c>
      <c r="F2632" t="s">
        <v>234</v>
      </c>
      <c r="G2632" t="s">
        <v>163</v>
      </c>
      <c r="H2632" t="s">
        <v>163</v>
      </c>
      <c r="I2632" t="s">
        <v>244</v>
      </c>
    </row>
    <row r="2633" spans="1:9" x14ac:dyDescent="0.25">
      <c r="A2633" s="1" t="str">
        <f t="shared" si="19"/>
        <v>Lee, Yian Ping</v>
      </c>
      <c r="B2633" t="s">
        <v>5557</v>
      </c>
      <c r="C2633" t="s">
        <v>28</v>
      </c>
      <c r="D2633" t="s">
        <v>164</v>
      </c>
      <c r="E2633" t="s">
        <v>8</v>
      </c>
      <c r="F2633" t="s">
        <v>248</v>
      </c>
      <c r="G2633" t="s">
        <v>163</v>
      </c>
      <c r="H2633" t="s">
        <v>242</v>
      </c>
      <c r="I2633" t="s">
        <v>165</v>
      </c>
    </row>
    <row r="2634" spans="1:9" x14ac:dyDescent="0.25">
      <c r="A2634" s="1" t="str">
        <f t="shared" si="19"/>
        <v>Lee, Yian Ping</v>
      </c>
      <c r="B2634" t="s">
        <v>5557</v>
      </c>
      <c r="C2634" t="s">
        <v>28</v>
      </c>
      <c r="D2634" t="s">
        <v>164</v>
      </c>
      <c r="E2634" t="s">
        <v>8</v>
      </c>
      <c r="F2634" t="s">
        <v>249</v>
      </c>
      <c r="G2634" t="s">
        <v>163</v>
      </c>
      <c r="H2634" t="s">
        <v>163</v>
      </c>
      <c r="I2634" t="s">
        <v>165</v>
      </c>
    </row>
    <row r="2635" spans="1:9" x14ac:dyDescent="0.25">
      <c r="A2635" s="1" t="str">
        <f>HYPERLINK("https://lynxcrm-apac--c.eu19.visual.force.com/0011i000001xolpAAA","Lee, Yi Jie Jack")</f>
        <v>Lee, Yi Jie Jack</v>
      </c>
      <c r="B2635" t="s">
        <v>5558</v>
      </c>
      <c r="C2635" t="s">
        <v>28</v>
      </c>
      <c r="D2635" t="s">
        <v>5559</v>
      </c>
      <c r="E2635" t="s">
        <v>8</v>
      </c>
      <c r="F2635" t="s">
        <v>4996</v>
      </c>
      <c r="G2635" t="s">
        <v>4997</v>
      </c>
      <c r="H2635" t="s">
        <v>4997</v>
      </c>
      <c r="I2635" t="s">
        <v>4998</v>
      </c>
    </row>
    <row r="2636" spans="1:9" x14ac:dyDescent="0.25">
      <c r="A2636" s="1" t="str">
        <f>HYPERLINK("https://lynxcrm-apac--c.eu19.visual.force.com/0011i000001xnj5AAA","Lee, Ying Ling")</f>
        <v>Lee, Ying Ling</v>
      </c>
      <c r="B2636" t="s">
        <v>5560</v>
      </c>
      <c r="C2636" t="s">
        <v>28</v>
      </c>
      <c r="D2636" t="s">
        <v>578</v>
      </c>
      <c r="E2636" t="s">
        <v>8</v>
      </c>
      <c r="F2636" t="s">
        <v>5561</v>
      </c>
      <c r="G2636" t="s">
        <v>3360</v>
      </c>
      <c r="H2636" t="s">
        <v>3360</v>
      </c>
      <c r="I2636" t="s">
        <v>1994</v>
      </c>
    </row>
    <row r="2637" spans="1:9" x14ac:dyDescent="0.25">
      <c r="A2637" s="1" t="str">
        <f>HYPERLINK("https://lynxcrm-apac--c.eu19.visual.force.com/0011i000001xo3qAAA","Lee, Ying Shan")</f>
        <v>Lee, Ying Shan</v>
      </c>
      <c r="B2637" t="s">
        <v>5562</v>
      </c>
      <c r="C2637" t="s">
        <v>28</v>
      </c>
      <c r="D2637" t="s">
        <v>261</v>
      </c>
      <c r="E2637" t="s">
        <v>8</v>
      </c>
      <c r="F2637" t="s">
        <v>261</v>
      </c>
      <c r="G2637" t="s">
        <v>347</v>
      </c>
      <c r="H2637" t="s">
        <v>347</v>
      </c>
      <c r="I2637" t="s">
        <v>260</v>
      </c>
    </row>
    <row r="2638" spans="1:9" x14ac:dyDescent="0.25">
      <c r="A2638" s="1" t="str">
        <f>HYPERLINK("https://lynxcrm-apac--c.eu19.visual.force.com/0011i000001xoWxAAI","Lee, Yin San Frank")</f>
        <v>Lee, Yin San Frank</v>
      </c>
      <c r="B2638" t="s">
        <v>5563</v>
      </c>
      <c r="C2638" t="s">
        <v>28</v>
      </c>
      <c r="D2638" t="s">
        <v>756</v>
      </c>
      <c r="E2638" t="s">
        <v>8</v>
      </c>
      <c r="F2638" t="s">
        <v>305</v>
      </c>
      <c r="G2638" t="s">
        <v>302</v>
      </c>
      <c r="H2638" t="s">
        <v>306</v>
      </c>
      <c r="I2638" t="s">
        <v>304</v>
      </c>
    </row>
    <row r="2639" spans="1:9" x14ac:dyDescent="0.25">
      <c r="A2639" s="1" t="str">
        <f>HYPERLINK("https://lynxcrm-apac--c.eu19.visual.force.com/0011i000001xniQAAQ","Lee, Yi Yong")</f>
        <v>Lee, Yi Yong</v>
      </c>
      <c r="B2639" t="s">
        <v>5564</v>
      </c>
      <c r="C2639" t="s">
        <v>28</v>
      </c>
      <c r="D2639" t="s">
        <v>5565</v>
      </c>
      <c r="E2639" t="s">
        <v>8</v>
      </c>
      <c r="F2639" t="s">
        <v>5566</v>
      </c>
      <c r="G2639" t="s">
        <v>2979</v>
      </c>
      <c r="H2639" t="s">
        <v>2979</v>
      </c>
      <c r="I2639" t="s">
        <v>5567</v>
      </c>
    </row>
    <row r="2640" spans="1:9" x14ac:dyDescent="0.25">
      <c r="A2640" s="1" t="str">
        <f>HYPERLINK("https://lynxcrm-apac--c.eu19.visual.force.com/0011i00000Xf1IMAAZ","Lee, Yuh Shan")</f>
        <v>Lee, Yuh Shan</v>
      </c>
      <c r="B2640" t="s">
        <v>5568</v>
      </c>
      <c r="C2640" t="s">
        <v>28</v>
      </c>
      <c r="D2640" t="s">
        <v>5569</v>
      </c>
      <c r="E2640" t="s">
        <v>8</v>
      </c>
      <c r="F2640" t="s">
        <v>5570</v>
      </c>
      <c r="G2640" t="s">
        <v>1040</v>
      </c>
      <c r="H2640" t="s">
        <v>8</v>
      </c>
      <c r="I2640" t="s">
        <v>123</v>
      </c>
    </row>
    <row r="2641" spans="1:9" x14ac:dyDescent="0.25">
      <c r="A2641" s="1" t="str">
        <f>HYPERLINK("https://lynxcrm-apac--c.eu19.visual.force.com/0011i000001xmrnAAA","Lee &amp; Koh Family Clinic")</f>
        <v>Lee &amp; Koh Family Clinic</v>
      </c>
      <c r="B2641" t="s">
        <v>5571</v>
      </c>
      <c r="C2641" t="s">
        <v>10</v>
      </c>
      <c r="D2641" t="s">
        <v>8</v>
      </c>
      <c r="E2641" t="s">
        <v>8</v>
      </c>
      <c r="F2641" t="s">
        <v>5572</v>
      </c>
      <c r="G2641" t="s">
        <v>3058</v>
      </c>
      <c r="H2641" t="s">
        <v>5573</v>
      </c>
      <c r="I2641" t="s">
        <v>5574</v>
      </c>
    </row>
    <row r="2642" spans="1:9" x14ac:dyDescent="0.25">
      <c r="A2642" s="1" t="str">
        <f>HYPERLINK("https://lynxcrm-apac--c.eu19.visual.force.com/0011i000001xnBPAAY","Lee &amp; Tan Family Clinic &amp; Surgery")</f>
        <v>Lee &amp; Tan Family Clinic &amp; Surgery</v>
      </c>
      <c r="B2642" t="s">
        <v>5575</v>
      </c>
      <c r="C2642" t="s">
        <v>10</v>
      </c>
      <c r="D2642" t="s">
        <v>8</v>
      </c>
      <c r="E2642" t="s">
        <v>8</v>
      </c>
      <c r="F2642" t="s">
        <v>5576</v>
      </c>
      <c r="G2642" t="s">
        <v>2979</v>
      </c>
      <c r="H2642" t="s">
        <v>5577</v>
      </c>
      <c r="I2642" t="s">
        <v>5578</v>
      </c>
    </row>
    <row r="2643" spans="1:9" x14ac:dyDescent="0.25">
      <c r="A2643" s="1" t="str">
        <f>HYPERLINK("https://lynxcrm-apac--c.eu19.visual.force.com/0011i000001xnBaAAI","Lee Clinic")</f>
        <v>Lee Clinic</v>
      </c>
      <c r="B2643" t="s">
        <v>5579</v>
      </c>
      <c r="C2643" t="s">
        <v>10</v>
      </c>
      <c r="D2643" t="s">
        <v>8</v>
      </c>
      <c r="E2643" t="s">
        <v>8</v>
      </c>
      <c r="F2643" t="s">
        <v>5522</v>
      </c>
      <c r="G2643" t="s">
        <v>841</v>
      </c>
      <c r="H2643" t="s">
        <v>2071</v>
      </c>
      <c r="I2643" t="s">
        <v>2072</v>
      </c>
    </row>
    <row r="2644" spans="1:9" x14ac:dyDescent="0.25">
      <c r="A2644" s="1" t="str">
        <f>HYPERLINK("https://lynxcrm-apac--c.eu19.visual.force.com/0011i000001xnYGAAY","Lee Clinic")</f>
        <v>Lee Clinic</v>
      </c>
      <c r="B2644" t="s">
        <v>5580</v>
      </c>
      <c r="C2644" t="s">
        <v>10</v>
      </c>
      <c r="D2644" t="s">
        <v>8</v>
      </c>
      <c r="E2644" t="s">
        <v>8</v>
      </c>
      <c r="F2644" t="s">
        <v>2070</v>
      </c>
      <c r="G2644" t="s">
        <v>841</v>
      </c>
      <c r="H2644" t="s">
        <v>2071</v>
      </c>
      <c r="I2644" t="s">
        <v>2072</v>
      </c>
    </row>
    <row r="2645" spans="1:9" x14ac:dyDescent="0.25">
      <c r="A2645" s="1" t="str">
        <f>HYPERLINK("https://lynxcrm-apac--c.eu19.visual.force.com/0011i000001xndYAAQ","Lee Clinic")</f>
        <v>Lee Clinic</v>
      </c>
      <c r="B2645" t="s">
        <v>5581</v>
      </c>
      <c r="C2645" t="s">
        <v>10</v>
      </c>
      <c r="D2645" t="s">
        <v>8</v>
      </c>
      <c r="E2645" t="s">
        <v>8</v>
      </c>
      <c r="F2645" t="s">
        <v>5582</v>
      </c>
      <c r="G2645" t="s">
        <v>5582</v>
      </c>
      <c r="H2645" t="s">
        <v>5583</v>
      </c>
      <c r="I2645" t="s">
        <v>5584</v>
      </c>
    </row>
    <row r="2646" spans="1:9" x14ac:dyDescent="0.25">
      <c r="A2646" s="1" t="str">
        <f>HYPERLINK("https://lynxcrm-apac--c.eu19.visual.force.com/0011i000001xn1iAAA","Lee Clinic")</f>
        <v>Lee Clinic</v>
      </c>
      <c r="B2646" t="s">
        <v>5585</v>
      </c>
      <c r="C2646" t="s">
        <v>10</v>
      </c>
      <c r="D2646" t="s">
        <v>8</v>
      </c>
      <c r="E2646" t="s">
        <v>8</v>
      </c>
      <c r="F2646" t="s">
        <v>836</v>
      </c>
      <c r="G2646" t="s">
        <v>2326</v>
      </c>
      <c r="H2646" t="s">
        <v>5586</v>
      </c>
      <c r="I2646" t="s">
        <v>838</v>
      </c>
    </row>
    <row r="2647" spans="1:9" x14ac:dyDescent="0.25">
      <c r="A2647" s="1" t="str">
        <f>HYPERLINK("https://lynxcrm-apac--c.eu19.visual.force.com/0011i000001xnOtAAI","Lee Clinic &amp; Surgery")</f>
        <v>Lee Clinic &amp; Surgery</v>
      </c>
      <c r="B2647" t="s">
        <v>5587</v>
      </c>
      <c r="C2647" t="s">
        <v>10</v>
      </c>
      <c r="D2647" t="s">
        <v>8</v>
      </c>
      <c r="E2647" t="s">
        <v>8</v>
      </c>
      <c r="F2647" t="s">
        <v>5409</v>
      </c>
      <c r="G2647" t="s">
        <v>1515</v>
      </c>
      <c r="H2647" t="s">
        <v>1515</v>
      </c>
      <c r="I2647" t="s">
        <v>2040</v>
      </c>
    </row>
    <row r="2648" spans="1:9" x14ac:dyDescent="0.25">
      <c r="A2648" s="1" t="str">
        <f>HYPERLINK("https://lynxcrm-apac--c.eu19.visual.force.com/0011i000001xnB1AAI","Lee Dispensary")</f>
        <v>Lee Dispensary</v>
      </c>
      <c r="B2648" t="s">
        <v>5588</v>
      </c>
      <c r="C2648" t="s">
        <v>10</v>
      </c>
      <c r="D2648" t="s">
        <v>8</v>
      </c>
      <c r="E2648" t="s">
        <v>8</v>
      </c>
      <c r="F2648" t="s">
        <v>5589</v>
      </c>
      <c r="G2648" t="s">
        <v>5590</v>
      </c>
      <c r="H2648" t="s">
        <v>5590</v>
      </c>
      <c r="I2648" t="s">
        <v>5591</v>
      </c>
    </row>
    <row r="2649" spans="1:9" x14ac:dyDescent="0.25">
      <c r="A2649" s="1" t="str">
        <f>HYPERLINK("https://lynxcrm-apac--c.eu19.visual.force.com/0011i000001xmmAAAQ","Lee Family Clinic Pte Ltd")</f>
        <v>Lee Family Clinic Pte Ltd</v>
      </c>
      <c r="B2649" t="s">
        <v>5592</v>
      </c>
      <c r="C2649" t="s">
        <v>10</v>
      </c>
      <c r="D2649" t="s">
        <v>8</v>
      </c>
      <c r="E2649" t="s">
        <v>8</v>
      </c>
      <c r="F2649" t="s">
        <v>3099</v>
      </c>
      <c r="G2649" t="s">
        <v>5219</v>
      </c>
      <c r="H2649" t="s">
        <v>5488</v>
      </c>
      <c r="I2649" t="s">
        <v>3102</v>
      </c>
    </row>
    <row r="2650" spans="1:9" x14ac:dyDescent="0.25">
      <c r="A2650" s="1" t="str">
        <f>HYPERLINK("https://lynxcrm-apac--c.eu19.visual.force.com/0011i000001xnfUAAQ","Leng, Sheng Yeng Natasha")</f>
        <v>Leng, Sheng Yeng Natasha</v>
      </c>
      <c r="B2650" t="s">
        <v>5593</v>
      </c>
      <c r="C2650" t="s">
        <v>28</v>
      </c>
      <c r="D2650" t="s">
        <v>1126</v>
      </c>
      <c r="E2650" t="s">
        <v>8</v>
      </c>
      <c r="F2650" t="s">
        <v>1127</v>
      </c>
      <c r="G2650" t="s">
        <v>1128</v>
      </c>
      <c r="H2650" t="s">
        <v>1128</v>
      </c>
      <c r="I2650" t="s">
        <v>996</v>
      </c>
    </row>
    <row r="2651" spans="1:9" x14ac:dyDescent="0.25">
      <c r="A2651" s="1" t="str">
        <f>HYPERLINK("https://lynxcrm-apac--c.eu19.visual.force.com/0011i000001xn8rAAA","Lens Medical Group  (RCMC Med Ctr)")</f>
        <v>Lens Medical Group  (RCMC Med Ctr)</v>
      </c>
      <c r="B2651" t="s">
        <v>5594</v>
      </c>
      <c r="C2651" t="s">
        <v>10</v>
      </c>
      <c r="D2651" t="s">
        <v>8</v>
      </c>
      <c r="E2651" t="s">
        <v>8</v>
      </c>
      <c r="F2651" t="s">
        <v>5595</v>
      </c>
      <c r="G2651" t="s">
        <v>3429</v>
      </c>
      <c r="H2651" t="s">
        <v>3429</v>
      </c>
      <c r="I2651" t="s">
        <v>5596</v>
      </c>
    </row>
    <row r="2652" spans="1:9" x14ac:dyDescent="0.25">
      <c r="A2652" s="1" t="str">
        <f>HYPERLINK("https://lynxcrm-apac--c.eu19.visual.force.com/0011i00000Q2V83AAF","Leo, Christopher Cheang Han")</f>
        <v>Leo, Christopher Cheang Han</v>
      </c>
      <c r="B2652" t="s">
        <v>5597</v>
      </c>
      <c r="C2652" t="s">
        <v>28</v>
      </c>
      <c r="D2652" t="s">
        <v>8</v>
      </c>
      <c r="E2652" t="s">
        <v>8</v>
      </c>
      <c r="F2652" t="s">
        <v>2128</v>
      </c>
      <c r="G2652" t="s">
        <v>428</v>
      </c>
      <c r="H2652" t="s">
        <v>1320</v>
      </c>
      <c r="I2652" t="s">
        <v>430</v>
      </c>
    </row>
    <row r="2653" spans="1:9" x14ac:dyDescent="0.25">
      <c r="A2653" s="1" t="str">
        <f>HYPERLINK("https://lynxcrm-apac--c.eu19.visual.force.com/0011i00000Q2V83AAF","Leo, Christopher Cheang Han")</f>
        <v>Leo, Christopher Cheang Han</v>
      </c>
      <c r="B2653" t="s">
        <v>5597</v>
      </c>
      <c r="C2653" t="s">
        <v>28</v>
      </c>
      <c r="D2653" t="s">
        <v>429</v>
      </c>
      <c r="E2653" t="s">
        <v>8</v>
      </c>
      <c r="F2653" t="s">
        <v>2128</v>
      </c>
      <c r="G2653" t="s">
        <v>428</v>
      </c>
      <c r="H2653" t="s">
        <v>1320</v>
      </c>
      <c r="I2653" t="s">
        <v>430</v>
      </c>
    </row>
    <row r="2654" spans="1:9" x14ac:dyDescent="0.25">
      <c r="A2654" s="1" t="str">
        <f>HYPERLINK("https://lynxcrm-apac--c.eu19.visual.force.com/0011i00000Q2V83AAF","Leo, Christopher Cheang Han")</f>
        <v>Leo, Christopher Cheang Han</v>
      </c>
      <c r="B2654" t="s">
        <v>5597</v>
      </c>
      <c r="C2654" t="s">
        <v>28</v>
      </c>
      <c r="D2654" t="s">
        <v>164</v>
      </c>
      <c r="E2654" t="s">
        <v>8</v>
      </c>
      <c r="F2654" t="s">
        <v>651</v>
      </c>
      <c r="G2654" t="s">
        <v>163</v>
      </c>
      <c r="H2654" t="s">
        <v>163</v>
      </c>
      <c r="I2654" t="s">
        <v>165</v>
      </c>
    </row>
    <row r="2655" spans="1:9" x14ac:dyDescent="0.25">
      <c r="A2655" s="1" t="str">
        <f>HYPERLINK("https://lynxcrm-apac--c.eu19.visual.force.com/0011i000001xodsAAA","Leo, Pien Ming Sean")</f>
        <v>Leo, Pien Ming Sean</v>
      </c>
      <c r="B2655" t="s">
        <v>5598</v>
      </c>
      <c r="C2655" t="s">
        <v>28</v>
      </c>
      <c r="D2655" t="s">
        <v>583</v>
      </c>
      <c r="E2655" t="s">
        <v>8</v>
      </c>
      <c r="F2655" t="s">
        <v>1407</v>
      </c>
      <c r="G2655" t="s">
        <v>584</v>
      </c>
      <c r="H2655" t="s">
        <v>1386</v>
      </c>
      <c r="I2655" t="s">
        <v>585</v>
      </c>
    </row>
    <row r="2656" spans="1:9" x14ac:dyDescent="0.25">
      <c r="A2656" s="1" t="str">
        <f>HYPERLINK("https://lynxcrm-apac--c.eu19.visual.force.com/0011i000001xoozAAA","Leong, Andrew")</f>
        <v>Leong, Andrew</v>
      </c>
      <c r="B2656" t="s">
        <v>5599</v>
      </c>
      <c r="C2656" t="s">
        <v>28</v>
      </c>
      <c r="D2656" t="s">
        <v>261</v>
      </c>
      <c r="E2656" t="s">
        <v>8</v>
      </c>
      <c r="F2656" t="s">
        <v>261</v>
      </c>
      <c r="G2656" t="s">
        <v>347</v>
      </c>
      <c r="H2656" t="s">
        <v>347</v>
      </c>
      <c r="I2656" t="s">
        <v>260</v>
      </c>
    </row>
    <row r="2657" spans="1:9" x14ac:dyDescent="0.25">
      <c r="A2657" s="1" t="str">
        <f>HYPERLINK("https://lynxcrm-apac--c.eu19.visual.force.com/0011i000001xoWUAAY","Leong, Cheng Nang")</f>
        <v>Leong, Cheng Nang</v>
      </c>
      <c r="B2657" t="s">
        <v>5600</v>
      </c>
      <c r="C2657" t="s">
        <v>28</v>
      </c>
      <c r="D2657" t="s">
        <v>147</v>
      </c>
      <c r="E2657" t="s">
        <v>8</v>
      </c>
      <c r="F2657" t="s">
        <v>147</v>
      </c>
      <c r="G2657" t="s">
        <v>148</v>
      </c>
      <c r="H2657" t="s">
        <v>148</v>
      </c>
      <c r="I2657" t="s">
        <v>149</v>
      </c>
    </row>
    <row r="2658" spans="1:9" x14ac:dyDescent="0.25">
      <c r="A2658" s="1" t="str">
        <f>HYPERLINK("https://lynxcrm-apac--c.eu19.visual.force.com/0011i000001xoWUAAY","Leong, Cheng Nang")</f>
        <v>Leong, Cheng Nang</v>
      </c>
      <c r="B2658" t="s">
        <v>5600</v>
      </c>
      <c r="C2658" t="s">
        <v>28</v>
      </c>
      <c r="D2658" t="s">
        <v>148</v>
      </c>
      <c r="E2658" t="s">
        <v>8</v>
      </c>
      <c r="F2658" t="s">
        <v>736</v>
      </c>
      <c r="G2658" t="s">
        <v>736</v>
      </c>
      <c r="H2658" t="s">
        <v>8</v>
      </c>
      <c r="I2658" t="s">
        <v>149</v>
      </c>
    </row>
    <row r="2659" spans="1:9" x14ac:dyDescent="0.25">
      <c r="A2659" s="1" t="str">
        <f>HYPERLINK("https://lynxcrm-apac--c.eu19.visual.force.com/0011i000001xo3GAAQ","Leong, Chi Sern Leslie")</f>
        <v>Leong, Chi Sern Leslie</v>
      </c>
      <c r="B2659" t="s">
        <v>5601</v>
      </c>
      <c r="C2659" t="s">
        <v>28</v>
      </c>
      <c r="D2659" t="s">
        <v>5602</v>
      </c>
      <c r="E2659" t="s">
        <v>8</v>
      </c>
      <c r="F2659" t="s">
        <v>69</v>
      </c>
      <c r="G2659" t="s">
        <v>5603</v>
      </c>
      <c r="H2659" t="s">
        <v>1139</v>
      </c>
      <c r="I2659" t="s">
        <v>67</v>
      </c>
    </row>
    <row r="2660" spans="1:9" x14ac:dyDescent="0.25">
      <c r="A2660" s="1" t="str">
        <f>HYPERLINK("https://lynxcrm-apac--c.eu19.visual.force.com/0011i000001xoLyAAI","Leong, Choon Yin")</f>
        <v>Leong, Choon Yin</v>
      </c>
      <c r="B2660" t="s">
        <v>5604</v>
      </c>
      <c r="C2660" t="s">
        <v>28</v>
      </c>
      <c r="D2660" t="s">
        <v>5605</v>
      </c>
      <c r="E2660" t="s">
        <v>8</v>
      </c>
      <c r="F2660" t="s">
        <v>2746</v>
      </c>
      <c r="G2660" t="s">
        <v>1515</v>
      </c>
      <c r="H2660" t="s">
        <v>5606</v>
      </c>
      <c r="I2660" t="s">
        <v>2748</v>
      </c>
    </row>
    <row r="2661" spans="1:9" x14ac:dyDescent="0.25">
      <c r="A2661" s="1" t="str">
        <f>HYPERLINK("https://lynxcrm-apac--c.eu19.visual.force.com/0011i000001xoXZAAY","Leong, Choy Kuen")</f>
        <v>Leong, Choy Kuen</v>
      </c>
      <c r="B2661" t="s">
        <v>5607</v>
      </c>
      <c r="C2661" t="s">
        <v>28</v>
      </c>
      <c r="D2661" t="s">
        <v>3563</v>
      </c>
      <c r="E2661" t="s">
        <v>8</v>
      </c>
      <c r="F2661" t="s">
        <v>452</v>
      </c>
      <c r="G2661" t="s">
        <v>449</v>
      </c>
      <c r="H2661" t="s">
        <v>449</v>
      </c>
      <c r="I2661" t="s">
        <v>454</v>
      </c>
    </row>
    <row r="2662" spans="1:9" x14ac:dyDescent="0.25">
      <c r="A2662" s="1" t="str">
        <f>HYPERLINK("https://lynxcrm-apac--c.eu19.visual.force.com/0011i000001xoXZAAY","Leong, Choy Kuen")</f>
        <v>Leong, Choy Kuen</v>
      </c>
      <c r="B2662" t="s">
        <v>5607</v>
      </c>
      <c r="C2662" t="s">
        <v>28</v>
      </c>
      <c r="D2662" t="s">
        <v>449</v>
      </c>
      <c r="E2662" t="s">
        <v>8</v>
      </c>
      <c r="F2662" t="s">
        <v>450</v>
      </c>
      <c r="G2662" t="s">
        <v>449</v>
      </c>
      <c r="H2662" t="s">
        <v>449</v>
      </c>
      <c r="I2662" t="s">
        <v>451</v>
      </c>
    </row>
    <row r="2663" spans="1:9" x14ac:dyDescent="0.25">
      <c r="A2663" s="1" t="str">
        <f>HYPERLINK("https://lynxcrm-apac--c.eu19.visual.force.com/0011i000001xoXZAAY","Leong, Choy Kuen")</f>
        <v>Leong, Choy Kuen</v>
      </c>
      <c r="B2663" t="s">
        <v>5607</v>
      </c>
      <c r="C2663" t="s">
        <v>28</v>
      </c>
      <c r="D2663" t="s">
        <v>449</v>
      </c>
      <c r="E2663" t="s">
        <v>8</v>
      </c>
      <c r="F2663" t="s">
        <v>234</v>
      </c>
      <c r="G2663" t="s">
        <v>452</v>
      </c>
      <c r="H2663" t="s">
        <v>453</v>
      </c>
      <c r="I2663" t="s">
        <v>454</v>
      </c>
    </row>
    <row r="2664" spans="1:9" x14ac:dyDescent="0.25">
      <c r="A2664" s="1" t="str">
        <f>HYPERLINK("https://lynxcrm-apac--c.eu19.visual.force.com/0011i000001xoGhAAI","Leong, Chui Ling Cindy")</f>
        <v>Leong, Chui Ling Cindy</v>
      </c>
      <c r="B2664" t="s">
        <v>5608</v>
      </c>
      <c r="C2664" t="s">
        <v>28</v>
      </c>
      <c r="D2664" t="s">
        <v>928</v>
      </c>
      <c r="E2664" t="s">
        <v>8</v>
      </c>
      <c r="F2664" t="s">
        <v>753</v>
      </c>
      <c r="G2664" t="s">
        <v>929</v>
      </c>
      <c r="H2664" t="s">
        <v>1320</v>
      </c>
      <c r="I2664" t="s">
        <v>137</v>
      </c>
    </row>
    <row r="2665" spans="1:9" x14ac:dyDescent="0.25">
      <c r="A2665" s="1" t="str">
        <f>HYPERLINK("https://lynxcrm-apac--c.eu19.visual.force.com/0011i000001xoECAAY","Leong, Helen")</f>
        <v>Leong, Helen</v>
      </c>
      <c r="B2665" t="s">
        <v>5609</v>
      </c>
      <c r="C2665" t="s">
        <v>28</v>
      </c>
      <c r="D2665" t="s">
        <v>335</v>
      </c>
      <c r="E2665" t="s">
        <v>8</v>
      </c>
      <c r="F2665" t="s">
        <v>336</v>
      </c>
      <c r="G2665" t="s">
        <v>337</v>
      </c>
      <c r="H2665" t="s">
        <v>337</v>
      </c>
      <c r="I2665" t="s">
        <v>338</v>
      </c>
    </row>
    <row r="2666" spans="1:9" x14ac:dyDescent="0.25">
      <c r="A2666" s="1" t="str">
        <f>HYPERLINK("https://lynxcrm-apac--c.eu19.visual.force.com/0011i000001xoECAAY","Leong, Helen")</f>
        <v>Leong, Helen</v>
      </c>
      <c r="B2666" t="s">
        <v>5609</v>
      </c>
      <c r="C2666" t="s">
        <v>28</v>
      </c>
      <c r="D2666" t="s">
        <v>339</v>
      </c>
      <c r="E2666" t="s">
        <v>8</v>
      </c>
      <c r="F2666" t="s">
        <v>337</v>
      </c>
      <c r="G2666" t="s">
        <v>335</v>
      </c>
      <c r="H2666" t="s">
        <v>335</v>
      </c>
      <c r="I2666" t="s">
        <v>338</v>
      </c>
    </row>
    <row r="2667" spans="1:9" x14ac:dyDescent="0.25">
      <c r="A2667" s="1" t="str">
        <f>HYPERLINK("https://lynxcrm-apac--c.eu19.visual.force.com/0011i000001xoGnAAI","Leong, Hoe Nam")</f>
        <v>Leong, Hoe Nam</v>
      </c>
      <c r="B2667" t="s">
        <v>5610</v>
      </c>
      <c r="C2667" t="s">
        <v>28</v>
      </c>
      <c r="D2667" t="s">
        <v>251</v>
      </c>
      <c r="E2667" t="s">
        <v>8</v>
      </c>
      <c r="F2667" t="s">
        <v>651</v>
      </c>
      <c r="G2667" t="s">
        <v>252</v>
      </c>
      <c r="H2667" t="s">
        <v>252</v>
      </c>
      <c r="I2667" t="s">
        <v>253</v>
      </c>
    </row>
    <row r="2668" spans="1:9" x14ac:dyDescent="0.25">
      <c r="A2668" s="1" t="str">
        <f>HYPERLINK("https://lynxcrm-apac--c.eu19.visual.force.com/0011i000001xopSAAQ","Leong, Huey Yee Christine")</f>
        <v>Leong, Huey Yee Christine</v>
      </c>
      <c r="B2668" t="s">
        <v>5611</v>
      </c>
      <c r="C2668" t="s">
        <v>28</v>
      </c>
      <c r="D2668" t="s">
        <v>5612</v>
      </c>
      <c r="E2668" t="s">
        <v>8</v>
      </c>
      <c r="F2668" t="s">
        <v>5613</v>
      </c>
      <c r="G2668" t="s">
        <v>5614</v>
      </c>
      <c r="H2668" t="s">
        <v>5614</v>
      </c>
      <c r="I2668" t="s">
        <v>3540</v>
      </c>
    </row>
    <row r="2669" spans="1:9" x14ac:dyDescent="0.25">
      <c r="A2669" s="1" t="str">
        <f>HYPERLINK("https://lynxcrm-apac--c.eu19.visual.force.com/0011i000001xohNAAQ","Leong, Jern-Yi")</f>
        <v>Leong, Jern-Yi</v>
      </c>
      <c r="B2669" t="s">
        <v>5615</v>
      </c>
      <c r="C2669" t="s">
        <v>28</v>
      </c>
      <c r="D2669" t="s">
        <v>815</v>
      </c>
      <c r="E2669" t="s">
        <v>8</v>
      </c>
      <c r="F2669" t="s">
        <v>1887</v>
      </c>
      <c r="G2669" t="s">
        <v>816</v>
      </c>
      <c r="H2669" t="s">
        <v>1888</v>
      </c>
      <c r="I2669" t="s">
        <v>817</v>
      </c>
    </row>
    <row r="2670" spans="1:9" x14ac:dyDescent="0.25">
      <c r="A2670" s="1" t="str">
        <f>HYPERLINK("https://lynxcrm-apac--c.eu19.visual.force.com/0011i000001xo3MAAQ","Leong, Kam Kei")</f>
        <v>Leong, Kam Kei</v>
      </c>
      <c r="B2670" t="s">
        <v>5616</v>
      </c>
      <c r="C2670" t="s">
        <v>28</v>
      </c>
      <c r="D2670" t="s">
        <v>251</v>
      </c>
      <c r="E2670" t="s">
        <v>8</v>
      </c>
      <c r="F2670" t="s">
        <v>514</v>
      </c>
      <c r="G2670" t="s">
        <v>252</v>
      </c>
      <c r="H2670" t="s">
        <v>252</v>
      </c>
      <c r="I2670" t="s">
        <v>253</v>
      </c>
    </row>
    <row r="2671" spans="1:9" x14ac:dyDescent="0.25">
      <c r="A2671" s="1" t="str">
        <f>HYPERLINK("https://lynxcrm-apac--c.eu19.visual.force.com/0011i000001xo3MAAQ","Leong, Kam Kei")</f>
        <v>Leong, Kam Kei</v>
      </c>
      <c r="B2671" t="s">
        <v>5616</v>
      </c>
      <c r="C2671" t="s">
        <v>28</v>
      </c>
      <c r="D2671" t="s">
        <v>251</v>
      </c>
      <c r="E2671" t="s">
        <v>8</v>
      </c>
      <c r="F2671" t="s">
        <v>251</v>
      </c>
      <c r="G2671" t="s">
        <v>252</v>
      </c>
      <c r="H2671" t="s">
        <v>252</v>
      </c>
      <c r="I2671" t="s">
        <v>253</v>
      </c>
    </row>
    <row r="2672" spans="1:9" x14ac:dyDescent="0.25">
      <c r="A2672" s="1" t="str">
        <f>HYPERLINK("https://lynxcrm-apac--c.eu19.visual.force.com/0011i000001xo3NAAQ","Leong, Khai Pang")</f>
        <v>Leong, Khai Pang</v>
      </c>
      <c r="B2672" t="s">
        <v>5617</v>
      </c>
      <c r="C2672" t="s">
        <v>28</v>
      </c>
      <c r="D2672" t="s">
        <v>261</v>
      </c>
      <c r="E2672" t="s">
        <v>8</v>
      </c>
      <c r="F2672" t="s">
        <v>261</v>
      </c>
      <c r="G2672" t="s">
        <v>347</v>
      </c>
      <c r="H2672" t="s">
        <v>347</v>
      </c>
      <c r="I2672" t="s">
        <v>260</v>
      </c>
    </row>
    <row r="2673" spans="1:9" x14ac:dyDescent="0.25">
      <c r="A2673" s="1" t="str">
        <f>HYPERLINK("https://lynxcrm-apac--c.eu19.visual.force.com/0011i000001xnqqAAA","Leong, Kui Toh Gerard")</f>
        <v>Leong, Kui Toh Gerard</v>
      </c>
      <c r="B2673" t="s">
        <v>5618</v>
      </c>
      <c r="C2673" t="s">
        <v>28</v>
      </c>
      <c r="D2673" t="s">
        <v>5619</v>
      </c>
      <c r="E2673" t="s">
        <v>8</v>
      </c>
      <c r="F2673" t="s">
        <v>5620</v>
      </c>
      <c r="G2673" t="s">
        <v>964</v>
      </c>
      <c r="H2673" t="s">
        <v>964</v>
      </c>
      <c r="I2673" t="s">
        <v>266</v>
      </c>
    </row>
    <row r="2674" spans="1:9" x14ac:dyDescent="0.25">
      <c r="A2674" s="1" t="str">
        <f>HYPERLINK("https://lynxcrm-apac--c.eu19.visual.force.com/0011i000001xnqqAAA","Leong, Kui Toh Gerard")</f>
        <v>Leong, Kui Toh Gerard</v>
      </c>
      <c r="B2674" t="s">
        <v>5618</v>
      </c>
      <c r="C2674" t="s">
        <v>28</v>
      </c>
      <c r="D2674" t="s">
        <v>583</v>
      </c>
      <c r="E2674" t="s">
        <v>8</v>
      </c>
      <c r="F2674" t="s">
        <v>234</v>
      </c>
      <c r="G2674" t="s">
        <v>584</v>
      </c>
      <c r="H2674" t="s">
        <v>1386</v>
      </c>
      <c r="I2674" t="s">
        <v>585</v>
      </c>
    </row>
    <row r="2675" spans="1:9" x14ac:dyDescent="0.25">
      <c r="A2675" s="1" t="str">
        <f>HYPERLINK("https://lynxcrm-apac--c.eu19.visual.force.com/0011i000001xnijAAA","Leong, Kwai San Sebastian")</f>
        <v>Leong, Kwai San Sebastian</v>
      </c>
      <c r="B2675" t="s">
        <v>5621</v>
      </c>
      <c r="C2675" t="s">
        <v>28</v>
      </c>
      <c r="D2675" t="s">
        <v>5622</v>
      </c>
      <c r="E2675" t="s">
        <v>8</v>
      </c>
      <c r="F2675" t="s">
        <v>69</v>
      </c>
      <c r="G2675" t="s">
        <v>5623</v>
      </c>
      <c r="H2675" t="s">
        <v>5624</v>
      </c>
      <c r="I2675" t="s">
        <v>67</v>
      </c>
    </row>
    <row r="2676" spans="1:9" x14ac:dyDescent="0.25">
      <c r="A2676" s="1" t="str">
        <f>HYPERLINK("https://lynxcrm-apac--c.eu19.visual.force.com/0011i000001xo37AAA","Leong, Kwek Choy James")</f>
        <v>Leong, Kwek Choy James</v>
      </c>
      <c r="B2676" t="s">
        <v>5625</v>
      </c>
      <c r="C2676" t="s">
        <v>28</v>
      </c>
      <c r="D2676" t="s">
        <v>5626</v>
      </c>
      <c r="E2676" t="s">
        <v>8</v>
      </c>
      <c r="F2676" t="s">
        <v>5627</v>
      </c>
      <c r="G2676" t="s">
        <v>2191</v>
      </c>
      <c r="H2676" t="s">
        <v>5628</v>
      </c>
      <c r="I2676" t="s">
        <v>5629</v>
      </c>
    </row>
    <row r="2677" spans="1:9" x14ac:dyDescent="0.25">
      <c r="A2677" s="1" t="str">
        <f>HYPERLINK("https://lynxcrm-apac--c.eu19.visual.force.com/0011i000001xo3OAAQ","Leong, Kwok Fai Mark")</f>
        <v>Leong, Kwok Fai Mark</v>
      </c>
      <c r="B2677" t="s">
        <v>5630</v>
      </c>
      <c r="C2677" t="s">
        <v>28</v>
      </c>
      <c r="D2677" t="s">
        <v>251</v>
      </c>
      <c r="E2677" t="s">
        <v>8</v>
      </c>
      <c r="F2677" t="s">
        <v>251</v>
      </c>
      <c r="G2677" t="s">
        <v>252</v>
      </c>
      <c r="H2677" t="s">
        <v>252</v>
      </c>
      <c r="I2677" t="s">
        <v>253</v>
      </c>
    </row>
    <row r="2678" spans="1:9" x14ac:dyDescent="0.25">
      <c r="A2678" s="1" t="str">
        <f>HYPERLINK("https://lynxcrm-apac--c.eu19.visual.force.com/0011i000001xo3OAAQ","Leong, Kwok Fai Mark")</f>
        <v>Leong, Kwok Fai Mark</v>
      </c>
      <c r="B2678" t="s">
        <v>5630</v>
      </c>
      <c r="C2678" t="s">
        <v>28</v>
      </c>
      <c r="D2678" t="s">
        <v>368</v>
      </c>
      <c r="E2678" t="s">
        <v>8</v>
      </c>
      <c r="F2678" t="s">
        <v>252</v>
      </c>
      <c r="G2678" t="s">
        <v>251</v>
      </c>
      <c r="H2678" t="s">
        <v>251</v>
      </c>
      <c r="I2678" t="s">
        <v>253</v>
      </c>
    </row>
    <row r="2679" spans="1:9" x14ac:dyDescent="0.25">
      <c r="A2679" s="1" t="str">
        <f>HYPERLINK("https://lynxcrm-apac--c.eu19.visual.force.com/0011i000001xopRAAQ","Leong, Lucy")</f>
        <v>Leong, Lucy</v>
      </c>
      <c r="B2679" t="s">
        <v>5631</v>
      </c>
      <c r="C2679" t="s">
        <v>28</v>
      </c>
      <c r="D2679" t="s">
        <v>578</v>
      </c>
      <c r="E2679" t="s">
        <v>8</v>
      </c>
      <c r="F2679" t="s">
        <v>5632</v>
      </c>
      <c r="G2679" t="s">
        <v>5633</v>
      </c>
      <c r="H2679" t="s">
        <v>5633</v>
      </c>
      <c r="I2679" t="s">
        <v>733</v>
      </c>
    </row>
    <row r="2680" spans="1:9" x14ac:dyDescent="0.25">
      <c r="A2680" s="1" t="str">
        <f>HYPERLINK("https://lynxcrm-apac--c.eu19.visual.force.com/0011i000001xobKAAQ","Leong, Peng Fai Samuel")</f>
        <v>Leong, Peng Fai Samuel</v>
      </c>
      <c r="B2680" t="s">
        <v>5634</v>
      </c>
      <c r="C2680" t="s">
        <v>28</v>
      </c>
      <c r="D2680" t="s">
        <v>3194</v>
      </c>
      <c r="E2680" t="s">
        <v>8</v>
      </c>
      <c r="F2680" t="s">
        <v>2832</v>
      </c>
      <c r="G2680" t="s">
        <v>2833</v>
      </c>
      <c r="H2680" t="s">
        <v>2834</v>
      </c>
      <c r="I2680" t="s">
        <v>2835</v>
      </c>
    </row>
    <row r="2681" spans="1:9" x14ac:dyDescent="0.25">
      <c r="A2681" s="1" t="str">
        <f>HYPERLINK("https://lynxcrm-apac--c.eu19.visual.force.com/0011i000001xnyQAAQ","Leong, Peng Kheong Adrian")</f>
        <v>Leong, Peng Kheong Adrian</v>
      </c>
      <c r="B2681" t="s">
        <v>5635</v>
      </c>
      <c r="C2681" t="s">
        <v>28</v>
      </c>
      <c r="D2681" t="s">
        <v>5636</v>
      </c>
      <c r="E2681" t="s">
        <v>8</v>
      </c>
      <c r="F2681" t="s">
        <v>5637</v>
      </c>
      <c r="G2681" t="s">
        <v>5638</v>
      </c>
      <c r="H2681" t="s">
        <v>5638</v>
      </c>
      <c r="I2681" t="s">
        <v>123</v>
      </c>
    </row>
    <row r="2682" spans="1:9" x14ac:dyDescent="0.25">
      <c r="A2682" s="1" t="str">
        <f>HYPERLINK("https://lynxcrm-apac--c.eu19.visual.force.com/0011i000001xngWAAQ","Leong, Quor Meng")</f>
        <v>Leong, Quor Meng</v>
      </c>
      <c r="B2682" t="s">
        <v>5639</v>
      </c>
      <c r="C2682" t="s">
        <v>28</v>
      </c>
      <c r="D2682" t="s">
        <v>5640</v>
      </c>
      <c r="E2682" t="s">
        <v>8</v>
      </c>
      <c r="F2682" t="s">
        <v>5641</v>
      </c>
      <c r="G2682" t="s">
        <v>198</v>
      </c>
      <c r="H2682" t="s">
        <v>198</v>
      </c>
      <c r="I2682" t="s">
        <v>200</v>
      </c>
    </row>
    <row r="2683" spans="1:9" x14ac:dyDescent="0.25">
      <c r="A2683" s="1" t="str">
        <f>HYPERLINK("https://lynxcrm-apac--c.eu19.visual.force.com/0011i000001xo3PAAQ","Leong, See Odd")</f>
        <v>Leong, See Odd</v>
      </c>
      <c r="B2683" t="s">
        <v>5642</v>
      </c>
      <c r="C2683" t="s">
        <v>28</v>
      </c>
      <c r="D2683" t="s">
        <v>5643</v>
      </c>
      <c r="E2683" t="s">
        <v>8</v>
      </c>
      <c r="F2683" t="s">
        <v>5644</v>
      </c>
      <c r="G2683" t="s">
        <v>65</v>
      </c>
      <c r="H2683" t="s">
        <v>5645</v>
      </c>
      <c r="I2683" t="s">
        <v>67</v>
      </c>
    </row>
    <row r="2684" spans="1:9" x14ac:dyDescent="0.25">
      <c r="A2684" s="1" t="str">
        <f>HYPERLINK("https://lynxcrm-apac--c.eu19.visual.force.com/0011i000001xnipAAA","Leong, Seng Keen")</f>
        <v>Leong, Seng Keen</v>
      </c>
      <c r="B2684" t="s">
        <v>5646</v>
      </c>
      <c r="C2684" t="s">
        <v>28</v>
      </c>
      <c r="D2684" t="s">
        <v>5647</v>
      </c>
      <c r="E2684" t="s">
        <v>8</v>
      </c>
      <c r="F2684" t="s">
        <v>108</v>
      </c>
      <c r="G2684" t="s">
        <v>109</v>
      </c>
      <c r="H2684" t="s">
        <v>110</v>
      </c>
      <c r="I2684" t="s">
        <v>111</v>
      </c>
    </row>
    <row r="2685" spans="1:9" x14ac:dyDescent="0.25">
      <c r="A2685" s="1" t="str">
        <f>HYPERLINK("https://lynxcrm-apac--c.eu19.visual.force.com/0011i000001xnirAAA","Leong, S F Rosslyn")</f>
        <v>Leong, S F Rosslyn</v>
      </c>
      <c r="B2685" t="s">
        <v>5648</v>
      </c>
      <c r="C2685" t="s">
        <v>28</v>
      </c>
      <c r="D2685" t="s">
        <v>5649</v>
      </c>
      <c r="E2685" t="s">
        <v>8</v>
      </c>
      <c r="F2685" t="s">
        <v>377</v>
      </c>
      <c r="G2685" t="s">
        <v>5650</v>
      </c>
      <c r="H2685" t="s">
        <v>5650</v>
      </c>
      <c r="I2685" t="s">
        <v>123</v>
      </c>
    </row>
    <row r="2686" spans="1:9" x14ac:dyDescent="0.25">
      <c r="A2686" s="1" t="str">
        <f>HYPERLINK("https://lynxcrm-apac--c.eu19.visual.force.com/0011i00000Xf1ITAAZ","Leong, Swan Swan")</f>
        <v>Leong, Swan Swan</v>
      </c>
      <c r="B2686" t="s">
        <v>5651</v>
      </c>
      <c r="C2686" t="s">
        <v>28</v>
      </c>
      <c r="D2686" t="s">
        <v>5652</v>
      </c>
      <c r="E2686" t="s">
        <v>8</v>
      </c>
      <c r="F2686" t="s">
        <v>5653</v>
      </c>
      <c r="G2686" t="s">
        <v>388</v>
      </c>
      <c r="H2686" t="s">
        <v>8</v>
      </c>
      <c r="I2686" t="s">
        <v>123</v>
      </c>
    </row>
    <row r="2687" spans="1:9" x14ac:dyDescent="0.25">
      <c r="A2687" s="1" t="str">
        <f>HYPERLINK("https://lynxcrm-apac--c.eu19.visual.force.com/0011i000001xnitAAA","Leong, Tuck Kian")</f>
        <v>Leong, Tuck Kian</v>
      </c>
      <c r="B2687" t="s">
        <v>5654</v>
      </c>
      <c r="C2687" t="s">
        <v>28</v>
      </c>
      <c r="D2687" t="s">
        <v>5655</v>
      </c>
      <c r="E2687" t="s">
        <v>8</v>
      </c>
      <c r="F2687" t="s">
        <v>4135</v>
      </c>
      <c r="G2687" t="s">
        <v>4136</v>
      </c>
      <c r="H2687" t="s">
        <v>4136</v>
      </c>
      <c r="I2687" t="s">
        <v>4137</v>
      </c>
    </row>
    <row r="2688" spans="1:9" x14ac:dyDescent="0.25">
      <c r="A2688" s="1" t="str">
        <f>HYPERLINK("https://lynxcrm-apac--c.eu19.visual.force.com/0011i000001xnjdAAA","Leong, Vicki")</f>
        <v>Leong, Vicki</v>
      </c>
      <c r="B2688" t="s">
        <v>5656</v>
      </c>
      <c r="C2688" t="s">
        <v>28</v>
      </c>
      <c r="D2688" t="s">
        <v>578</v>
      </c>
      <c r="E2688" t="s">
        <v>8</v>
      </c>
      <c r="F2688" t="s">
        <v>5613</v>
      </c>
      <c r="G2688" t="s">
        <v>5614</v>
      </c>
      <c r="H2688" t="s">
        <v>5614</v>
      </c>
      <c r="I2688" t="s">
        <v>3540</v>
      </c>
    </row>
    <row r="2689" spans="1:9" x14ac:dyDescent="0.25">
      <c r="A2689" s="1" t="str">
        <f>HYPERLINK("https://lynxcrm-apac--c.eu19.visual.force.com/0011i000001xoKZAAY","Leong, Wai Hoe")</f>
        <v>Leong, Wai Hoe</v>
      </c>
      <c r="B2689" t="s">
        <v>5657</v>
      </c>
      <c r="C2689" t="s">
        <v>28</v>
      </c>
      <c r="D2689" t="s">
        <v>5658</v>
      </c>
      <c r="E2689" t="s">
        <v>8</v>
      </c>
      <c r="F2689" t="s">
        <v>5659</v>
      </c>
      <c r="G2689" t="s">
        <v>5660</v>
      </c>
      <c r="H2689" t="s">
        <v>5661</v>
      </c>
      <c r="I2689" t="s">
        <v>5662</v>
      </c>
    </row>
    <row r="2690" spans="1:9" x14ac:dyDescent="0.25">
      <c r="A2690" s="1" t="str">
        <f>HYPERLINK("https://lynxcrm-apac--c.eu19.visual.force.com/0011i000001xoPRAAY","Leong, Wai Hoe Justin")</f>
        <v>Leong, Wai Hoe Justin</v>
      </c>
      <c r="B2690" t="s">
        <v>5663</v>
      </c>
      <c r="C2690" t="s">
        <v>28</v>
      </c>
      <c r="D2690" t="s">
        <v>5664</v>
      </c>
      <c r="E2690" t="s">
        <v>8</v>
      </c>
      <c r="F2690" t="s">
        <v>2474</v>
      </c>
      <c r="G2690" t="s">
        <v>2475</v>
      </c>
      <c r="H2690" t="s">
        <v>8</v>
      </c>
      <c r="I2690" t="s">
        <v>2142</v>
      </c>
    </row>
    <row r="2691" spans="1:9" x14ac:dyDescent="0.25">
      <c r="A2691" s="1" t="str">
        <f>HYPERLINK("https://lynxcrm-apac--c.eu19.visual.force.com/0011i00000pb5MGAAY","Leong, Wai Siang")</f>
        <v>Leong, Wai Siang</v>
      </c>
      <c r="B2691" t="s">
        <v>5665</v>
      </c>
      <c r="C2691" t="s">
        <v>28</v>
      </c>
      <c r="D2691" t="s">
        <v>545</v>
      </c>
      <c r="E2691" t="s">
        <v>8</v>
      </c>
      <c r="F2691" t="s">
        <v>546</v>
      </c>
      <c r="G2691" t="s">
        <v>547</v>
      </c>
      <c r="H2691" t="s">
        <v>547</v>
      </c>
      <c r="I2691" t="s">
        <v>548</v>
      </c>
    </row>
    <row r="2692" spans="1:9" x14ac:dyDescent="0.25">
      <c r="A2692" s="1" t="str">
        <f>HYPERLINK("https://lynxcrm-apac--c.eu19.visual.force.com/0011i000001xoBOAAY","Leong, Yi Onn Ian")</f>
        <v>Leong, Yi Onn Ian</v>
      </c>
      <c r="B2692" t="s">
        <v>5666</v>
      </c>
      <c r="C2692" t="s">
        <v>28</v>
      </c>
      <c r="D2692" t="s">
        <v>261</v>
      </c>
      <c r="E2692" t="s">
        <v>8</v>
      </c>
      <c r="F2692" t="s">
        <v>248</v>
      </c>
      <c r="G2692" t="s">
        <v>258</v>
      </c>
      <c r="H2692" t="s">
        <v>259</v>
      </c>
      <c r="I2692" t="s">
        <v>260</v>
      </c>
    </row>
    <row r="2693" spans="1:9" x14ac:dyDescent="0.25">
      <c r="A2693" s="1" t="str">
        <f>HYPERLINK("https://lynxcrm-apac--c.eu19.visual.force.com/0011i000001xnaJAAQ","Leong Clinic")</f>
        <v>Leong Clinic</v>
      </c>
      <c r="B2693" t="s">
        <v>5667</v>
      </c>
      <c r="C2693" t="s">
        <v>10</v>
      </c>
      <c r="D2693" t="s">
        <v>8</v>
      </c>
      <c r="E2693" t="s">
        <v>8</v>
      </c>
      <c r="F2693" t="s">
        <v>5668</v>
      </c>
      <c r="G2693" t="s">
        <v>5669</v>
      </c>
      <c r="H2693" t="s">
        <v>5670</v>
      </c>
      <c r="I2693" t="s">
        <v>5671</v>
      </c>
    </row>
    <row r="2694" spans="1:9" x14ac:dyDescent="0.25">
      <c r="A2694" s="1" t="str">
        <f>HYPERLINK("https://lynxcrm-apac--c.eu19.visual.force.com/0011i000001xmvzAAA","Leong Clinic")</f>
        <v>Leong Clinic</v>
      </c>
      <c r="B2694" t="s">
        <v>5672</v>
      </c>
      <c r="C2694" t="s">
        <v>10</v>
      </c>
      <c r="D2694" t="s">
        <v>8</v>
      </c>
      <c r="E2694" t="s">
        <v>8</v>
      </c>
      <c r="F2694" t="s">
        <v>5668</v>
      </c>
      <c r="G2694" t="s">
        <v>5669</v>
      </c>
      <c r="H2694" t="s">
        <v>5670</v>
      </c>
      <c r="I2694" t="s">
        <v>5671</v>
      </c>
    </row>
    <row r="2695" spans="1:9" x14ac:dyDescent="0.25">
      <c r="A2695" s="1" t="str">
        <f>HYPERLINK("https://lynxcrm-apac--c.eu19.visual.force.com/0011i000001xmhkAAA","Leong Keng Hong Arthritis &amp; Medical Clinic")</f>
        <v>Leong Keng Hong Arthritis &amp; Medical Clinic</v>
      </c>
      <c r="B2695" t="s">
        <v>5673</v>
      </c>
      <c r="C2695" t="s">
        <v>10</v>
      </c>
      <c r="D2695" t="s">
        <v>8</v>
      </c>
      <c r="E2695" t="s">
        <v>8</v>
      </c>
      <c r="F2695" t="s">
        <v>69</v>
      </c>
      <c r="G2695" t="s">
        <v>5674</v>
      </c>
      <c r="H2695" t="s">
        <v>5675</v>
      </c>
      <c r="I2695" t="s">
        <v>67</v>
      </c>
    </row>
    <row r="2696" spans="1:9" x14ac:dyDescent="0.25">
      <c r="A2696" s="1" t="str">
        <f>HYPERLINK("https://lynxcrm-apac--c.eu19.visual.force.com/0011i000001xo1YAAQ","Leow, Boon Teck")</f>
        <v>Leow, Boon Teck</v>
      </c>
      <c r="B2696" t="s">
        <v>5676</v>
      </c>
      <c r="C2696" t="s">
        <v>28</v>
      </c>
      <c r="D2696" t="s">
        <v>335</v>
      </c>
      <c r="E2696" t="s">
        <v>8</v>
      </c>
      <c r="F2696" t="s">
        <v>336</v>
      </c>
      <c r="G2696" t="s">
        <v>337</v>
      </c>
      <c r="H2696" t="s">
        <v>337</v>
      </c>
      <c r="I2696" t="s">
        <v>338</v>
      </c>
    </row>
    <row r="2697" spans="1:9" x14ac:dyDescent="0.25">
      <c r="A2697" s="1" t="str">
        <f>HYPERLINK("https://lynxcrm-apac--c.eu19.visual.force.com/0011i000001xo1YAAQ","Leow, Boon Teck")</f>
        <v>Leow, Boon Teck</v>
      </c>
      <c r="B2697" t="s">
        <v>5676</v>
      </c>
      <c r="C2697" t="s">
        <v>28</v>
      </c>
      <c r="D2697" t="s">
        <v>335</v>
      </c>
      <c r="E2697" t="s">
        <v>8</v>
      </c>
      <c r="F2697" t="s">
        <v>339</v>
      </c>
      <c r="G2697" t="s">
        <v>337</v>
      </c>
      <c r="H2697" t="s">
        <v>340</v>
      </c>
      <c r="I2697" t="s">
        <v>338</v>
      </c>
    </row>
    <row r="2698" spans="1:9" x14ac:dyDescent="0.25">
      <c r="A2698" s="1" t="str">
        <f>HYPERLINK("https://lynxcrm-apac--c.eu19.visual.force.com/0011i00000S3HHQAA3","Leow, Boon Teck")</f>
        <v>Leow, Boon Teck</v>
      </c>
      <c r="B2698" t="s">
        <v>5677</v>
      </c>
      <c r="C2698" t="s">
        <v>28</v>
      </c>
      <c r="D2698" t="s">
        <v>147</v>
      </c>
      <c r="E2698" t="s">
        <v>8</v>
      </c>
      <c r="F2698" t="s">
        <v>147</v>
      </c>
      <c r="G2698" t="s">
        <v>148</v>
      </c>
      <c r="H2698" t="s">
        <v>148</v>
      </c>
      <c r="I2698" t="s">
        <v>149</v>
      </c>
    </row>
    <row r="2699" spans="1:9" x14ac:dyDescent="0.25">
      <c r="A2699" s="1" t="str">
        <f>HYPERLINK("https://lynxcrm-apac--c.eu19.visual.force.com/0011i000007F2pmAAC","Leow, Chee yong")</f>
        <v>Leow, Chee yong</v>
      </c>
      <c r="B2699" t="s">
        <v>5678</v>
      </c>
      <c r="C2699" t="s">
        <v>28</v>
      </c>
      <c r="D2699" t="s">
        <v>8</v>
      </c>
      <c r="E2699" t="s">
        <v>8</v>
      </c>
      <c r="F2699" t="s">
        <v>1225</v>
      </c>
      <c r="G2699" t="s">
        <v>1225</v>
      </c>
      <c r="H2699" t="s">
        <v>1226</v>
      </c>
      <c r="I2699" t="s">
        <v>55</v>
      </c>
    </row>
    <row r="2700" spans="1:9" x14ac:dyDescent="0.25">
      <c r="A2700" s="1" t="str">
        <f>HYPERLINK("https://lynxcrm-apac--c.eu19.visual.force.com/0011i000007F2pmAAC","Leow, Chee yong")</f>
        <v>Leow, Chee yong</v>
      </c>
      <c r="B2700" t="s">
        <v>5678</v>
      </c>
      <c r="C2700" t="s">
        <v>28</v>
      </c>
      <c r="D2700" t="s">
        <v>54</v>
      </c>
      <c r="E2700" t="s">
        <v>8</v>
      </c>
      <c r="F2700" t="s">
        <v>1225</v>
      </c>
      <c r="G2700" t="s">
        <v>1225</v>
      </c>
      <c r="H2700" t="s">
        <v>1226</v>
      </c>
      <c r="I2700" t="s">
        <v>55</v>
      </c>
    </row>
    <row r="2701" spans="1:9" x14ac:dyDescent="0.25">
      <c r="A2701" s="1" t="str">
        <f>HYPERLINK("https://lynxcrm-apac--c.eu19.visual.force.com/0011i000001xoS7AAI","Leow, Cheng Gek")</f>
        <v>Leow, Cheng Gek</v>
      </c>
      <c r="B2701" t="s">
        <v>5679</v>
      </c>
      <c r="C2701" t="s">
        <v>28</v>
      </c>
      <c r="D2701" t="s">
        <v>5680</v>
      </c>
      <c r="E2701" t="s">
        <v>8</v>
      </c>
      <c r="F2701" t="s">
        <v>4534</v>
      </c>
      <c r="G2701" t="s">
        <v>4535</v>
      </c>
      <c r="H2701" t="s">
        <v>4536</v>
      </c>
      <c r="I2701" t="s">
        <v>4537</v>
      </c>
    </row>
    <row r="2702" spans="1:9" x14ac:dyDescent="0.25">
      <c r="A2702" s="1" t="str">
        <f>HYPERLINK("https://lynxcrm-apac--c.eu19.visual.force.com/0011i000001xoNRAAY","Leow, Kee Fong")</f>
        <v>Leow, Kee Fong</v>
      </c>
      <c r="B2702" t="s">
        <v>5681</v>
      </c>
      <c r="C2702" t="s">
        <v>28</v>
      </c>
      <c r="D2702" t="s">
        <v>392</v>
      </c>
      <c r="E2702" t="s">
        <v>8</v>
      </c>
      <c r="F2702" t="s">
        <v>393</v>
      </c>
      <c r="G2702" t="s">
        <v>394</v>
      </c>
      <c r="H2702" t="s">
        <v>395</v>
      </c>
      <c r="I2702" t="s">
        <v>396</v>
      </c>
    </row>
    <row r="2703" spans="1:9" x14ac:dyDescent="0.25">
      <c r="A2703" s="1" t="str">
        <f>HYPERLINK("https://lynxcrm-apac--c.eu19.visual.force.com/0011i000001xoNRAAY","Leow, Kee Fong")</f>
        <v>Leow, Kee Fong</v>
      </c>
      <c r="B2703" t="s">
        <v>5681</v>
      </c>
      <c r="C2703" t="s">
        <v>28</v>
      </c>
      <c r="D2703" t="s">
        <v>701</v>
      </c>
      <c r="E2703" t="s">
        <v>8</v>
      </c>
      <c r="F2703" t="s">
        <v>1123</v>
      </c>
      <c r="G2703" t="s">
        <v>1123</v>
      </c>
      <c r="H2703" t="s">
        <v>8</v>
      </c>
      <c r="I2703" t="s">
        <v>703</v>
      </c>
    </row>
    <row r="2704" spans="1:9" x14ac:dyDescent="0.25">
      <c r="A2704" s="1" t="str">
        <f t="shared" ref="A2704:A2710" si="20">HYPERLINK("https://lynxcrm-apac--c.eu19.visual.force.com/0011i000001xoh3AAA","Leow, Khang Leng")</f>
        <v>Leow, Khang Leng</v>
      </c>
      <c r="B2704" t="s">
        <v>5682</v>
      </c>
      <c r="C2704" t="s">
        <v>28</v>
      </c>
      <c r="D2704" t="s">
        <v>501</v>
      </c>
      <c r="E2704" t="s">
        <v>8</v>
      </c>
      <c r="F2704" t="s">
        <v>501</v>
      </c>
      <c r="G2704" t="s">
        <v>502</v>
      </c>
      <c r="H2704" t="s">
        <v>502</v>
      </c>
      <c r="I2704" t="s">
        <v>506</v>
      </c>
    </row>
    <row r="2705" spans="1:9" x14ac:dyDescent="0.25">
      <c r="A2705" s="1" t="str">
        <f t="shared" si="20"/>
        <v>Leow, Khang Leng</v>
      </c>
      <c r="B2705" t="s">
        <v>5682</v>
      </c>
      <c r="C2705" t="s">
        <v>28</v>
      </c>
      <c r="D2705" t="s">
        <v>4830</v>
      </c>
      <c r="E2705" t="s">
        <v>8</v>
      </c>
      <c r="F2705" t="s">
        <v>5683</v>
      </c>
      <c r="G2705" t="s">
        <v>5684</v>
      </c>
      <c r="H2705" t="s">
        <v>5684</v>
      </c>
      <c r="I2705" t="s">
        <v>344</v>
      </c>
    </row>
    <row r="2706" spans="1:9" x14ac:dyDescent="0.25">
      <c r="A2706" s="1" t="str">
        <f t="shared" si="20"/>
        <v>Leow, Khang Leng</v>
      </c>
      <c r="B2706" t="s">
        <v>5682</v>
      </c>
      <c r="C2706" t="s">
        <v>28</v>
      </c>
      <c r="D2706" t="s">
        <v>501</v>
      </c>
      <c r="E2706" t="s">
        <v>8</v>
      </c>
      <c r="F2706" t="s">
        <v>502</v>
      </c>
      <c r="G2706" t="s">
        <v>502</v>
      </c>
      <c r="H2706" t="s">
        <v>503</v>
      </c>
      <c r="I2706" t="s">
        <v>504</v>
      </c>
    </row>
    <row r="2707" spans="1:9" x14ac:dyDescent="0.25">
      <c r="A2707" s="1" t="str">
        <f t="shared" si="20"/>
        <v>Leow, Khang Leng</v>
      </c>
      <c r="B2707" t="s">
        <v>5682</v>
      </c>
      <c r="C2707" t="s">
        <v>28</v>
      </c>
      <c r="D2707" t="s">
        <v>501</v>
      </c>
      <c r="E2707" t="s">
        <v>8</v>
      </c>
      <c r="F2707" t="s">
        <v>246</v>
      </c>
      <c r="G2707" t="s">
        <v>502</v>
      </c>
      <c r="H2707" t="s">
        <v>503</v>
      </c>
      <c r="I2707" t="s">
        <v>504</v>
      </c>
    </row>
    <row r="2708" spans="1:9" x14ac:dyDescent="0.25">
      <c r="A2708" s="1" t="str">
        <f t="shared" si="20"/>
        <v>Leow, Khang Leng</v>
      </c>
      <c r="B2708" t="s">
        <v>5682</v>
      </c>
      <c r="C2708" t="s">
        <v>28</v>
      </c>
      <c r="D2708" t="s">
        <v>501</v>
      </c>
      <c r="E2708" t="s">
        <v>8</v>
      </c>
      <c r="F2708" t="s">
        <v>246</v>
      </c>
      <c r="G2708" t="s">
        <v>502</v>
      </c>
      <c r="H2708" t="s">
        <v>503</v>
      </c>
      <c r="I2708" t="s">
        <v>505</v>
      </c>
    </row>
    <row r="2709" spans="1:9" x14ac:dyDescent="0.25">
      <c r="A2709" s="1" t="str">
        <f t="shared" si="20"/>
        <v>Leow, Khang Leng</v>
      </c>
      <c r="B2709" t="s">
        <v>5682</v>
      </c>
      <c r="C2709" t="s">
        <v>28</v>
      </c>
      <c r="D2709" t="s">
        <v>501</v>
      </c>
      <c r="E2709" t="s">
        <v>8</v>
      </c>
      <c r="F2709" t="s">
        <v>234</v>
      </c>
      <c r="G2709" t="s">
        <v>502</v>
      </c>
      <c r="H2709" t="s">
        <v>503</v>
      </c>
      <c r="I2709" t="s">
        <v>504</v>
      </c>
    </row>
    <row r="2710" spans="1:9" x14ac:dyDescent="0.25">
      <c r="A2710" s="1" t="str">
        <f t="shared" si="20"/>
        <v>Leow, Khang Leng</v>
      </c>
      <c r="B2710" t="s">
        <v>5682</v>
      </c>
      <c r="C2710" t="s">
        <v>28</v>
      </c>
      <c r="D2710" t="s">
        <v>501</v>
      </c>
      <c r="E2710" t="s">
        <v>8</v>
      </c>
      <c r="F2710" t="s">
        <v>359</v>
      </c>
      <c r="G2710" t="s">
        <v>502</v>
      </c>
      <c r="H2710" t="s">
        <v>503</v>
      </c>
      <c r="I2710" t="s">
        <v>506</v>
      </c>
    </row>
    <row r="2711" spans="1:9" x14ac:dyDescent="0.25">
      <c r="A2711" s="1" t="str">
        <f>HYPERLINK("https://lynxcrm-apac--c.eu19.visual.force.com/0011i00000FHy0nAAD","Leow, Khang Leng")</f>
        <v>Leow, Khang Leng</v>
      </c>
      <c r="B2711" t="s">
        <v>5685</v>
      </c>
      <c r="C2711" t="s">
        <v>28</v>
      </c>
      <c r="D2711" t="s">
        <v>4830</v>
      </c>
      <c r="E2711" t="s">
        <v>8</v>
      </c>
      <c r="F2711" t="s">
        <v>5683</v>
      </c>
      <c r="G2711" t="s">
        <v>5684</v>
      </c>
      <c r="H2711" t="s">
        <v>5684</v>
      </c>
      <c r="I2711" t="s">
        <v>344</v>
      </c>
    </row>
    <row r="2712" spans="1:9" x14ac:dyDescent="0.25">
      <c r="A2712" s="1" t="str">
        <f>HYPERLINK("https://lynxcrm-apac--c.eu19.visual.force.com/0011i000001xnfVAAQ","Ler, Gee Bueh")</f>
        <v>Ler, Gee Bueh</v>
      </c>
      <c r="B2712" t="s">
        <v>5686</v>
      </c>
      <c r="C2712" t="s">
        <v>28</v>
      </c>
      <c r="D2712" t="s">
        <v>5687</v>
      </c>
      <c r="E2712" t="s">
        <v>8</v>
      </c>
      <c r="F2712" t="s">
        <v>5688</v>
      </c>
      <c r="G2712" t="s">
        <v>1642</v>
      </c>
      <c r="H2712" t="s">
        <v>1642</v>
      </c>
      <c r="I2712" t="s">
        <v>5689</v>
      </c>
    </row>
    <row r="2713" spans="1:9" x14ac:dyDescent="0.25">
      <c r="A2713" s="1" t="str">
        <f>HYPERLINK("https://lynxcrm-apac--c.eu19.visual.force.com/0011i000006WarsAAC","Leslie Tay")</f>
        <v>Leslie Tay</v>
      </c>
      <c r="B2713" t="s">
        <v>5690</v>
      </c>
      <c r="C2713" t="s">
        <v>10</v>
      </c>
      <c r="D2713" t="s">
        <v>8</v>
      </c>
      <c r="E2713" t="s">
        <v>8</v>
      </c>
      <c r="F2713" t="s">
        <v>5691</v>
      </c>
      <c r="G2713" t="s">
        <v>2021</v>
      </c>
      <c r="H2713" t="s">
        <v>8</v>
      </c>
      <c r="I2713" t="s">
        <v>344</v>
      </c>
    </row>
    <row r="2714" spans="1:9" x14ac:dyDescent="0.25">
      <c r="A2714" s="1" t="str">
        <f>HYPERLINK("https://lynxcrm-apac--c.eu19.visual.force.com/0011i000006WatAAAS","Leslie Tay Heart Specialist")</f>
        <v>Leslie Tay Heart Specialist</v>
      </c>
      <c r="B2714" t="s">
        <v>5692</v>
      </c>
      <c r="C2714" t="s">
        <v>10</v>
      </c>
      <c r="D2714" t="s">
        <v>8</v>
      </c>
      <c r="E2714" t="s">
        <v>8</v>
      </c>
      <c r="F2714" t="s">
        <v>5691</v>
      </c>
      <c r="G2714" t="s">
        <v>2021</v>
      </c>
      <c r="H2714" t="s">
        <v>8</v>
      </c>
      <c r="I2714" t="s">
        <v>344</v>
      </c>
    </row>
    <row r="2715" spans="1:9" x14ac:dyDescent="0.25">
      <c r="A2715" s="1" t="str">
        <f>HYPERLINK("https://lynxcrm-apac--c.eu19.visual.force.com/0011i000001xngkAAA","Leung, Victoria")</f>
        <v>Leung, Victoria</v>
      </c>
      <c r="B2715" t="s">
        <v>5693</v>
      </c>
      <c r="C2715" t="s">
        <v>28</v>
      </c>
      <c r="D2715" t="s">
        <v>1661</v>
      </c>
      <c r="E2715" t="s">
        <v>8</v>
      </c>
      <c r="F2715" t="s">
        <v>627</v>
      </c>
      <c r="G2715" t="s">
        <v>628</v>
      </c>
      <c r="H2715" t="s">
        <v>628</v>
      </c>
      <c r="I2715" t="s">
        <v>624</v>
      </c>
    </row>
    <row r="2716" spans="1:9" x14ac:dyDescent="0.25">
      <c r="A2716" s="1" t="str">
        <f>HYPERLINK("https://lynxcrm-apac--c.eu19.visual.force.com/0011i000001xo3pAAA","Leung, Yuet Sing Lewina")</f>
        <v>Leung, Yuet Sing Lewina</v>
      </c>
      <c r="B2716" t="s">
        <v>5694</v>
      </c>
      <c r="C2716" t="s">
        <v>28</v>
      </c>
      <c r="D2716" t="s">
        <v>516</v>
      </c>
      <c r="E2716" t="s">
        <v>8</v>
      </c>
      <c r="F2716" t="s">
        <v>3046</v>
      </c>
      <c r="G2716" t="s">
        <v>3046</v>
      </c>
      <c r="H2716" t="s">
        <v>3047</v>
      </c>
      <c r="I2716" t="s">
        <v>518</v>
      </c>
    </row>
    <row r="2717" spans="1:9" x14ac:dyDescent="0.25">
      <c r="A2717" s="1" t="str">
        <f>HYPERLINK("https://lynxcrm-apac--c.eu19.visual.force.com/0011i000001xo3pAAA","Leung, Yuet Sing Lewina")</f>
        <v>Leung, Yuet Sing Lewina</v>
      </c>
      <c r="B2717" t="s">
        <v>5694</v>
      </c>
      <c r="C2717" t="s">
        <v>28</v>
      </c>
      <c r="D2717" t="s">
        <v>516</v>
      </c>
      <c r="E2717" t="s">
        <v>8</v>
      </c>
      <c r="F2717" t="s">
        <v>517</v>
      </c>
      <c r="G2717" t="s">
        <v>517</v>
      </c>
      <c r="H2717" t="s">
        <v>8</v>
      </c>
      <c r="I2717" t="s">
        <v>518</v>
      </c>
    </row>
    <row r="2718" spans="1:9" x14ac:dyDescent="0.25">
      <c r="A2718" s="1" t="str">
        <f>HYPERLINK("https://lynxcrm-apac--c.eu19.visual.force.com/0011i000001xokPAAQ","Lew, Jasmine")</f>
        <v>Lew, Jasmine</v>
      </c>
      <c r="B2718" t="s">
        <v>5695</v>
      </c>
      <c r="C2718" t="s">
        <v>28</v>
      </c>
      <c r="D2718" t="s">
        <v>1698</v>
      </c>
      <c r="E2718" t="s">
        <v>8</v>
      </c>
      <c r="F2718" t="s">
        <v>2273</v>
      </c>
      <c r="G2718" t="s">
        <v>2273</v>
      </c>
      <c r="H2718" t="s">
        <v>8</v>
      </c>
      <c r="I2718" t="s">
        <v>8</v>
      </c>
    </row>
    <row r="2719" spans="1:9" x14ac:dyDescent="0.25">
      <c r="A2719" s="1" t="str">
        <f>HYPERLINK("https://lynxcrm-apac--c.eu19.visual.force.com/0011i000001xocLAAQ","Li, Caixin")</f>
        <v>Li, Caixin</v>
      </c>
      <c r="B2719" t="s">
        <v>5696</v>
      </c>
      <c r="C2719" t="s">
        <v>28</v>
      </c>
      <c r="D2719" t="s">
        <v>392</v>
      </c>
      <c r="E2719" t="s">
        <v>8</v>
      </c>
      <c r="F2719" t="s">
        <v>393</v>
      </c>
      <c r="G2719" t="s">
        <v>393</v>
      </c>
      <c r="H2719" t="s">
        <v>8</v>
      </c>
      <c r="I2719" t="s">
        <v>396</v>
      </c>
    </row>
    <row r="2720" spans="1:9" x14ac:dyDescent="0.25">
      <c r="A2720" s="1" t="str">
        <f>HYPERLINK("https://lynxcrm-apac--c.eu19.visual.force.com/0011i000007DbWIAA0","Li, Choong Siew")</f>
        <v>Li, Choong Siew</v>
      </c>
      <c r="B2720" t="s">
        <v>5697</v>
      </c>
      <c r="C2720" t="s">
        <v>28</v>
      </c>
      <c r="D2720" t="s">
        <v>1462</v>
      </c>
      <c r="E2720" t="s">
        <v>8</v>
      </c>
      <c r="F2720" t="s">
        <v>1463</v>
      </c>
      <c r="G2720" t="s">
        <v>1464</v>
      </c>
      <c r="H2720" t="s">
        <v>8</v>
      </c>
      <c r="I2720" t="s">
        <v>1465</v>
      </c>
    </row>
    <row r="2721" spans="1:9" x14ac:dyDescent="0.25">
      <c r="A2721" s="1" t="str">
        <f>HYPERLINK("https://lynxcrm-apac--c.eu19.visual.force.com/0011i000001xnjeAAA","Li, Ki Fung Cliff")</f>
        <v>Li, Ki Fung Cliff</v>
      </c>
      <c r="B2721" t="s">
        <v>5698</v>
      </c>
      <c r="C2721" t="s">
        <v>28</v>
      </c>
      <c r="D2721" t="s">
        <v>261</v>
      </c>
      <c r="E2721" t="s">
        <v>8</v>
      </c>
      <c r="F2721" t="s">
        <v>261</v>
      </c>
      <c r="G2721" t="s">
        <v>347</v>
      </c>
      <c r="H2721" t="s">
        <v>347</v>
      </c>
      <c r="I2721" t="s">
        <v>260</v>
      </c>
    </row>
    <row r="2722" spans="1:9" x14ac:dyDescent="0.25">
      <c r="A2722" s="1" t="str">
        <f>HYPERLINK("https://lynxcrm-apac--c.eu19.visual.force.com/0011i000001xoIEAAY","Li, Yung Hua")</f>
        <v>Li, Yung Hua</v>
      </c>
      <c r="B2722" t="s">
        <v>5699</v>
      </c>
      <c r="C2722" t="s">
        <v>28</v>
      </c>
      <c r="D2722" t="s">
        <v>5465</v>
      </c>
      <c r="E2722" t="s">
        <v>8</v>
      </c>
      <c r="F2722" t="s">
        <v>377</v>
      </c>
      <c r="G2722" t="s">
        <v>5466</v>
      </c>
      <c r="H2722" t="s">
        <v>5467</v>
      </c>
      <c r="I2722" t="s">
        <v>123</v>
      </c>
    </row>
    <row r="2723" spans="1:9" x14ac:dyDescent="0.25">
      <c r="A2723" s="1" t="str">
        <f>HYPERLINK("https://lynxcrm-apac--c.eu19.visual.force.com/0011i000007DNLoAAO","Liam, Petrina Sin Qi")</f>
        <v>Liam, Petrina Sin Qi</v>
      </c>
      <c r="B2723" t="s">
        <v>5700</v>
      </c>
      <c r="C2723" t="s">
        <v>28</v>
      </c>
      <c r="D2723" t="s">
        <v>709</v>
      </c>
      <c r="E2723" t="s">
        <v>8</v>
      </c>
      <c r="F2723" t="s">
        <v>710</v>
      </c>
      <c r="G2723" t="s">
        <v>135</v>
      </c>
      <c r="H2723" t="s">
        <v>135</v>
      </c>
      <c r="I2723" t="s">
        <v>711</v>
      </c>
    </row>
    <row r="2724" spans="1:9" x14ac:dyDescent="0.25">
      <c r="A2724" s="1" t="str">
        <f>HYPERLINK("https://lynxcrm-apac--c.eu19.visual.force.com/0011i000001xnj0AAA","Lian, Ho Peng")</f>
        <v>Lian, Ho Peng</v>
      </c>
      <c r="B2724" t="s">
        <v>5701</v>
      </c>
      <c r="C2724" t="s">
        <v>28</v>
      </c>
      <c r="D2724" t="s">
        <v>5702</v>
      </c>
      <c r="E2724" t="s">
        <v>8</v>
      </c>
      <c r="F2724" t="s">
        <v>5703</v>
      </c>
      <c r="G2724" t="s">
        <v>313</v>
      </c>
      <c r="H2724" t="s">
        <v>313</v>
      </c>
      <c r="I2724" t="s">
        <v>5704</v>
      </c>
    </row>
    <row r="2725" spans="1:9" x14ac:dyDescent="0.25">
      <c r="A2725" s="1" t="str">
        <f>HYPERLINK("https://lynxcrm-apac--c.eu19.visual.force.com/0011i000001xnjFAAQ","Liang, Hsueh Lin")</f>
        <v>Liang, Hsueh Lin</v>
      </c>
      <c r="B2725" t="s">
        <v>5705</v>
      </c>
      <c r="C2725" t="s">
        <v>28</v>
      </c>
      <c r="D2725" t="s">
        <v>1543</v>
      </c>
      <c r="E2725" t="s">
        <v>8</v>
      </c>
      <c r="F2725" t="s">
        <v>1544</v>
      </c>
      <c r="G2725" t="s">
        <v>1544</v>
      </c>
      <c r="H2725" t="s">
        <v>5706</v>
      </c>
      <c r="I2725" t="s">
        <v>1545</v>
      </c>
    </row>
    <row r="2726" spans="1:9" x14ac:dyDescent="0.25">
      <c r="A2726" s="1" t="str">
        <f>HYPERLINK("https://lynxcrm-apac--c.eu19.visual.force.com/0011i000001xoBPAAY","Liang, Hsueh Ying Joyce")</f>
        <v>Liang, Hsueh Ying Joyce</v>
      </c>
      <c r="B2726" t="s">
        <v>5707</v>
      </c>
      <c r="C2726" t="s">
        <v>28</v>
      </c>
      <c r="D2726" t="s">
        <v>5708</v>
      </c>
      <c r="E2726" t="s">
        <v>8</v>
      </c>
      <c r="F2726" t="s">
        <v>642</v>
      </c>
      <c r="G2726" t="s">
        <v>643</v>
      </c>
      <c r="H2726" t="s">
        <v>644</v>
      </c>
      <c r="I2726" t="s">
        <v>645</v>
      </c>
    </row>
    <row r="2727" spans="1:9" x14ac:dyDescent="0.25">
      <c r="A2727" s="1" t="str">
        <f>HYPERLINK("https://lynxcrm-apac--c.eu19.visual.force.com/0011i00000NSm2eAAD","Liang Clinic")</f>
        <v>Liang Clinic</v>
      </c>
      <c r="B2727" t="s">
        <v>5709</v>
      </c>
      <c r="C2727" t="s">
        <v>10</v>
      </c>
      <c r="D2727" t="s">
        <v>8</v>
      </c>
      <c r="E2727" t="s">
        <v>8</v>
      </c>
      <c r="F2727" t="s">
        <v>5710</v>
      </c>
      <c r="G2727" t="s">
        <v>5711</v>
      </c>
      <c r="H2727" t="s">
        <v>8</v>
      </c>
      <c r="I2727" t="s">
        <v>5712</v>
      </c>
    </row>
    <row r="2728" spans="1:9" x14ac:dyDescent="0.25">
      <c r="A2728" s="1" t="str">
        <f>HYPERLINK("https://lynxcrm-apac--c.eu19.visual.force.com/0011i000001xnK3AAI","Liang Clinic")</f>
        <v>Liang Clinic</v>
      </c>
      <c r="B2728" t="s">
        <v>5713</v>
      </c>
      <c r="C2728" t="s">
        <v>10</v>
      </c>
      <c r="D2728" t="s">
        <v>8</v>
      </c>
      <c r="E2728" t="s">
        <v>8</v>
      </c>
      <c r="F2728" t="s">
        <v>1544</v>
      </c>
      <c r="G2728" t="s">
        <v>1544</v>
      </c>
      <c r="H2728" t="s">
        <v>5706</v>
      </c>
      <c r="I2728" t="s">
        <v>1545</v>
      </c>
    </row>
    <row r="2729" spans="1:9" x14ac:dyDescent="0.25">
      <c r="A2729" s="1" t="str">
        <f>HYPERLINK("https://lynxcrm-apac--c.eu19.visual.force.com/0011i000001xnBlAAI","Liang Clinic")</f>
        <v>Liang Clinic</v>
      </c>
      <c r="B2729" t="s">
        <v>5714</v>
      </c>
      <c r="C2729" t="s">
        <v>10</v>
      </c>
      <c r="D2729" t="s">
        <v>8</v>
      </c>
      <c r="E2729" t="s">
        <v>8</v>
      </c>
      <c r="F2729" t="s">
        <v>1544</v>
      </c>
      <c r="G2729" t="s">
        <v>1544</v>
      </c>
      <c r="H2729" t="s">
        <v>5706</v>
      </c>
      <c r="I2729" t="s">
        <v>1545</v>
      </c>
    </row>
    <row r="2730" spans="1:9" x14ac:dyDescent="0.25">
      <c r="A2730" s="1" t="str">
        <f>HYPERLINK("https://lynxcrm-apac--c.eu19.visual.force.com/0011i000001xnhbAAA","Liao, Kian Huat")</f>
        <v>Liao, Kian Huat</v>
      </c>
      <c r="B2730" t="s">
        <v>5715</v>
      </c>
      <c r="C2730" t="s">
        <v>28</v>
      </c>
      <c r="D2730" t="s">
        <v>5716</v>
      </c>
      <c r="E2730" t="s">
        <v>8</v>
      </c>
      <c r="F2730" t="s">
        <v>3450</v>
      </c>
      <c r="G2730" t="s">
        <v>3451</v>
      </c>
      <c r="H2730" t="s">
        <v>3452</v>
      </c>
      <c r="I2730" t="s">
        <v>3453</v>
      </c>
    </row>
    <row r="2731" spans="1:9" x14ac:dyDescent="0.25">
      <c r="A2731" s="1" t="str">
        <f>HYPERLINK("https://lynxcrm-apac--c.eu19.visual.force.com/0011i000001xoVPAAY","Liau, Kah Han")</f>
        <v>Liau, Kah Han</v>
      </c>
      <c r="B2731" t="s">
        <v>5717</v>
      </c>
      <c r="C2731" t="s">
        <v>28</v>
      </c>
      <c r="D2731" t="s">
        <v>5718</v>
      </c>
      <c r="E2731" t="s">
        <v>8</v>
      </c>
      <c r="F2731" t="s">
        <v>407</v>
      </c>
      <c r="G2731" t="s">
        <v>408</v>
      </c>
      <c r="H2731" t="s">
        <v>409</v>
      </c>
      <c r="I2731" t="s">
        <v>410</v>
      </c>
    </row>
    <row r="2732" spans="1:9" x14ac:dyDescent="0.25">
      <c r="A2732" s="1" t="str">
        <f>HYPERLINK("https://lynxcrm-apac--c.eu19.visual.force.com/0011i000001xo2nAAA","Liau, Kui Hin")</f>
        <v>Liau, Kui Hin</v>
      </c>
      <c r="B2732" t="s">
        <v>5719</v>
      </c>
      <c r="C2732" t="s">
        <v>28</v>
      </c>
      <c r="D2732" t="s">
        <v>5720</v>
      </c>
      <c r="E2732" t="s">
        <v>8</v>
      </c>
      <c r="F2732" t="s">
        <v>5721</v>
      </c>
      <c r="G2732" t="s">
        <v>121</v>
      </c>
      <c r="H2732" t="s">
        <v>121</v>
      </c>
      <c r="I2732" t="s">
        <v>123</v>
      </c>
    </row>
    <row r="2733" spans="1:9" x14ac:dyDescent="0.25">
      <c r="A2733" s="1" t="str">
        <f>HYPERLINK("https://lynxcrm-apac--c.eu19.visual.force.com/0011i000001xoeeAAA","Lie, Khong Chin Edmond")</f>
        <v>Lie, Khong Chin Edmond</v>
      </c>
      <c r="B2733" t="s">
        <v>5722</v>
      </c>
      <c r="C2733" t="s">
        <v>28</v>
      </c>
      <c r="D2733" t="s">
        <v>5723</v>
      </c>
      <c r="E2733" t="s">
        <v>8</v>
      </c>
      <c r="F2733" t="s">
        <v>2435</v>
      </c>
      <c r="G2733" t="s">
        <v>2436</v>
      </c>
      <c r="H2733" t="s">
        <v>2437</v>
      </c>
      <c r="I2733" t="s">
        <v>2438</v>
      </c>
    </row>
    <row r="2734" spans="1:9" x14ac:dyDescent="0.25">
      <c r="A2734" s="1" t="str">
        <f>HYPERLINK("https://lynxcrm-apac--c.eu19.visual.force.com/0011i000001xo3VAAQ","Lie, Tjiuw Tjoen Denny")</f>
        <v>Lie, Tjiuw Tjoen Denny</v>
      </c>
      <c r="B2734" t="s">
        <v>5724</v>
      </c>
      <c r="C2734" t="s">
        <v>28</v>
      </c>
      <c r="D2734" t="s">
        <v>251</v>
      </c>
      <c r="E2734" t="s">
        <v>8</v>
      </c>
      <c r="F2734" t="s">
        <v>427</v>
      </c>
      <c r="G2734" t="s">
        <v>252</v>
      </c>
      <c r="H2734" t="s">
        <v>252</v>
      </c>
      <c r="I2734" t="s">
        <v>253</v>
      </c>
    </row>
    <row r="2735" spans="1:9" x14ac:dyDescent="0.25">
      <c r="A2735" s="1" t="str">
        <f>HYPERLINK("https://lynxcrm-apac--c.eu19.visual.force.com/0011i000007FFz2AAG","Liem, Sian Yang Alan")</f>
        <v>Liem, Sian Yang Alan</v>
      </c>
      <c r="B2735" t="s">
        <v>5725</v>
      </c>
      <c r="C2735" t="s">
        <v>28</v>
      </c>
      <c r="D2735" t="s">
        <v>5726</v>
      </c>
      <c r="E2735" t="s">
        <v>8</v>
      </c>
      <c r="F2735" t="s">
        <v>5727</v>
      </c>
      <c r="G2735" t="s">
        <v>402</v>
      </c>
      <c r="H2735" t="s">
        <v>402</v>
      </c>
      <c r="I2735" t="s">
        <v>5728</v>
      </c>
    </row>
    <row r="2736" spans="1:9" x14ac:dyDescent="0.25">
      <c r="A2736" s="1" t="str">
        <f>HYPERLINK("https://lynxcrm-apac--c.eu19.visual.force.com/0011i000002IdAFAA0","Liem, Siau Yang")</f>
        <v>Liem, Siau Yang</v>
      </c>
      <c r="B2736" t="s">
        <v>5729</v>
      </c>
      <c r="C2736" t="s">
        <v>28</v>
      </c>
      <c r="D2736" t="s">
        <v>5726</v>
      </c>
      <c r="E2736" t="s">
        <v>8</v>
      </c>
      <c r="F2736" t="s">
        <v>5727</v>
      </c>
      <c r="G2736" t="s">
        <v>402</v>
      </c>
      <c r="H2736" t="s">
        <v>402</v>
      </c>
      <c r="I2736" t="s">
        <v>5728</v>
      </c>
    </row>
    <row r="2737" spans="1:9" x14ac:dyDescent="0.25">
      <c r="A2737" s="1" t="str">
        <f>HYPERLINK("https://lynxcrm-apac--c.eu19.visual.force.com/0011i000001xnhgAAA","Lien, Lian Sze")</f>
        <v>Lien, Lian Sze</v>
      </c>
      <c r="B2737" t="s">
        <v>5730</v>
      </c>
      <c r="C2737" t="s">
        <v>28</v>
      </c>
      <c r="D2737" t="s">
        <v>5731</v>
      </c>
      <c r="E2737" t="s">
        <v>8</v>
      </c>
      <c r="F2737" t="s">
        <v>377</v>
      </c>
      <c r="G2737" t="s">
        <v>5732</v>
      </c>
      <c r="H2737" t="s">
        <v>5733</v>
      </c>
      <c r="I2737" t="s">
        <v>123</v>
      </c>
    </row>
    <row r="2738" spans="1:9" x14ac:dyDescent="0.25">
      <c r="A2738" s="1" t="str">
        <f>HYPERLINK("https://lynxcrm-apac--c.eu19.visual.force.com/0011i000001xo3WAAQ","Lien, Tsung Chien Christopher")</f>
        <v>Lien, Tsung Chien Christopher</v>
      </c>
      <c r="B2738" t="s">
        <v>5734</v>
      </c>
      <c r="C2738" t="s">
        <v>28</v>
      </c>
      <c r="D2738" t="s">
        <v>583</v>
      </c>
      <c r="E2738" t="s">
        <v>8</v>
      </c>
      <c r="F2738" t="s">
        <v>248</v>
      </c>
      <c r="G2738" t="s">
        <v>584</v>
      </c>
      <c r="H2738" t="s">
        <v>584</v>
      </c>
      <c r="I2738" t="s">
        <v>585</v>
      </c>
    </row>
    <row r="2739" spans="1:9" x14ac:dyDescent="0.25">
      <c r="A2739" s="1" t="str">
        <f>HYPERLINK("https://lynxcrm-apac--c.eu19.visual.force.com/0011i000001xmw3AAA","Lien Clinic for Women")</f>
        <v>Lien Clinic for Women</v>
      </c>
      <c r="B2739" t="s">
        <v>5735</v>
      </c>
      <c r="C2739" t="s">
        <v>10</v>
      </c>
      <c r="D2739" t="s">
        <v>8</v>
      </c>
      <c r="E2739" t="s">
        <v>8</v>
      </c>
      <c r="F2739" t="s">
        <v>377</v>
      </c>
      <c r="G2739" t="s">
        <v>5732</v>
      </c>
      <c r="H2739" t="s">
        <v>5733</v>
      </c>
      <c r="I2739" t="s">
        <v>123</v>
      </c>
    </row>
    <row r="2740" spans="1:9" x14ac:dyDescent="0.25">
      <c r="A2740" s="1" t="str">
        <f>HYPERLINK("https://lynxcrm-apac--c.eu19.visual.force.com/0011i000001xnhkAAA","Liew, Ah Kiong")</f>
        <v>Liew, Ah Kiong</v>
      </c>
      <c r="B2740" t="s">
        <v>5736</v>
      </c>
      <c r="C2740" t="s">
        <v>28</v>
      </c>
      <c r="D2740" t="s">
        <v>5737</v>
      </c>
      <c r="E2740" t="s">
        <v>8</v>
      </c>
      <c r="F2740" t="s">
        <v>5738</v>
      </c>
      <c r="G2740" t="s">
        <v>5075</v>
      </c>
      <c r="H2740" t="s">
        <v>5739</v>
      </c>
      <c r="I2740" t="s">
        <v>5740</v>
      </c>
    </row>
    <row r="2741" spans="1:9" x14ac:dyDescent="0.25">
      <c r="A2741" s="1" t="str">
        <f>HYPERLINK("https://lynxcrm-apac--c.eu19.visual.force.com/0011i000001xoIjAAI","Liew, Alvin")</f>
        <v>Liew, Alvin</v>
      </c>
      <c r="B2741" t="s">
        <v>5741</v>
      </c>
      <c r="C2741" t="s">
        <v>28</v>
      </c>
      <c r="D2741" t="s">
        <v>5742</v>
      </c>
      <c r="E2741" t="s">
        <v>8</v>
      </c>
      <c r="F2741" t="s">
        <v>308</v>
      </c>
      <c r="G2741" t="s">
        <v>309</v>
      </c>
      <c r="H2741" t="s">
        <v>309</v>
      </c>
      <c r="I2741" t="s">
        <v>310</v>
      </c>
    </row>
    <row r="2742" spans="1:9" x14ac:dyDescent="0.25">
      <c r="A2742" s="1" t="str">
        <f>HYPERLINK("https://lynxcrm-apac--c.eu19.visual.force.com/0011i000001xnhoAAA","Liew, Bee Leng")</f>
        <v>Liew, Bee Leng</v>
      </c>
      <c r="B2742" t="s">
        <v>5743</v>
      </c>
      <c r="C2742" t="s">
        <v>28</v>
      </c>
      <c r="D2742" t="s">
        <v>5744</v>
      </c>
      <c r="E2742" t="s">
        <v>8</v>
      </c>
      <c r="F2742" t="s">
        <v>5745</v>
      </c>
      <c r="G2742" t="s">
        <v>5746</v>
      </c>
      <c r="H2742" t="s">
        <v>5747</v>
      </c>
      <c r="I2742" t="s">
        <v>5748</v>
      </c>
    </row>
    <row r="2743" spans="1:9" x14ac:dyDescent="0.25">
      <c r="A2743" s="1" t="str">
        <f>HYPERLINK("https://lynxcrm-apac--c.eu19.visual.force.com/0011i000001xnhqAAA","Liew, Chee Kong Sonny")</f>
        <v>Liew, Chee Kong Sonny</v>
      </c>
      <c r="B2743" t="s">
        <v>5749</v>
      </c>
      <c r="C2743" t="s">
        <v>28</v>
      </c>
      <c r="D2743" t="s">
        <v>5750</v>
      </c>
      <c r="E2743" t="s">
        <v>8</v>
      </c>
      <c r="F2743" t="s">
        <v>5751</v>
      </c>
      <c r="G2743" t="s">
        <v>5752</v>
      </c>
      <c r="H2743" t="s">
        <v>5752</v>
      </c>
      <c r="I2743" t="s">
        <v>5753</v>
      </c>
    </row>
    <row r="2744" spans="1:9" x14ac:dyDescent="0.25">
      <c r="A2744" s="1" t="str">
        <f>HYPERLINK("https://lynxcrm-apac--c.eu19.visual.force.com/0011i000001xoBQAAY","Liew, Cheng")</f>
        <v>Liew, Cheng</v>
      </c>
      <c r="B2744" t="s">
        <v>5754</v>
      </c>
      <c r="C2744" t="s">
        <v>28</v>
      </c>
      <c r="D2744" t="s">
        <v>5755</v>
      </c>
      <c r="E2744" t="s">
        <v>8</v>
      </c>
      <c r="F2744" t="s">
        <v>5756</v>
      </c>
      <c r="G2744" t="s">
        <v>3422</v>
      </c>
      <c r="H2744" t="s">
        <v>3422</v>
      </c>
      <c r="I2744" t="s">
        <v>2133</v>
      </c>
    </row>
    <row r="2745" spans="1:9" x14ac:dyDescent="0.25">
      <c r="A2745" s="1" t="str">
        <f t="shared" ref="A2745:A2757" si="21">HYPERLINK("https://lynxcrm-apac--c.eu19.visual.force.com/0011i000001xnyJAAQ","Liew, Choon Fong Stanley")</f>
        <v>Liew, Choon Fong Stanley</v>
      </c>
      <c r="B2745" t="s">
        <v>5757</v>
      </c>
      <c r="C2745" t="s">
        <v>28</v>
      </c>
      <c r="D2745" t="s">
        <v>164</v>
      </c>
      <c r="E2745" t="s">
        <v>8</v>
      </c>
      <c r="F2745" t="s">
        <v>247</v>
      </c>
      <c r="G2745" t="s">
        <v>163</v>
      </c>
      <c r="H2745" t="s">
        <v>242</v>
      </c>
      <c r="I2745" t="s">
        <v>165</v>
      </c>
    </row>
    <row r="2746" spans="1:9" x14ac:dyDescent="0.25">
      <c r="A2746" s="1" t="str">
        <f t="shared" si="21"/>
        <v>Liew, Choon Fong Stanley</v>
      </c>
      <c r="B2746" t="s">
        <v>5757</v>
      </c>
      <c r="C2746" t="s">
        <v>28</v>
      </c>
      <c r="D2746" t="s">
        <v>164</v>
      </c>
      <c r="E2746" t="s">
        <v>8</v>
      </c>
      <c r="F2746" t="s">
        <v>236</v>
      </c>
      <c r="G2746" t="s">
        <v>237</v>
      </c>
      <c r="H2746" t="s">
        <v>237</v>
      </c>
      <c r="I2746" t="s">
        <v>165</v>
      </c>
    </row>
    <row r="2747" spans="1:9" x14ac:dyDescent="0.25">
      <c r="A2747" s="1" t="str">
        <f t="shared" si="21"/>
        <v>Liew, Choon Fong Stanley</v>
      </c>
      <c r="B2747" t="s">
        <v>5757</v>
      </c>
      <c r="C2747" t="s">
        <v>28</v>
      </c>
      <c r="D2747" t="s">
        <v>164</v>
      </c>
      <c r="E2747" t="s">
        <v>8</v>
      </c>
      <c r="F2747" t="s">
        <v>238</v>
      </c>
      <c r="G2747" t="s">
        <v>163</v>
      </c>
      <c r="H2747" t="s">
        <v>163</v>
      </c>
      <c r="I2747" t="s">
        <v>165</v>
      </c>
    </row>
    <row r="2748" spans="1:9" x14ac:dyDescent="0.25">
      <c r="A2748" s="1" t="str">
        <f t="shared" si="21"/>
        <v>Liew, Choon Fong Stanley</v>
      </c>
      <c r="B2748" t="s">
        <v>5757</v>
      </c>
      <c r="C2748" t="s">
        <v>28</v>
      </c>
      <c r="D2748" t="s">
        <v>164</v>
      </c>
      <c r="E2748" t="s">
        <v>8</v>
      </c>
      <c r="F2748" t="s">
        <v>239</v>
      </c>
      <c r="G2748" t="s">
        <v>163</v>
      </c>
      <c r="H2748" t="s">
        <v>163</v>
      </c>
      <c r="I2748" t="s">
        <v>165</v>
      </c>
    </row>
    <row r="2749" spans="1:9" x14ac:dyDescent="0.25">
      <c r="A2749" s="1" t="str">
        <f t="shared" si="21"/>
        <v>Liew, Choon Fong Stanley</v>
      </c>
      <c r="B2749" t="s">
        <v>5757</v>
      </c>
      <c r="C2749" t="s">
        <v>28</v>
      </c>
      <c r="D2749" t="s">
        <v>164</v>
      </c>
      <c r="E2749" t="s">
        <v>8</v>
      </c>
      <c r="F2749" t="s">
        <v>240</v>
      </c>
      <c r="G2749" t="s">
        <v>163</v>
      </c>
      <c r="H2749" t="s">
        <v>163</v>
      </c>
      <c r="I2749" t="s">
        <v>165</v>
      </c>
    </row>
    <row r="2750" spans="1:9" x14ac:dyDescent="0.25">
      <c r="A2750" s="1" t="str">
        <f t="shared" si="21"/>
        <v>Liew, Choon Fong Stanley</v>
      </c>
      <c r="B2750" t="s">
        <v>5757</v>
      </c>
      <c r="C2750" t="s">
        <v>28</v>
      </c>
      <c r="D2750" t="s">
        <v>164</v>
      </c>
      <c r="E2750" t="s">
        <v>8</v>
      </c>
      <c r="F2750" t="s">
        <v>234</v>
      </c>
      <c r="G2750" t="s">
        <v>163</v>
      </c>
      <c r="H2750" t="s">
        <v>163</v>
      </c>
      <c r="I2750" t="s">
        <v>235</v>
      </c>
    </row>
    <row r="2751" spans="1:9" x14ac:dyDescent="0.25">
      <c r="A2751" s="1" t="str">
        <f t="shared" si="21"/>
        <v>Liew, Choon Fong Stanley</v>
      </c>
      <c r="B2751" t="s">
        <v>5757</v>
      </c>
      <c r="C2751" t="s">
        <v>28</v>
      </c>
      <c r="D2751" t="s">
        <v>164</v>
      </c>
      <c r="E2751" t="s">
        <v>8</v>
      </c>
      <c r="F2751" t="s">
        <v>241</v>
      </c>
      <c r="G2751" t="s">
        <v>163</v>
      </c>
      <c r="H2751" t="s">
        <v>242</v>
      </c>
      <c r="I2751" t="s">
        <v>165</v>
      </c>
    </row>
    <row r="2752" spans="1:9" x14ac:dyDescent="0.25">
      <c r="A2752" s="1" t="str">
        <f t="shared" si="21"/>
        <v>Liew, Choon Fong Stanley</v>
      </c>
      <c r="B2752" t="s">
        <v>5757</v>
      </c>
      <c r="C2752" t="s">
        <v>28</v>
      </c>
      <c r="D2752" t="s">
        <v>164</v>
      </c>
      <c r="E2752" t="s">
        <v>8</v>
      </c>
      <c r="F2752" t="s">
        <v>243</v>
      </c>
      <c r="G2752" t="s">
        <v>163</v>
      </c>
      <c r="H2752" t="s">
        <v>163</v>
      </c>
      <c r="I2752" t="s">
        <v>244</v>
      </c>
    </row>
    <row r="2753" spans="1:9" x14ac:dyDescent="0.25">
      <c r="A2753" s="1" t="str">
        <f t="shared" si="21"/>
        <v>Liew, Choon Fong Stanley</v>
      </c>
      <c r="B2753" t="s">
        <v>5757</v>
      </c>
      <c r="C2753" t="s">
        <v>28</v>
      </c>
      <c r="D2753" t="s">
        <v>164</v>
      </c>
      <c r="E2753" t="s">
        <v>8</v>
      </c>
      <c r="F2753" t="s">
        <v>245</v>
      </c>
      <c r="G2753" t="s">
        <v>163</v>
      </c>
      <c r="H2753" t="s">
        <v>163</v>
      </c>
      <c r="I2753" t="s">
        <v>165</v>
      </c>
    </row>
    <row r="2754" spans="1:9" x14ac:dyDescent="0.25">
      <c r="A2754" s="1" t="str">
        <f t="shared" si="21"/>
        <v>Liew, Choon Fong Stanley</v>
      </c>
      <c r="B2754" t="s">
        <v>5757</v>
      </c>
      <c r="C2754" t="s">
        <v>28</v>
      </c>
      <c r="D2754" t="s">
        <v>164</v>
      </c>
      <c r="E2754" t="s">
        <v>8</v>
      </c>
      <c r="F2754" t="s">
        <v>246</v>
      </c>
      <c r="G2754" t="s">
        <v>163</v>
      </c>
      <c r="H2754" t="s">
        <v>163</v>
      </c>
      <c r="I2754" t="s">
        <v>244</v>
      </c>
    </row>
    <row r="2755" spans="1:9" x14ac:dyDescent="0.25">
      <c r="A2755" s="1" t="str">
        <f t="shared" si="21"/>
        <v>Liew, Choon Fong Stanley</v>
      </c>
      <c r="B2755" t="s">
        <v>5757</v>
      </c>
      <c r="C2755" t="s">
        <v>28</v>
      </c>
      <c r="D2755" t="s">
        <v>164</v>
      </c>
      <c r="E2755" t="s">
        <v>8</v>
      </c>
      <c r="F2755" t="s">
        <v>248</v>
      </c>
      <c r="G2755" t="s">
        <v>163</v>
      </c>
      <c r="H2755" t="s">
        <v>242</v>
      </c>
      <c r="I2755" t="s">
        <v>165</v>
      </c>
    </row>
    <row r="2756" spans="1:9" x14ac:dyDescent="0.25">
      <c r="A2756" s="1" t="str">
        <f t="shared" si="21"/>
        <v>Liew, Choon Fong Stanley</v>
      </c>
      <c r="B2756" t="s">
        <v>5757</v>
      </c>
      <c r="C2756" t="s">
        <v>28</v>
      </c>
      <c r="D2756" t="s">
        <v>164</v>
      </c>
      <c r="E2756" t="s">
        <v>8</v>
      </c>
      <c r="F2756" t="s">
        <v>249</v>
      </c>
      <c r="G2756" t="s">
        <v>163</v>
      </c>
      <c r="H2756" t="s">
        <v>163</v>
      </c>
      <c r="I2756" t="s">
        <v>165</v>
      </c>
    </row>
    <row r="2757" spans="1:9" x14ac:dyDescent="0.25">
      <c r="A2757" s="1" t="str">
        <f t="shared" si="21"/>
        <v>Liew, Choon Fong Stanley</v>
      </c>
      <c r="B2757" t="s">
        <v>5757</v>
      </c>
      <c r="C2757" t="s">
        <v>28</v>
      </c>
      <c r="D2757" t="s">
        <v>164</v>
      </c>
      <c r="E2757" t="s">
        <v>8</v>
      </c>
      <c r="F2757" t="s">
        <v>234</v>
      </c>
      <c r="G2757" t="s">
        <v>163</v>
      </c>
      <c r="H2757" t="s">
        <v>163</v>
      </c>
      <c r="I2757" t="s">
        <v>244</v>
      </c>
    </row>
    <row r="2758" spans="1:9" x14ac:dyDescent="0.25">
      <c r="A2758" s="1" t="str">
        <f>HYPERLINK("https://lynxcrm-apac--c.eu19.visual.force.com/0011i000001xocbAAA","Liew, Dahlla")</f>
        <v>Liew, Dahlla</v>
      </c>
      <c r="B2758" t="s">
        <v>5758</v>
      </c>
      <c r="C2758" t="s">
        <v>28</v>
      </c>
      <c r="D2758" t="s">
        <v>91</v>
      </c>
      <c r="E2758" t="s">
        <v>8</v>
      </c>
      <c r="F2758" t="s">
        <v>90</v>
      </c>
      <c r="G2758" t="s">
        <v>90</v>
      </c>
      <c r="H2758" t="s">
        <v>2000</v>
      </c>
      <c r="I2758" t="s">
        <v>92</v>
      </c>
    </row>
    <row r="2759" spans="1:9" x14ac:dyDescent="0.25">
      <c r="A2759" s="1" t="str">
        <f>HYPERLINK("https://lynxcrm-apac--c.eu19.visual.force.com/0011i000001xocbAAA","Liew, Dahlla")</f>
        <v>Liew, Dahlla</v>
      </c>
      <c r="B2759" t="s">
        <v>5758</v>
      </c>
      <c r="C2759" t="s">
        <v>28</v>
      </c>
      <c r="D2759" t="s">
        <v>520</v>
      </c>
      <c r="E2759" t="s">
        <v>8</v>
      </c>
      <c r="F2759" t="s">
        <v>90</v>
      </c>
      <c r="G2759" t="s">
        <v>521</v>
      </c>
      <c r="H2759" t="s">
        <v>521</v>
      </c>
      <c r="I2759" t="s">
        <v>92</v>
      </c>
    </row>
    <row r="2760" spans="1:9" x14ac:dyDescent="0.25">
      <c r="A2760" s="1" t="str">
        <f>HYPERLINK("https://lynxcrm-apac--c.eu19.visual.force.com/0011i000001xo3YAAQ","Liew, Geok Cheng")</f>
        <v>Liew, Geok Cheng</v>
      </c>
      <c r="B2760" t="s">
        <v>5759</v>
      </c>
      <c r="C2760" t="s">
        <v>28</v>
      </c>
      <c r="D2760" t="s">
        <v>1318</v>
      </c>
      <c r="E2760" t="s">
        <v>8</v>
      </c>
      <c r="F2760" t="s">
        <v>258</v>
      </c>
      <c r="G2760" t="s">
        <v>261</v>
      </c>
      <c r="H2760" t="s">
        <v>261</v>
      </c>
      <c r="I2760" t="s">
        <v>260</v>
      </c>
    </row>
    <row r="2761" spans="1:9" x14ac:dyDescent="0.25">
      <c r="A2761" s="1" t="str">
        <f>HYPERLINK("https://lynxcrm-apac--c.eu19.visual.force.com/0011i000001xo3YAAQ","Liew, Geok Cheng")</f>
        <v>Liew, Geok Cheng</v>
      </c>
      <c r="B2761" t="s">
        <v>5759</v>
      </c>
      <c r="C2761" t="s">
        <v>28</v>
      </c>
      <c r="D2761" t="s">
        <v>261</v>
      </c>
      <c r="E2761" t="s">
        <v>8</v>
      </c>
      <c r="F2761" t="s">
        <v>261</v>
      </c>
      <c r="G2761" t="s">
        <v>347</v>
      </c>
      <c r="H2761" t="s">
        <v>347</v>
      </c>
      <c r="I2761" t="s">
        <v>260</v>
      </c>
    </row>
    <row r="2762" spans="1:9" x14ac:dyDescent="0.25">
      <c r="A2762" s="1" t="str">
        <f>HYPERLINK("https://lynxcrm-apac--c.eu19.visual.force.com/0011i000001xoH0AAI","Liew, Han Lim")</f>
        <v>Liew, Han Lim</v>
      </c>
      <c r="B2762" t="s">
        <v>5760</v>
      </c>
      <c r="C2762" t="s">
        <v>28</v>
      </c>
      <c r="D2762" t="s">
        <v>5280</v>
      </c>
      <c r="E2762" t="s">
        <v>8</v>
      </c>
      <c r="F2762" t="s">
        <v>1334</v>
      </c>
      <c r="G2762" t="s">
        <v>1335</v>
      </c>
      <c r="H2762" t="s">
        <v>1335</v>
      </c>
      <c r="I2762" t="s">
        <v>1336</v>
      </c>
    </row>
    <row r="2763" spans="1:9" x14ac:dyDescent="0.25">
      <c r="A2763" s="1" t="str">
        <f>HYPERLINK("https://lynxcrm-apac--c.eu19.visual.force.com/0011i000001xoX4AAI","Liew, Kert Chian")</f>
        <v>Liew, Kert Chian</v>
      </c>
      <c r="B2763" t="s">
        <v>5761</v>
      </c>
      <c r="C2763" t="s">
        <v>28</v>
      </c>
      <c r="D2763" t="s">
        <v>5762</v>
      </c>
      <c r="E2763" t="s">
        <v>8</v>
      </c>
      <c r="F2763" t="s">
        <v>5763</v>
      </c>
      <c r="G2763" t="s">
        <v>5764</v>
      </c>
      <c r="H2763" t="s">
        <v>5764</v>
      </c>
      <c r="I2763" t="s">
        <v>5765</v>
      </c>
    </row>
    <row r="2764" spans="1:9" x14ac:dyDescent="0.25">
      <c r="A2764" s="1" t="str">
        <f>HYPERLINK("https://lynxcrm-apac--c.eu19.visual.force.com/0011i000001xoZgAAI","Liew, Kimmy")</f>
        <v>Liew, Kimmy</v>
      </c>
      <c r="B2764" t="s">
        <v>5766</v>
      </c>
      <c r="C2764" t="s">
        <v>28</v>
      </c>
      <c r="D2764" t="s">
        <v>1274</v>
      </c>
      <c r="E2764" t="s">
        <v>8</v>
      </c>
      <c r="F2764" t="s">
        <v>360</v>
      </c>
      <c r="G2764" t="s">
        <v>1253</v>
      </c>
      <c r="H2764" t="s">
        <v>1253</v>
      </c>
      <c r="I2764" t="s">
        <v>362</v>
      </c>
    </row>
    <row r="2765" spans="1:9" x14ac:dyDescent="0.25">
      <c r="A2765" s="1" t="str">
        <f>HYPERLINK("https://lynxcrm-apac--c.eu19.visual.force.com/0011i000001xoHUAAY","Liew, Kou Chuen")</f>
        <v>Liew, Kou Chuen</v>
      </c>
      <c r="B2765" t="s">
        <v>5767</v>
      </c>
      <c r="C2765" t="s">
        <v>28</v>
      </c>
      <c r="D2765" t="s">
        <v>4085</v>
      </c>
      <c r="E2765" t="s">
        <v>8</v>
      </c>
      <c r="F2765" t="s">
        <v>832</v>
      </c>
      <c r="G2765" t="s">
        <v>833</v>
      </c>
      <c r="H2765" t="s">
        <v>833</v>
      </c>
      <c r="I2765" t="s">
        <v>834</v>
      </c>
    </row>
    <row r="2766" spans="1:9" x14ac:dyDescent="0.25">
      <c r="A2766" s="1" t="str">
        <f>HYPERLINK("https://lynxcrm-apac--c.eu19.visual.force.com/0011i000001xolyAAA","Liew, Lynn Su")</f>
        <v>Liew, Lynn Su</v>
      </c>
      <c r="B2766" t="s">
        <v>5768</v>
      </c>
      <c r="C2766" t="s">
        <v>28</v>
      </c>
      <c r="D2766" t="s">
        <v>5518</v>
      </c>
      <c r="E2766" t="s">
        <v>8</v>
      </c>
      <c r="F2766" t="s">
        <v>5632</v>
      </c>
      <c r="G2766" t="s">
        <v>5633</v>
      </c>
      <c r="H2766" t="s">
        <v>5633</v>
      </c>
      <c r="I2766" t="s">
        <v>733</v>
      </c>
    </row>
    <row r="2767" spans="1:9" x14ac:dyDescent="0.25">
      <c r="A2767" s="1" t="str">
        <f>HYPERLINK("https://lynxcrm-apac--c.eu19.visual.force.com/0011i00000ugAknAAE","Liew, Mark")</f>
        <v>Liew, Mark</v>
      </c>
      <c r="B2767" t="s">
        <v>5769</v>
      </c>
      <c r="C2767" t="s">
        <v>28</v>
      </c>
      <c r="D2767" t="s">
        <v>5770</v>
      </c>
      <c r="E2767" t="s">
        <v>8</v>
      </c>
      <c r="F2767" t="s">
        <v>5771</v>
      </c>
      <c r="G2767" t="s">
        <v>5772</v>
      </c>
      <c r="H2767" t="s">
        <v>8</v>
      </c>
      <c r="I2767" t="s">
        <v>5773</v>
      </c>
    </row>
    <row r="2768" spans="1:9" x14ac:dyDescent="0.25">
      <c r="A2768" s="1" t="str">
        <f>HYPERLINK("https://lynxcrm-apac--c.eu19.visual.force.com/0011i000001xnosAAA","Liew, Seng Teck Adrian")</f>
        <v>Liew, Seng Teck Adrian</v>
      </c>
      <c r="B2768" t="s">
        <v>5774</v>
      </c>
      <c r="C2768" t="s">
        <v>28</v>
      </c>
      <c r="D2768" t="s">
        <v>261</v>
      </c>
      <c r="E2768" t="s">
        <v>8</v>
      </c>
      <c r="F2768" t="s">
        <v>261</v>
      </c>
      <c r="G2768" t="s">
        <v>347</v>
      </c>
      <c r="H2768" t="s">
        <v>347</v>
      </c>
      <c r="I2768" t="s">
        <v>260</v>
      </c>
    </row>
    <row r="2769" spans="1:9" x14ac:dyDescent="0.25">
      <c r="A2769" s="1" t="str">
        <f>HYPERLINK("https://lynxcrm-apac--c.eu19.visual.force.com/0011i00000ugBBPAA2","Liew, Siew Lee")</f>
        <v>Liew, Siew Lee</v>
      </c>
      <c r="B2769" t="s">
        <v>5775</v>
      </c>
      <c r="C2769" t="s">
        <v>28</v>
      </c>
      <c r="D2769" t="s">
        <v>1698</v>
      </c>
      <c r="E2769" t="s">
        <v>8</v>
      </c>
      <c r="F2769" t="s">
        <v>2273</v>
      </c>
      <c r="G2769" t="s">
        <v>2273</v>
      </c>
      <c r="H2769" t="s">
        <v>8</v>
      </c>
      <c r="I2769" t="s">
        <v>8</v>
      </c>
    </row>
    <row r="2770" spans="1:9" x14ac:dyDescent="0.25">
      <c r="A2770" s="1" t="str">
        <f>HYPERLINK("https://lynxcrm-apac--c.eu19.visual.force.com/0011i000001xoBTAAY","Liew, Vern Chern Kare")</f>
        <v>Liew, Vern Chern Kare</v>
      </c>
      <c r="B2770" t="s">
        <v>5776</v>
      </c>
      <c r="C2770" t="s">
        <v>28</v>
      </c>
      <c r="D2770" t="s">
        <v>12</v>
      </c>
      <c r="E2770" t="s">
        <v>8</v>
      </c>
      <c r="F2770" t="s">
        <v>11</v>
      </c>
      <c r="G2770" t="s">
        <v>11</v>
      </c>
      <c r="H2770" t="s">
        <v>8</v>
      </c>
      <c r="I2770" t="s">
        <v>13</v>
      </c>
    </row>
    <row r="2771" spans="1:9" x14ac:dyDescent="0.25">
      <c r="A2771" s="1" t="str">
        <f>HYPERLINK("https://lynxcrm-apac--c.eu19.visual.force.com/0011i000001xoBTAAY","Liew, Vern Chern Kare")</f>
        <v>Liew, Vern Chern Kare</v>
      </c>
      <c r="B2771" t="s">
        <v>5776</v>
      </c>
      <c r="C2771" t="s">
        <v>28</v>
      </c>
      <c r="D2771" t="s">
        <v>11</v>
      </c>
      <c r="E2771" t="s">
        <v>8</v>
      </c>
      <c r="F2771" t="s">
        <v>11</v>
      </c>
      <c r="G2771" t="s">
        <v>12</v>
      </c>
      <c r="H2771" t="s">
        <v>12</v>
      </c>
      <c r="I2771" t="s">
        <v>13</v>
      </c>
    </row>
    <row r="2772" spans="1:9" x14ac:dyDescent="0.25">
      <c r="A2772" s="1" t="str">
        <f>HYPERLINK("https://lynxcrm-apac--c.eu19.visual.force.com/0011i000001xnBnAAI","Liew Clinic")</f>
        <v>Liew Clinic</v>
      </c>
      <c r="B2772" t="s">
        <v>5777</v>
      </c>
      <c r="C2772" t="s">
        <v>10</v>
      </c>
      <c r="D2772" t="s">
        <v>8</v>
      </c>
      <c r="E2772" t="s">
        <v>8</v>
      </c>
      <c r="F2772" t="s">
        <v>5745</v>
      </c>
      <c r="G2772" t="s">
        <v>5746</v>
      </c>
      <c r="H2772" t="s">
        <v>5747</v>
      </c>
      <c r="I2772" t="s">
        <v>5748</v>
      </c>
    </row>
    <row r="2773" spans="1:9" x14ac:dyDescent="0.25">
      <c r="A2773" s="1" t="str">
        <f>HYPERLINK("https://lynxcrm-apac--c.eu19.visual.force.com/0011i000001xmw4AAA","Liew Clinic &amp; Surgery")</f>
        <v>Liew Clinic &amp; Surgery</v>
      </c>
      <c r="B2773" t="s">
        <v>5778</v>
      </c>
      <c r="C2773" t="s">
        <v>10</v>
      </c>
      <c r="D2773" t="s">
        <v>8</v>
      </c>
      <c r="E2773" t="s">
        <v>8</v>
      </c>
      <c r="F2773" t="s">
        <v>5738</v>
      </c>
      <c r="G2773" t="s">
        <v>5075</v>
      </c>
      <c r="H2773" t="s">
        <v>5739</v>
      </c>
      <c r="I2773" t="s">
        <v>5740</v>
      </c>
    </row>
    <row r="2774" spans="1:9" x14ac:dyDescent="0.25">
      <c r="A2774" s="1" t="str">
        <f>HYPERLINK("https://lynxcrm-apac--c.eu19.visual.force.com/0011i000001xnbXAAQ","Lifecare Family Clinic")</f>
        <v>Lifecare Family Clinic</v>
      </c>
      <c r="B2774" t="s">
        <v>5779</v>
      </c>
      <c r="C2774" t="s">
        <v>10</v>
      </c>
      <c r="D2774" t="s">
        <v>8</v>
      </c>
      <c r="E2774" t="s">
        <v>8</v>
      </c>
      <c r="F2774" t="s">
        <v>2123</v>
      </c>
      <c r="G2774" t="s">
        <v>2124</v>
      </c>
      <c r="H2774" t="s">
        <v>2125</v>
      </c>
      <c r="I2774" t="s">
        <v>2126</v>
      </c>
    </row>
    <row r="2775" spans="1:9" x14ac:dyDescent="0.25">
      <c r="A2775" s="1" t="str">
        <f>HYPERLINK("https://lynxcrm-apac--c.eu19.visual.force.com/0011i000001xnB9AAI","Lifecare Family Clinic &amp; Surgery")</f>
        <v>Lifecare Family Clinic &amp; Surgery</v>
      </c>
      <c r="B2775" t="s">
        <v>5780</v>
      </c>
      <c r="C2775" t="s">
        <v>10</v>
      </c>
      <c r="D2775" t="s">
        <v>8</v>
      </c>
      <c r="E2775" t="s">
        <v>8</v>
      </c>
      <c r="F2775" t="s">
        <v>2413</v>
      </c>
      <c r="G2775" t="s">
        <v>5328</v>
      </c>
      <c r="H2775" t="s">
        <v>5329</v>
      </c>
      <c r="I2775" t="s">
        <v>2416</v>
      </c>
    </row>
    <row r="2776" spans="1:9" x14ac:dyDescent="0.25">
      <c r="A2776" s="1" t="str">
        <f>HYPERLINK("https://lynxcrm-apac--c.eu19.visual.force.com/0011i000001xnCwAAI","Lifecare Family Clinic &amp; Surgery")</f>
        <v>Lifecare Family Clinic &amp; Surgery</v>
      </c>
      <c r="B2776" t="s">
        <v>5781</v>
      </c>
      <c r="C2776" t="s">
        <v>10</v>
      </c>
      <c r="D2776" t="s">
        <v>8</v>
      </c>
      <c r="E2776" t="s">
        <v>8</v>
      </c>
      <c r="F2776" t="s">
        <v>5782</v>
      </c>
      <c r="G2776" t="s">
        <v>5783</v>
      </c>
      <c r="H2776" t="s">
        <v>5784</v>
      </c>
      <c r="I2776" t="s">
        <v>2889</v>
      </c>
    </row>
    <row r="2777" spans="1:9" x14ac:dyDescent="0.25">
      <c r="A2777" s="1" t="str">
        <f>HYPERLINK("https://lynxcrm-apac--c.eu19.visual.force.com/0011i000001xmn7AAA","Lifecare Medical Centre")</f>
        <v>Lifecare Medical Centre</v>
      </c>
      <c r="B2777" t="s">
        <v>5785</v>
      </c>
      <c r="C2777" t="s">
        <v>10</v>
      </c>
      <c r="D2777" t="s">
        <v>8</v>
      </c>
      <c r="E2777" t="s">
        <v>8</v>
      </c>
      <c r="F2777" t="s">
        <v>5550</v>
      </c>
      <c r="G2777" t="s">
        <v>4808</v>
      </c>
      <c r="H2777" t="s">
        <v>4808</v>
      </c>
      <c r="I2777" t="s">
        <v>5551</v>
      </c>
    </row>
    <row r="2778" spans="1:9" x14ac:dyDescent="0.25">
      <c r="A2778" s="1" t="str">
        <f>HYPERLINK("https://lynxcrm-apac--c.eu19.visual.force.com/0011i000001xnDKAAY","Life Clinic")</f>
        <v>Life Clinic</v>
      </c>
      <c r="B2778" t="s">
        <v>5786</v>
      </c>
      <c r="C2778" t="s">
        <v>10</v>
      </c>
      <c r="D2778" t="s">
        <v>8</v>
      </c>
      <c r="E2778" t="s">
        <v>8</v>
      </c>
      <c r="F2778" t="s">
        <v>5787</v>
      </c>
      <c r="G2778" t="s">
        <v>5788</v>
      </c>
      <c r="H2778" t="s">
        <v>5789</v>
      </c>
      <c r="I2778" t="s">
        <v>5790</v>
      </c>
    </row>
    <row r="2779" spans="1:9" x14ac:dyDescent="0.25">
      <c r="A2779" s="1" t="str">
        <f>HYPERLINK("https://lynxcrm-apac--c.eu19.visual.force.com/0011i000001xnDNAAY","Life Clinic")</f>
        <v>Life Clinic</v>
      </c>
      <c r="B2779" t="s">
        <v>5791</v>
      </c>
      <c r="C2779" t="s">
        <v>10</v>
      </c>
      <c r="D2779" t="s">
        <v>8</v>
      </c>
      <c r="E2779" t="s">
        <v>8</v>
      </c>
      <c r="F2779" t="s">
        <v>5787</v>
      </c>
      <c r="G2779" t="s">
        <v>5788</v>
      </c>
      <c r="H2779" t="s">
        <v>5789</v>
      </c>
      <c r="I2779" t="s">
        <v>5790</v>
      </c>
    </row>
    <row r="2780" spans="1:9" x14ac:dyDescent="0.25">
      <c r="A2780" s="1" t="str">
        <f>HYPERLINK("https://lynxcrm-apac--c.eu19.visual.force.com/0011i000001xnBtAAI","Life Family Clinic")</f>
        <v>Life Family Clinic</v>
      </c>
      <c r="B2780" t="s">
        <v>5792</v>
      </c>
      <c r="C2780" t="s">
        <v>10</v>
      </c>
      <c r="D2780" t="s">
        <v>8</v>
      </c>
      <c r="E2780" t="s">
        <v>8</v>
      </c>
      <c r="F2780" t="s">
        <v>5787</v>
      </c>
      <c r="G2780" t="s">
        <v>5788</v>
      </c>
      <c r="H2780" t="s">
        <v>5788</v>
      </c>
      <c r="I2780" t="s">
        <v>5790</v>
      </c>
    </row>
    <row r="2781" spans="1:9" x14ac:dyDescent="0.25">
      <c r="A2781" s="1" t="str">
        <f>HYPERLINK("https://lynxcrm-apac--c.eu19.visual.force.com/0011i000001xmkPAAQ","Lifeline Bishan Medical Clinic Pte Ltd")</f>
        <v>Lifeline Bishan Medical Clinic Pte Ltd</v>
      </c>
      <c r="B2781" t="s">
        <v>5793</v>
      </c>
      <c r="C2781" t="s">
        <v>10</v>
      </c>
      <c r="D2781" t="s">
        <v>8</v>
      </c>
      <c r="E2781" t="s">
        <v>8</v>
      </c>
      <c r="F2781" t="s">
        <v>5794</v>
      </c>
      <c r="G2781" t="s">
        <v>1935</v>
      </c>
      <c r="H2781" t="s">
        <v>1935</v>
      </c>
      <c r="I2781" t="s">
        <v>5795</v>
      </c>
    </row>
    <row r="2782" spans="1:9" x14ac:dyDescent="0.25">
      <c r="A2782" s="1" t="str">
        <f>HYPERLINK("https://lynxcrm-apac--c.eu19.visual.force.com/0011i000001xmr8AAA","Lifeline Fernvale Family Clinic")</f>
        <v>Lifeline Fernvale Family Clinic</v>
      </c>
      <c r="B2782" t="s">
        <v>5796</v>
      </c>
      <c r="C2782" t="s">
        <v>10</v>
      </c>
      <c r="D2782" t="s">
        <v>8</v>
      </c>
      <c r="E2782" t="s">
        <v>8</v>
      </c>
      <c r="F2782" t="s">
        <v>5317</v>
      </c>
      <c r="G2782" t="s">
        <v>3507</v>
      </c>
      <c r="H2782" t="s">
        <v>5797</v>
      </c>
      <c r="I2782" t="s">
        <v>5318</v>
      </c>
    </row>
    <row r="2783" spans="1:9" x14ac:dyDescent="0.25">
      <c r="A2783" s="1" t="str">
        <f>HYPERLINK("https://lynxcrm-apac--c.eu19.visual.force.com/0011i000001xn7kAAA","Lifeline Fernvale Medical Clinic Pte Ltd")</f>
        <v>Lifeline Fernvale Medical Clinic Pte Ltd</v>
      </c>
      <c r="B2783" t="s">
        <v>5798</v>
      </c>
      <c r="C2783" t="s">
        <v>10</v>
      </c>
      <c r="D2783" t="s">
        <v>8</v>
      </c>
      <c r="E2783" t="s">
        <v>8</v>
      </c>
      <c r="F2783" t="s">
        <v>5317</v>
      </c>
      <c r="G2783" t="s">
        <v>3507</v>
      </c>
      <c r="H2783" t="s">
        <v>5797</v>
      </c>
      <c r="I2783" t="s">
        <v>5318</v>
      </c>
    </row>
    <row r="2784" spans="1:9" x14ac:dyDescent="0.25">
      <c r="A2784" s="1" t="str">
        <f>HYPERLINK("https://lynxcrm-apac--c.eu19.visual.force.com/0011i000001xmdYAAQ","Lifeline Heart Centre")</f>
        <v>Lifeline Heart Centre</v>
      </c>
      <c r="B2784" t="s">
        <v>5799</v>
      </c>
      <c r="C2784" t="s">
        <v>10</v>
      </c>
      <c r="D2784" t="s">
        <v>8</v>
      </c>
      <c r="E2784" t="s">
        <v>8</v>
      </c>
      <c r="F2784" t="s">
        <v>377</v>
      </c>
      <c r="G2784" t="s">
        <v>4560</v>
      </c>
      <c r="H2784" t="s">
        <v>4560</v>
      </c>
      <c r="I2784" t="s">
        <v>123</v>
      </c>
    </row>
    <row r="2785" spans="1:9" x14ac:dyDescent="0.25">
      <c r="A2785" s="1" t="str">
        <f>HYPERLINK("https://lynxcrm-apac--c.eu19.visual.force.com/0011i000001xnFcAAI","Lifeline Medical Group")</f>
        <v>Lifeline Medical Group</v>
      </c>
      <c r="B2785" t="s">
        <v>5800</v>
      </c>
      <c r="C2785" t="s">
        <v>10</v>
      </c>
      <c r="D2785" t="s">
        <v>8</v>
      </c>
      <c r="E2785" t="s">
        <v>8</v>
      </c>
      <c r="F2785" t="s">
        <v>2190</v>
      </c>
      <c r="G2785" t="s">
        <v>2191</v>
      </c>
      <c r="H2785" t="s">
        <v>2192</v>
      </c>
      <c r="I2785" t="s">
        <v>2193</v>
      </c>
    </row>
    <row r="2786" spans="1:9" x14ac:dyDescent="0.25">
      <c r="A2786" s="1" t="str">
        <f>HYPERLINK("https://lynxcrm-apac--c.eu19.visual.force.com/0011i000001xnRQAAY","Lifeline Medical Group")</f>
        <v>Lifeline Medical Group</v>
      </c>
      <c r="B2786" t="s">
        <v>5801</v>
      </c>
      <c r="C2786" t="s">
        <v>10</v>
      </c>
      <c r="D2786" t="s">
        <v>8</v>
      </c>
      <c r="E2786" t="s">
        <v>8</v>
      </c>
      <c r="F2786" t="s">
        <v>1947</v>
      </c>
      <c r="G2786" t="s">
        <v>1948</v>
      </c>
      <c r="H2786" t="s">
        <v>1948</v>
      </c>
      <c r="I2786" t="s">
        <v>1949</v>
      </c>
    </row>
    <row r="2787" spans="1:9" x14ac:dyDescent="0.25">
      <c r="A2787" s="1" t="str">
        <f>HYPERLINK("https://lynxcrm-apac--c.eu19.visual.force.com/0011i000001xnRAAAY","Lifeline Medical Group winning")</f>
        <v>Lifeline Medical Group winning</v>
      </c>
      <c r="B2787" t="s">
        <v>5802</v>
      </c>
      <c r="C2787" t="s">
        <v>10</v>
      </c>
      <c r="D2787" t="s">
        <v>8</v>
      </c>
      <c r="E2787" t="s">
        <v>8</v>
      </c>
      <c r="F2787" t="s">
        <v>4132</v>
      </c>
      <c r="G2787" t="s">
        <v>5803</v>
      </c>
      <c r="H2787" t="s">
        <v>5804</v>
      </c>
      <c r="I2787" t="s">
        <v>5805</v>
      </c>
    </row>
    <row r="2788" spans="1:9" x14ac:dyDescent="0.25">
      <c r="A2788" s="1" t="str">
        <f>HYPERLINK("https://lynxcrm-apac--c.eu19.visual.force.com/0011i000001xnRAAAY","Lifeline Medical Group winning")</f>
        <v>Lifeline Medical Group winning</v>
      </c>
      <c r="B2788" t="s">
        <v>5802</v>
      </c>
      <c r="C2788" t="s">
        <v>10</v>
      </c>
      <c r="D2788" t="s">
        <v>8</v>
      </c>
      <c r="E2788" t="s">
        <v>8</v>
      </c>
      <c r="F2788" t="s">
        <v>4132</v>
      </c>
      <c r="G2788" t="s">
        <v>5803</v>
      </c>
      <c r="H2788" t="s">
        <v>5804</v>
      </c>
      <c r="I2788" t="s">
        <v>4038</v>
      </c>
    </row>
    <row r="2789" spans="1:9" x14ac:dyDescent="0.25">
      <c r="A2789" s="1" t="str">
        <f>HYPERLINK("https://lynxcrm-apac--c.eu19.visual.force.com/0011i000001xn51AAA","Lifeline Punggol Medical Clinic")</f>
        <v>Lifeline Punggol Medical Clinic</v>
      </c>
      <c r="B2789" t="s">
        <v>5806</v>
      </c>
      <c r="C2789" t="s">
        <v>10</v>
      </c>
      <c r="D2789" t="s">
        <v>8</v>
      </c>
      <c r="E2789" t="s">
        <v>8</v>
      </c>
      <c r="F2789" t="s">
        <v>5807</v>
      </c>
      <c r="G2789" t="s">
        <v>4102</v>
      </c>
      <c r="H2789" t="s">
        <v>4102</v>
      </c>
      <c r="I2789" t="s">
        <v>5808</v>
      </c>
    </row>
    <row r="2790" spans="1:9" x14ac:dyDescent="0.25">
      <c r="A2790" s="1" t="str">
        <f>HYPERLINK("https://lynxcrm-apac--c.eu19.visual.force.com/0011i000001xn2pAAA","Lifeline Yishun Ring Medical Clinic Pte Ltd")</f>
        <v>Lifeline Yishun Ring Medical Clinic Pte Ltd</v>
      </c>
      <c r="B2790" t="s">
        <v>5809</v>
      </c>
      <c r="C2790" t="s">
        <v>10</v>
      </c>
      <c r="D2790" t="s">
        <v>8</v>
      </c>
      <c r="E2790" t="s">
        <v>8</v>
      </c>
      <c r="F2790" t="s">
        <v>191</v>
      </c>
      <c r="G2790" t="s">
        <v>5810</v>
      </c>
      <c r="H2790" t="s">
        <v>5811</v>
      </c>
      <c r="I2790" t="s">
        <v>193</v>
      </c>
    </row>
    <row r="2791" spans="1:9" x14ac:dyDescent="0.25">
      <c r="A2791" s="1" t="str">
        <f>HYPERLINK("https://lynxcrm-apac--c.eu19.visual.force.com/0011i000001xncKAAQ","Lifelink Clinic &amp; Surgery")</f>
        <v>Lifelink Clinic &amp; Surgery</v>
      </c>
      <c r="B2791" t="s">
        <v>5812</v>
      </c>
      <c r="C2791" t="s">
        <v>10</v>
      </c>
      <c r="D2791" t="s">
        <v>8</v>
      </c>
      <c r="E2791" t="s">
        <v>8</v>
      </c>
      <c r="F2791" t="s">
        <v>748</v>
      </c>
      <c r="G2791" t="s">
        <v>2765</v>
      </c>
      <c r="H2791" t="s">
        <v>5813</v>
      </c>
      <c r="I2791" t="s">
        <v>750</v>
      </c>
    </row>
    <row r="2792" spans="1:9" x14ac:dyDescent="0.25">
      <c r="A2792" s="1" t="str">
        <f>HYPERLINK("https://lynxcrm-apac--c.eu19.visual.force.com/0011i000001xn3PAAQ","Life-Link Clinic &amp; Surgery")</f>
        <v>Life-Link Clinic &amp; Surgery</v>
      </c>
      <c r="B2792" t="s">
        <v>5814</v>
      </c>
      <c r="C2792" t="s">
        <v>10</v>
      </c>
      <c r="D2792" t="s">
        <v>8</v>
      </c>
      <c r="E2792" t="s">
        <v>8</v>
      </c>
      <c r="F2792" t="s">
        <v>748</v>
      </c>
      <c r="G2792" t="s">
        <v>2765</v>
      </c>
      <c r="H2792" t="s">
        <v>2765</v>
      </c>
      <c r="I2792" t="s">
        <v>750</v>
      </c>
    </row>
    <row r="2793" spans="1:9" x14ac:dyDescent="0.25">
      <c r="A2793" s="1" t="str">
        <f>HYPERLINK("https://lynxcrm-apac--c.eu19.visual.force.com/0011i000001xmuiAAA","Life Spine &amp; Orthopaedics")</f>
        <v>Life Spine &amp; Orthopaedics</v>
      </c>
      <c r="B2793" t="s">
        <v>5815</v>
      </c>
      <c r="C2793" t="s">
        <v>10</v>
      </c>
      <c r="D2793" t="s">
        <v>8</v>
      </c>
      <c r="E2793" t="s">
        <v>8</v>
      </c>
      <c r="F2793" t="s">
        <v>5383</v>
      </c>
      <c r="G2793" t="s">
        <v>5384</v>
      </c>
      <c r="H2793" t="s">
        <v>5384</v>
      </c>
      <c r="I2793" t="s">
        <v>344</v>
      </c>
    </row>
    <row r="2794" spans="1:9" x14ac:dyDescent="0.25">
      <c r="A2794" s="1" t="str">
        <f>HYPERLINK("https://lynxcrm-apac--c.eu19.visual.force.com/0011i000001xmcpAAA","Lifesprings Family Clinic")</f>
        <v>Lifesprings Family Clinic</v>
      </c>
      <c r="B2794" t="s">
        <v>5816</v>
      </c>
      <c r="C2794" t="s">
        <v>10</v>
      </c>
      <c r="D2794" t="s">
        <v>8</v>
      </c>
      <c r="E2794" t="s">
        <v>8</v>
      </c>
      <c r="F2794" t="s">
        <v>5817</v>
      </c>
      <c r="G2794" t="s">
        <v>5818</v>
      </c>
      <c r="H2794" t="s">
        <v>5819</v>
      </c>
      <c r="I2794" t="s">
        <v>2126</v>
      </c>
    </row>
    <row r="2795" spans="1:9" x14ac:dyDescent="0.25">
      <c r="A2795" s="1" t="str">
        <f>HYPERLINK("https://lynxcrm-apac--c.eu19.visual.force.com/0011i000001xnKzAAI","Lifesprings Family Clinic")</f>
        <v>Lifesprings Family Clinic</v>
      </c>
      <c r="B2795" t="s">
        <v>5820</v>
      </c>
      <c r="C2795" t="s">
        <v>10</v>
      </c>
      <c r="D2795" t="s">
        <v>8</v>
      </c>
      <c r="E2795" t="s">
        <v>8</v>
      </c>
      <c r="F2795" t="s">
        <v>5817</v>
      </c>
      <c r="G2795" t="s">
        <v>5818</v>
      </c>
      <c r="H2795" t="s">
        <v>5819</v>
      </c>
      <c r="I2795" t="s">
        <v>2126</v>
      </c>
    </row>
    <row r="2796" spans="1:9" x14ac:dyDescent="0.25">
      <c r="A2796" s="1" t="str">
        <f>HYPERLINK("https://lynxcrm-apac--c.eu19.visual.force.com/0011i000001xmq1AAA","Lighthouse Clinic &amp; Surgery")</f>
        <v>Lighthouse Clinic &amp; Surgery</v>
      </c>
      <c r="B2796" t="s">
        <v>5821</v>
      </c>
      <c r="C2796" t="s">
        <v>10</v>
      </c>
      <c r="D2796" t="s">
        <v>8</v>
      </c>
      <c r="E2796" t="s">
        <v>8</v>
      </c>
      <c r="F2796" t="s">
        <v>5822</v>
      </c>
      <c r="G2796" t="s">
        <v>2006</v>
      </c>
      <c r="H2796" t="s">
        <v>2241</v>
      </c>
      <c r="I2796" t="s">
        <v>2242</v>
      </c>
    </row>
    <row r="2797" spans="1:9" x14ac:dyDescent="0.25">
      <c r="A2797" s="1" t="str">
        <f>HYPERLINK("https://lynxcrm-apac--c.eu19.visual.force.com/0011i000001xmxAAAQ","LightHouse Clinic &amp; Surgery")</f>
        <v>LightHouse Clinic &amp; Surgery</v>
      </c>
      <c r="B2797" t="s">
        <v>5823</v>
      </c>
      <c r="C2797" t="s">
        <v>10</v>
      </c>
      <c r="D2797" t="s">
        <v>8</v>
      </c>
      <c r="E2797" t="s">
        <v>8</v>
      </c>
      <c r="F2797" t="s">
        <v>2240</v>
      </c>
      <c r="G2797" t="s">
        <v>2006</v>
      </c>
      <c r="H2797" t="s">
        <v>2241</v>
      </c>
      <c r="I2797" t="s">
        <v>2242</v>
      </c>
    </row>
    <row r="2798" spans="1:9" x14ac:dyDescent="0.25">
      <c r="A2798" s="1" t="str">
        <f>HYPERLINK("https://lynxcrm-apac--c.eu19.visual.force.com/0011i000001xmx8AAA","Lily Aw Pasir Ris Family Clinic")</f>
        <v>Lily Aw Pasir Ris Family Clinic</v>
      </c>
      <c r="B2798" t="s">
        <v>5824</v>
      </c>
      <c r="C2798" t="s">
        <v>10</v>
      </c>
      <c r="D2798" t="s">
        <v>8</v>
      </c>
      <c r="E2798" t="s">
        <v>8</v>
      </c>
      <c r="F2798" t="s">
        <v>748</v>
      </c>
      <c r="G2798" t="s">
        <v>749</v>
      </c>
      <c r="H2798" t="s">
        <v>749</v>
      </c>
      <c r="I2798" t="s">
        <v>750</v>
      </c>
    </row>
    <row r="2799" spans="1:9" x14ac:dyDescent="0.25">
      <c r="A2799" s="1" t="str">
        <f>HYPERLINK("https://lynxcrm-apac--c.eu19.visual.force.com/0011i000001xnjHAAQ","Lim, Ah Leng")</f>
        <v>Lim, Ah Leng</v>
      </c>
      <c r="B2799" t="s">
        <v>5825</v>
      </c>
      <c r="C2799" t="s">
        <v>28</v>
      </c>
      <c r="D2799" t="s">
        <v>5826</v>
      </c>
      <c r="E2799" t="s">
        <v>8</v>
      </c>
      <c r="F2799" t="s">
        <v>263</v>
      </c>
      <c r="G2799" t="s">
        <v>5827</v>
      </c>
      <c r="H2799" t="s">
        <v>5828</v>
      </c>
      <c r="I2799" t="s">
        <v>266</v>
      </c>
    </row>
    <row r="2800" spans="1:9" x14ac:dyDescent="0.25">
      <c r="A2800" s="1" t="str">
        <f>HYPERLINK("https://lynxcrm-apac--c.eu19.visual.force.com/0011i000001xoPDAAY","Lim, Ai Chi Peter")</f>
        <v>Lim, Ai Chi Peter</v>
      </c>
      <c r="B2800" t="s">
        <v>5829</v>
      </c>
      <c r="C2800" t="s">
        <v>28</v>
      </c>
      <c r="D2800" t="s">
        <v>251</v>
      </c>
      <c r="E2800" t="s">
        <v>8</v>
      </c>
      <c r="F2800" t="s">
        <v>1417</v>
      </c>
      <c r="G2800" t="s">
        <v>252</v>
      </c>
      <c r="H2800" t="s">
        <v>858</v>
      </c>
      <c r="I2800" t="s">
        <v>253</v>
      </c>
    </row>
    <row r="2801" spans="1:9" x14ac:dyDescent="0.25">
      <c r="A2801" s="1" t="str">
        <f>HYPERLINK("https://lynxcrm-apac--c.eu19.visual.force.com/0011i000001xoJ5AAI","Lim, Ang Tee")</f>
        <v>Lim, Ang Tee</v>
      </c>
      <c r="B2801" t="s">
        <v>5830</v>
      </c>
      <c r="C2801" t="s">
        <v>28</v>
      </c>
      <c r="D2801" t="s">
        <v>5831</v>
      </c>
      <c r="E2801" t="s">
        <v>8</v>
      </c>
      <c r="F2801" t="s">
        <v>5832</v>
      </c>
      <c r="G2801" t="s">
        <v>5833</v>
      </c>
      <c r="H2801" t="s">
        <v>505</v>
      </c>
      <c r="I2801" t="s">
        <v>5834</v>
      </c>
    </row>
    <row r="2802" spans="1:9" x14ac:dyDescent="0.25">
      <c r="A2802" s="1" t="str">
        <f>HYPERLINK("https://lynxcrm-apac--c.eu19.visual.force.com/0011i000001xnjJAAQ","Lim, Bee Geok")</f>
        <v>Lim, Bee Geok</v>
      </c>
      <c r="B2802" t="s">
        <v>5835</v>
      </c>
      <c r="C2802" t="s">
        <v>28</v>
      </c>
      <c r="D2802" t="s">
        <v>2043</v>
      </c>
      <c r="E2802" t="s">
        <v>8</v>
      </c>
      <c r="F2802" t="s">
        <v>1947</v>
      </c>
      <c r="G2802" t="s">
        <v>659</v>
      </c>
      <c r="H2802" t="s">
        <v>2044</v>
      </c>
      <c r="I2802" t="s">
        <v>1949</v>
      </c>
    </row>
    <row r="2803" spans="1:9" x14ac:dyDescent="0.25">
      <c r="A2803" s="1" t="str">
        <f>HYPERLINK("https://lynxcrm-apac--c.eu19.visual.force.com/0011i000001xnjLAAQ","Lim, Bee Lin")</f>
        <v>Lim, Bee Lin</v>
      </c>
      <c r="B2803" t="s">
        <v>5836</v>
      </c>
      <c r="C2803" t="s">
        <v>28</v>
      </c>
      <c r="D2803" t="s">
        <v>5837</v>
      </c>
      <c r="E2803" t="s">
        <v>8</v>
      </c>
      <c r="F2803" t="s">
        <v>5838</v>
      </c>
      <c r="G2803" t="s">
        <v>5839</v>
      </c>
      <c r="H2803" t="s">
        <v>5839</v>
      </c>
      <c r="I2803" t="s">
        <v>5840</v>
      </c>
    </row>
    <row r="2804" spans="1:9" x14ac:dyDescent="0.25">
      <c r="A2804" s="1" t="str">
        <f>HYPERLINK("https://lynxcrm-apac--c.eu19.visual.force.com/0011i000001xotUAAQ","Lim, Benedict")</f>
        <v>Lim, Benedict</v>
      </c>
      <c r="B2804" t="s">
        <v>5841</v>
      </c>
      <c r="C2804" t="s">
        <v>28</v>
      </c>
      <c r="D2804" t="s">
        <v>540</v>
      </c>
      <c r="E2804" t="s">
        <v>8</v>
      </c>
      <c r="F2804" t="s">
        <v>5842</v>
      </c>
      <c r="G2804" t="s">
        <v>5843</v>
      </c>
      <c r="H2804" t="s">
        <v>5843</v>
      </c>
      <c r="I2804" t="s">
        <v>5844</v>
      </c>
    </row>
    <row r="2805" spans="1:9" x14ac:dyDescent="0.25">
      <c r="A2805" s="1" t="str">
        <f>HYPERLINK("https://lynxcrm-apac--c.eu19.visual.force.com/0011i000001xnxxAAA","Lim, Benji")</f>
        <v>Lim, Benji</v>
      </c>
      <c r="B2805" t="s">
        <v>5845</v>
      </c>
      <c r="C2805" t="s">
        <v>28</v>
      </c>
      <c r="D2805" t="s">
        <v>583</v>
      </c>
      <c r="E2805" t="s">
        <v>8</v>
      </c>
      <c r="F2805" t="s">
        <v>583</v>
      </c>
      <c r="G2805" t="s">
        <v>584</v>
      </c>
      <c r="H2805" t="s">
        <v>584</v>
      </c>
      <c r="I2805" t="s">
        <v>585</v>
      </c>
    </row>
    <row r="2806" spans="1:9" x14ac:dyDescent="0.25">
      <c r="A2806" s="1" t="str">
        <f>HYPERLINK("https://lynxcrm-apac--c.eu19.visual.force.com/0011i000001xo0EAAQ","Lim, Boon Ann Albert")</f>
        <v>Lim, Boon Ann Albert</v>
      </c>
      <c r="B2806" t="s">
        <v>5846</v>
      </c>
      <c r="C2806" t="s">
        <v>28</v>
      </c>
      <c r="D2806" t="s">
        <v>516</v>
      </c>
      <c r="E2806" t="s">
        <v>8</v>
      </c>
      <c r="F2806" t="s">
        <v>517</v>
      </c>
      <c r="G2806" t="s">
        <v>517</v>
      </c>
      <c r="H2806" t="s">
        <v>8</v>
      </c>
      <c r="I2806" t="s">
        <v>518</v>
      </c>
    </row>
    <row r="2807" spans="1:9" x14ac:dyDescent="0.25">
      <c r="A2807" s="1" t="str">
        <f>HYPERLINK("https://lynxcrm-apac--c.eu19.visual.force.com/0011i000001xnrkAAA","Lim, Boon Hee")</f>
        <v>Lim, Boon Hee</v>
      </c>
      <c r="B2807" t="s">
        <v>5847</v>
      </c>
      <c r="C2807" t="s">
        <v>28</v>
      </c>
      <c r="D2807" t="s">
        <v>5848</v>
      </c>
      <c r="E2807" t="s">
        <v>8</v>
      </c>
      <c r="F2807" t="s">
        <v>5849</v>
      </c>
      <c r="G2807" t="s">
        <v>5850</v>
      </c>
      <c r="H2807" t="s">
        <v>5851</v>
      </c>
      <c r="I2807" t="s">
        <v>5852</v>
      </c>
    </row>
    <row r="2808" spans="1:9" x14ac:dyDescent="0.25">
      <c r="A2808" s="1" t="str">
        <f>HYPERLINK("https://lynxcrm-apac--c.eu19.visual.force.com/0011i000001xoKNAAY","Lim, Boon Leng")</f>
        <v>Lim, Boon Leng</v>
      </c>
      <c r="B2808" t="s">
        <v>5853</v>
      </c>
      <c r="C2808" t="s">
        <v>28</v>
      </c>
      <c r="D2808" t="s">
        <v>5854</v>
      </c>
      <c r="E2808" t="s">
        <v>8</v>
      </c>
      <c r="F2808" t="s">
        <v>2786</v>
      </c>
      <c r="G2808" t="s">
        <v>65</v>
      </c>
      <c r="H2808" t="s">
        <v>65</v>
      </c>
      <c r="I2808" t="s">
        <v>67</v>
      </c>
    </row>
    <row r="2809" spans="1:9" x14ac:dyDescent="0.25">
      <c r="A2809" s="1" t="str">
        <f>HYPERLINK("https://lynxcrm-apac--c.eu19.visual.force.com/0011i000001xopmAAA","Lim, Brenda")</f>
        <v>Lim, Brenda</v>
      </c>
      <c r="B2809" t="s">
        <v>5855</v>
      </c>
      <c r="C2809" t="s">
        <v>28</v>
      </c>
      <c r="D2809" t="s">
        <v>261</v>
      </c>
      <c r="E2809" t="s">
        <v>8</v>
      </c>
      <c r="F2809" t="s">
        <v>261</v>
      </c>
      <c r="G2809" t="s">
        <v>347</v>
      </c>
      <c r="H2809" t="s">
        <v>347</v>
      </c>
      <c r="I2809" t="s">
        <v>260</v>
      </c>
    </row>
    <row r="2810" spans="1:9" x14ac:dyDescent="0.25">
      <c r="A2810" s="1" t="str">
        <f>HYPERLINK("https://lynxcrm-apac--c.eu19.visual.force.com/0011i000001xo3fAAA","Lim, Chee Chong Lionel")</f>
        <v>Lim, Chee Chong Lionel</v>
      </c>
      <c r="B2810" t="s">
        <v>5856</v>
      </c>
      <c r="C2810" t="s">
        <v>28</v>
      </c>
      <c r="D2810" t="s">
        <v>5857</v>
      </c>
      <c r="E2810" t="s">
        <v>8</v>
      </c>
      <c r="F2810" t="s">
        <v>377</v>
      </c>
      <c r="G2810" t="s">
        <v>5858</v>
      </c>
      <c r="H2810" t="s">
        <v>5859</v>
      </c>
      <c r="I2810" t="s">
        <v>123</v>
      </c>
    </row>
    <row r="2811" spans="1:9" x14ac:dyDescent="0.25">
      <c r="A2811" s="1" t="str">
        <f>HYPERLINK("https://lynxcrm-apac--c.eu19.visual.force.com/0011i000001xoAxAAI","Lim, Chee Hsing")</f>
        <v>Lim, Chee Hsing</v>
      </c>
      <c r="B2811" t="s">
        <v>5860</v>
      </c>
      <c r="C2811" t="s">
        <v>28</v>
      </c>
      <c r="D2811" t="s">
        <v>2342</v>
      </c>
      <c r="E2811" t="s">
        <v>8</v>
      </c>
      <c r="F2811" t="s">
        <v>919</v>
      </c>
      <c r="G2811" t="s">
        <v>550</v>
      </c>
      <c r="H2811" t="s">
        <v>550</v>
      </c>
      <c r="I2811" t="s">
        <v>554</v>
      </c>
    </row>
    <row r="2812" spans="1:9" x14ac:dyDescent="0.25">
      <c r="A2812" s="1" t="str">
        <f>HYPERLINK("https://lynxcrm-apac--c.eu19.visual.force.com/0011i000001xnjWAAQ","Lim, Chee Teck")</f>
        <v>Lim, Chee Teck</v>
      </c>
      <c r="B2812" t="s">
        <v>5861</v>
      </c>
      <c r="C2812" t="s">
        <v>28</v>
      </c>
      <c r="D2812" t="s">
        <v>5862</v>
      </c>
      <c r="E2812" t="s">
        <v>8</v>
      </c>
      <c r="F2812" t="s">
        <v>2409</v>
      </c>
      <c r="G2812" t="s">
        <v>2410</v>
      </c>
      <c r="H2812" t="s">
        <v>2410</v>
      </c>
      <c r="I2812" t="s">
        <v>2411</v>
      </c>
    </row>
    <row r="2813" spans="1:9" x14ac:dyDescent="0.25">
      <c r="A2813" s="1" t="str">
        <f>HYPERLINK("https://lynxcrm-apac--c.eu19.visual.force.com/0011i000001xoY2AAI","Lim, Cheng Hong")</f>
        <v>Lim, Cheng Hong</v>
      </c>
      <c r="B2813" t="s">
        <v>5863</v>
      </c>
      <c r="C2813" t="s">
        <v>28</v>
      </c>
      <c r="D2813" t="s">
        <v>251</v>
      </c>
      <c r="E2813" t="s">
        <v>8</v>
      </c>
      <c r="F2813" t="s">
        <v>251</v>
      </c>
      <c r="G2813" t="s">
        <v>252</v>
      </c>
      <c r="H2813" t="s">
        <v>252</v>
      </c>
      <c r="I2813" t="s">
        <v>253</v>
      </c>
    </row>
    <row r="2814" spans="1:9" x14ac:dyDescent="0.25">
      <c r="A2814" s="1" t="str">
        <f>HYPERLINK("https://lynxcrm-apac--c.eu19.visual.force.com/0011i000001xoY2AAI","Lim, Cheng Hong")</f>
        <v>Lim, Cheng Hong</v>
      </c>
      <c r="B2814" t="s">
        <v>5863</v>
      </c>
      <c r="C2814" t="s">
        <v>28</v>
      </c>
      <c r="D2814" t="s">
        <v>251</v>
      </c>
      <c r="E2814" t="s">
        <v>8</v>
      </c>
      <c r="F2814" t="s">
        <v>241</v>
      </c>
      <c r="G2814" t="s">
        <v>252</v>
      </c>
      <c r="H2814" t="s">
        <v>252</v>
      </c>
      <c r="I2814" t="s">
        <v>253</v>
      </c>
    </row>
    <row r="2815" spans="1:9" x14ac:dyDescent="0.25">
      <c r="A2815" s="1" t="str">
        <f>HYPERLINK("https://lynxcrm-apac--c.eu19.visual.force.com/0011i000001xnjaAAA","Lim, Cheok Peng")</f>
        <v>Lim, Cheok Peng</v>
      </c>
      <c r="B2815" t="s">
        <v>5864</v>
      </c>
      <c r="C2815" t="s">
        <v>28</v>
      </c>
      <c r="D2815" t="s">
        <v>5865</v>
      </c>
      <c r="E2815" t="s">
        <v>8</v>
      </c>
      <c r="F2815" t="s">
        <v>781</v>
      </c>
      <c r="G2815" t="s">
        <v>2472</v>
      </c>
      <c r="H2815" t="s">
        <v>2472</v>
      </c>
      <c r="I2815" t="s">
        <v>784</v>
      </c>
    </row>
    <row r="2816" spans="1:9" x14ac:dyDescent="0.25">
      <c r="A2816" s="1" t="str">
        <f>HYPERLINK("https://lynxcrm-apac--c.eu19.visual.force.com/0011i00000Xf1IUAAZ","Lim, Cheow Lei")</f>
        <v>Lim, Cheow Lei</v>
      </c>
      <c r="B2816" t="s">
        <v>5866</v>
      </c>
      <c r="C2816" t="s">
        <v>28</v>
      </c>
      <c r="D2816" t="s">
        <v>5867</v>
      </c>
      <c r="E2816" t="s">
        <v>8</v>
      </c>
      <c r="F2816" t="s">
        <v>5868</v>
      </c>
      <c r="G2816" t="s">
        <v>569</v>
      </c>
      <c r="H2816" t="s">
        <v>8</v>
      </c>
      <c r="I2816" t="s">
        <v>344</v>
      </c>
    </row>
    <row r="2817" spans="1:9" x14ac:dyDescent="0.25">
      <c r="A2817" s="1" t="str">
        <f>HYPERLINK("https://lynxcrm-apac--c.eu19.visual.force.com/0011i000001xnfkAAA","Lim, Chew")</f>
        <v>Lim, Chew</v>
      </c>
      <c r="B2817" t="s">
        <v>5869</v>
      </c>
      <c r="C2817" t="s">
        <v>28</v>
      </c>
      <c r="D2817" t="s">
        <v>5870</v>
      </c>
      <c r="E2817" t="s">
        <v>8</v>
      </c>
      <c r="F2817" t="s">
        <v>5871</v>
      </c>
      <c r="G2817" t="s">
        <v>5872</v>
      </c>
      <c r="H2817" t="s">
        <v>5872</v>
      </c>
      <c r="I2817" t="s">
        <v>5873</v>
      </c>
    </row>
    <row r="2818" spans="1:9" x14ac:dyDescent="0.25">
      <c r="A2818" s="1" t="str">
        <f>HYPERLINK("https://lynxcrm-apac--c.eu19.visual.force.com/0011i000001xocKAAQ","Lim, Chien Chuan")</f>
        <v>Lim, Chien Chuan</v>
      </c>
      <c r="B2818" t="s">
        <v>5874</v>
      </c>
      <c r="C2818" t="s">
        <v>28</v>
      </c>
      <c r="D2818" t="s">
        <v>5875</v>
      </c>
      <c r="E2818" t="s">
        <v>8</v>
      </c>
      <c r="F2818" t="s">
        <v>2939</v>
      </c>
      <c r="G2818" t="s">
        <v>2940</v>
      </c>
      <c r="H2818" t="s">
        <v>2940</v>
      </c>
      <c r="I2818" t="s">
        <v>2941</v>
      </c>
    </row>
    <row r="2819" spans="1:9" x14ac:dyDescent="0.25">
      <c r="A2819" s="1" t="str">
        <f>HYPERLINK("https://lynxcrm-apac--c.eu19.visual.force.com/0011i000001xoGCAAY","Lim, Chien Chuan")</f>
        <v>Lim, Chien Chuan</v>
      </c>
      <c r="B2819" t="s">
        <v>5876</v>
      </c>
      <c r="C2819" t="s">
        <v>28</v>
      </c>
      <c r="D2819" t="s">
        <v>5877</v>
      </c>
      <c r="E2819" t="s">
        <v>8</v>
      </c>
      <c r="F2819" t="s">
        <v>5878</v>
      </c>
      <c r="G2819" t="s">
        <v>2860</v>
      </c>
      <c r="H2819" t="s">
        <v>5879</v>
      </c>
      <c r="I2819" t="s">
        <v>5880</v>
      </c>
    </row>
    <row r="2820" spans="1:9" x14ac:dyDescent="0.25">
      <c r="A2820" s="1" t="str">
        <f>HYPERLINK("https://lynxcrm-apac--c.eu19.visual.force.com/0011i000001xngVAAQ","Lim, Chin Hock")</f>
        <v>Lim, Chin Hock</v>
      </c>
      <c r="B2820" t="s">
        <v>5881</v>
      </c>
      <c r="C2820" t="s">
        <v>28</v>
      </c>
      <c r="D2820" t="s">
        <v>5882</v>
      </c>
      <c r="E2820" t="s">
        <v>8</v>
      </c>
      <c r="F2820" t="s">
        <v>373</v>
      </c>
      <c r="G2820" t="s">
        <v>1987</v>
      </c>
      <c r="H2820" t="s">
        <v>1988</v>
      </c>
      <c r="I2820" t="s">
        <v>123</v>
      </c>
    </row>
    <row r="2821" spans="1:9" x14ac:dyDescent="0.25">
      <c r="A2821" s="1" t="str">
        <f>HYPERLINK("https://lynxcrm-apac--c.eu19.visual.force.com/0011i000001xou5AAA","Lim, Chiw Yeh")</f>
        <v>Lim, Chiw Yeh</v>
      </c>
      <c r="B2821" t="s">
        <v>5883</v>
      </c>
      <c r="C2821" t="s">
        <v>28</v>
      </c>
      <c r="D2821" t="s">
        <v>449</v>
      </c>
      <c r="E2821" t="s">
        <v>8</v>
      </c>
      <c r="F2821" t="s">
        <v>450</v>
      </c>
      <c r="G2821" t="s">
        <v>449</v>
      </c>
      <c r="H2821" t="s">
        <v>449</v>
      </c>
      <c r="I2821" t="s">
        <v>451</v>
      </c>
    </row>
    <row r="2822" spans="1:9" x14ac:dyDescent="0.25">
      <c r="A2822" s="1" t="str">
        <f>HYPERLINK("https://lynxcrm-apac--c.eu19.visual.force.com/0011i000001xou5AAA","Lim, Chiw Yeh")</f>
        <v>Lim, Chiw Yeh</v>
      </c>
      <c r="B2822" t="s">
        <v>5883</v>
      </c>
      <c r="C2822" t="s">
        <v>28</v>
      </c>
      <c r="D2822" t="s">
        <v>449</v>
      </c>
      <c r="E2822" t="s">
        <v>8</v>
      </c>
      <c r="F2822" t="s">
        <v>234</v>
      </c>
      <c r="G2822" t="s">
        <v>452</v>
      </c>
      <c r="H2822" t="s">
        <v>453</v>
      </c>
      <c r="I2822" t="s">
        <v>454</v>
      </c>
    </row>
    <row r="2823" spans="1:9" x14ac:dyDescent="0.25">
      <c r="A2823" s="1" t="str">
        <f>HYPERLINK("https://lynxcrm-apac--c.eu19.visual.force.com/0011i000001xo3gAAA","Lim, Chong Sian")</f>
        <v>Lim, Chong Sian</v>
      </c>
      <c r="B2823" t="s">
        <v>5884</v>
      </c>
      <c r="C2823" t="s">
        <v>28</v>
      </c>
      <c r="D2823" t="s">
        <v>5885</v>
      </c>
      <c r="E2823" t="s">
        <v>8</v>
      </c>
      <c r="F2823" t="s">
        <v>69</v>
      </c>
      <c r="G2823" t="s">
        <v>5886</v>
      </c>
      <c r="H2823" t="s">
        <v>5887</v>
      </c>
      <c r="I2823" t="s">
        <v>67</v>
      </c>
    </row>
    <row r="2824" spans="1:9" x14ac:dyDescent="0.25">
      <c r="A2824" s="1" t="str">
        <f>HYPERLINK("https://lynxcrm-apac--c.eu19.visual.force.com/0011i000001xoWOAAY","Lim, Chong Sing")</f>
        <v>Lim, Chong Sing</v>
      </c>
      <c r="B2824" t="s">
        <v>5888</v>
      </c>
      <c r="C2824" t="s">
        <v>28</v>
      </c>
      <c r="D2824" t="s">
        <v>5889</v>
      </c>
      <c r="E2824" t="s">
        <v>8</v>
      </c>
      <c r="F2824" t="s">
        <v>5890</v>
      </c>
      <c r="G2824" t="s">
        <v>5890</v>
      </c>
      <c r="H2824" t="s">
        <v>5891</v>
      </c>
      <c r="I2824" t="s">
        <v>5892</v>
      </c>
    </row>
    <row r="2825" spans="1:9" x14ac:dyDescent="0.25">
      <c r="A2825" s="1" t="str">
        <f>HYPERLINK("https://lynxcrm-apac--c.eu19.visual.force.com/0011i000001xnfwAAA","Lim, Chong Teck")</f>
        <v>Lim, Chong Teck</v>
      </c>
      <c r="B2825" t="s">
        <v>5893</v>
      </c>
      <c r="C2825" t="s">
        <v>28</v>
      </c>
      <c r="D2825" t="s">
        <v>5894</v>
      </c>
      <c r="E2825" t="s">
        <v>8</v>
      </c>
      <c r="F2825" t="s">
        <v>69</v>
      </c>
      <c r="G2825" t="s">
        <v>5895</v>
      </c>
      <c r="H2825" t="s">
        <v>5896</v>
      </c>
      <c r="I2825" t="s">
        <v>67</v>
      </c>
    </row>
    <row r="2826" spans="1:9" x14ac:dyDescent="0.25">
      <c r="A2826" s="1" t="str">
        <f>HYPERLINK("https://lynxcrm-apac--c.eu19.visual.force.com/0011i000001xnvSAAQ","Lim, Choo Gee")</f>
        <v>Lim, Choo Gee</v>
      </c>
      <c r="B2826" t="s">
        <v>5897</v>
      </c>
      <c r="C2826" t="s">
        <v>28</v>
      </c>
      <c r="D2826" t="s">
        <v>251</v>
      </c>
      <c r="E2826" t="s">
        <v>8</v>
      </c>
      <c r="F2826" t="s">
        <v>241</v>
      </c>
      <c r="G2826" t="s">
        <v>252</v>
      </c>
      <c r="H2826" t="s">
        <v>252</v>
      </c>
      <c r="I2826" t="s">
        <v>253</v>
      </c>
    </row>
    <row r="2827" spans="1:9" x14ac:dyDescent="0.25">
      <c r="A2827" s="1" t="str">
        <f>HYPERLINK("https://lynxcrm-apac--c.eu19.visual.force.com/0011i000001xoCJAAY","Lim, Choon Bu")</f>
        <v>Lim, Choon Bu</v>
      </c>
      <c r="B2827" t="s">
        <v>5898</v>
      </c>
      <c r="C2827" t="s">
        <v>28</v>
      </c>
      <c r="D2827" t="s">
        <v>3271</v>
      </c>
      <c r="E2827" t="s">
        <v>8</v>
      </c>
      <c r="F2827" t="s">
        <v>5899</v>
      </c>
      <c r="G2827" t="s">
        <v>5900</v>
      </c>
      <c r="H2827" t="s">
        <v>5900</v>
      </c>
      <c r="I2827" t="s">
        <v>5901</v>
      </c>
    </row>
    <row r="2828" spans="1:9" x14ac:dyDescent="0.25">
      <c r="A2828" s="1" t="str">
        <f>HYPERLINK("https://lynxcrm-apac--c.eu19.visual.force.com/0011i000001xnfYAAQ","Lim, Chung Khee Martin")</f>
        <v>Lim, Chung Khee Martin</v>
      </c>
      <c r="B2828" t="s">
        <v>5902</v>
      </c>
      <c r="C2828" t="s">
        <v>28</v>
      </c>
      <c r="D2828" t="s">
        <v>5903</v>
      </c>
      <c r="E2828" t="s">
        <v>8</v>
      </c>
      <c r="F2828" t="s">
        <v>5904</v>
      </c>
      <c r="G2828" t="s">
        <v>5905</v>
      </c>
      <c r="H2828" t="s">
        <v>5906</v>
      </c>
      <c r="I2828" t="s">
        <v>5907</v>
      </c>
    </row>
    <row r="2829" spans="1:9" x14ac:dyDescent="0.25">
      <c r="A2829" s="1" t="str">
        <f>HYPERLINK("https://lynxcrm-apac--c.eu19.visual.force.com/0011i000001xng5AAA","Lim, Chun Leng Michael")</f>
        <v>Lim, Chun Leng Michael</v>
      </c>
      <c r="B2829" t="s">
        <v>5908</v>
      </c>
      <c r="C2829" t="s">
        <v>28</v>
      </c>
      <c r="D2829" t="s">
        <v>5909</v>
      </c>
      <c r="E2829" t="s">
        <v>8</v>
      </c>
      <c r="F2829" t="s">
        <v>317</v>
      </c>
      <c r="G2829" t="s">
        <v>2105</v>
      </c>
      <c r="H2829" t="s">
        <v>5910</v>
      </c>
      <c r="I2829" t="s">
        <v>85</v>
      </c>
    </row>
    <row r="2830" spans="1:9" x14ac:dyDescent="0.25">
      <c r="A2830" s="1" t="str">
        <f>HYPERLINK("https://lynxcrm-apac--c.eu19.visual.force.com/0011i000001xoCLAAY","Lim, Chun Liat Malcom")</f>
        <v>Lim, Chun Liat Malcom</v>
      </c>
      <c r="B2830" t="s">
        <v>5911</v>
      </c>
      <c r="C2830" t="s">
        <v>28</v>
      </c>
      <c r="D2830" t="s">
        <v>5912</v>
      </c>
      <c r="E2830" t="s">
        <v>8</v>
      </c>
      <c r="F2830" t="s">
        <v>715</v>
      </c>
      <c r="G2830" t="s">
        <v>716</v>
      </c>
      <c r="H2830" t="s">
        <v>716</v>
      </c>
      <c r="I2830" t="s">
        <v>717</v>
      </c>
    </row>
    <row r="2831" spans="1:9" x14ac:dyDescent="0.25">
      <c r="A2831" s="1" t="str">
        <f>HYPERLINK("https://lynxcrm-apac--c.eu19.visual.force.com/0011i000001xoGJAAY","Lim, Ciwei Cynthia")</f>
        <v>Lim, Ciwei Cynthia</v>
      </c>
      <c r="B2831" t="s">
        <v>5913</v>
      </c>
      <c r="C2831" t="s">
        <v>28</v>
      </c>
      <c r="D2831" t="s">
        <v>251</v>
      </c>
      <c r="E2831" t="s">
        <v>8</v>
      </c>
      <c r="F2831" t="s">
        <v>2128</v>
      </c>
      <c r="G2831" t="s">
        <v>252</v>
      </c>
      <c r="H2831" t="s">
        <v>858</v>
      </c>
      <c r="I2831" t="s">
        <v>253</v>
      </c>
    </row>
    <row r="2832" spans="1:9" x14ac:dyDescent="0.25">
      <c r="A2832" s="1" t="str">
        <f>HYPERLINK("https://lynxcrm-apac--c.eu19.visual.force.com/0011i000001xoZFAAY","Lim, D")</f>
        <v>Lim, D</v>
      </c>
      <c r="B2832" t="s">
        <v>5914</v>
      </c>
      <c r="C2832" t="s">
        <v>28</v>
      </c>
      <c r="D2832" t="s">
        <v>1661</v>
      </c>
      <c r="E2832" t="s">
        <v>8</v>
      </c>
      <c r="F2832" t="s">
        <v>627</v>
      </c>
      <c r="G2832" t="s">
        <v>628</v>
      </c>
      <c r="H2832" t="s">
        <v>628</v>
      </c>
      <c r="I2832" t="s">
        <v>624</v>
      </c>
    </row>
    <row r="2833" spans="1:9" x14ac:dyDescent="0.25">
      <c r="A2833" s="1" t="str">
        <f>HYPERLINK("https://lynxcrm-apac--c.eu19.visual.force.com/0011i000001xogmAAA","Lim, Darren")</f>
        <v>Lim, Darren</v>
      </c>
      <c r="B2833" t="s">
        <v>5915</v>
      </c>
      <c r="C2833" t="s">
        <v>28</v>
      </c>
      <c r="D2833" t="s">
        <v>5916</v>
      </c>
      <c r="E2833" t="s">
        <v>8</v>
      </c>
      <c r="F2833" t="s">
        <v>719</v>
      </c>
      <c r="G2833" t="s">
        <v>720</v>
      </c>
      <c r="H2833" t="s">
        <v>720</v>
      </c>
      <c r="I2833" t="s">
        <v>721</v>
      </c>
    </row>
    <row r="2834" spans="1:9" x14ac:dyDescent="0.25">
      <c r="A2834" s="1" t="str">
        <f>HYPERLINK("https://lynxcrm-apac--c.eu19.visual.force.com/0011i000001xogmAAA","Lim, Darren")</f>
        <v>Lim, Darren</v>
      </c>
      <c r="B2834" t="s">
        <v>5915</v>
      </c>
      <c r="C2834" t="s">
        <v>28</v>
      </c>
      <c r="D2834" t="s">
        <v>5916</v>
      </c>
      <c r="E2834" t="s">
        <v>8</v>
      </c>
      <c r="F2834" t="s">
        <v>724</v>
      </c>
      <c r="G2834" t="s">
        <v>725</v>
      </c>
      <c r="H2834" t="s">
        <v>725</v>
      </c>
      <c r="I2834" t="s">
        <v>726</v>
      </c>
    </row>
    <row r="2835" spans="1:9" x14ac:dyDescent="0.25">
      <c r="A2835" s="1" t="str">
        <f>HYPERLINK("https://lynxcrm-apac--c.eu19.visual.force.com/0011i00000Xf1GnAAJ","Lim, Elaine")</f>
        <v>Lim, Elaine</v>
      </c>
      <c r="B2835" t="s">
        <v>5917</v>
      </c>
      <c r="C2835" t="s">
        <v>28</v>
      </c>
      <c r="D2835" t="s">
        <v>2027</v>
      </c>
      <c r="E2835" t="s">
        <v>8</v>
      </c>
      <c r="F2835" t="s">
        <v>2028</v>
      </c>
      <c r="G2835" t="s">
        <v>2029</v>
      </c>
      <c r="H2835" t="s">
        <v>8</v>
      </c>
      <c r="I2835" t="s">
        <v>488</v>
      </c>
    </row>
    <row r="2836" spans="1:9" x14ac:dyDescent="0.25">
      <c r="A2836" s="1" t="str">
        <f>HYPERLINK("https://lynxcrm-apac--c.eu19.visual.force.com/0011i000001xo06AAA","Lim, Eng Kuang")</f>
        <v>Lim, Eng Kuang</v>
      </c>
      <c r="B2836" t="s">
        <v>5918</v>
      </c>
      <c r="C2836" t="s">
        <v>28</v>
      </c>
      <c r="D2836" t="s">
        <v>1661</v>
      </c>
      <c r="E2836" t="s">
        <v>8</v>
      </c>
      <c r="F2836" t="s">
        <v>627</v>
      </c>
      <c r="G2836" t="s">
        <v>628</v>
      </c>
      <c r="H2836" t="s">
        <v>628</v>
      </c>
      <c r="I2836" t="s">
        <v>624</v>
      </c>
    </row>
    <row r="2837" spans="1:9" x14ac:dyDescent="0.25">
      <c r="A2837" s="1" t="str">
        <f>HYPERLINK("https://lynxcrm-apac--c.eu19.visual.force.com/0011i000001xngdAAA","Lim, Fang Kiat Colin")</f>
        <v>Lim, Fang Kiat Colin</v>
      </c>
      <c r="B2837" t="s">
        <v>5919</v>
      </c>
      <c r="C2837" t="s">
        <v>28</v>
      </c>
      <c r="D2837" t="s">
        <v>5920</v>
      </c>
      <c r="E2837" t="s">
        <v>8</v>
      </c>
      <c r="F2837" t="s">
        <v>3225</v>
      </c>
      <c r="G2837" t="s">
        <v>3226</v>
      </c>
      <c r="H2837" t="s">
        <v>3226</v>
      </c>
      <c r="I2837" t="s">
        <v>3227</v>
      </c>
    </row>
    <row r="2838" spans="1:9" x14ac:dyDescent="0.25">
      <c r="A2838" s="1" t="str">
        <f>HYPERLINK("https://lynxcrm-apac--c.eu19.visual.force.com/0011i000001xoCPAAY","Lim, Fong Seng")</f>
        <v>Lim, Fong Seng</v>
      </c>
      <c r="B2838" t="s">
        <v>5921</v>
      </c>
      <c r="C2838" t="s">
        <v>28</v>
      </c>
      <c r="D2838" t="s">
        <v>91</v>
      </c>
      <c r="E2838" t="s">
        <v>8</v>
      </c>
      <c r="F2838" t="s">
        <v>90</v>
      </c>
      <c r="G2838" t="s">
        <v>90</v>
      </c>
      <c r="H2838" t="s">
        <v>8</v>
      </c>
      <c r="I2838" t="s">
        <v>92</v>
      </c>
    </row>
    <row r="2839" spans="1:9" x14ac:dyDescent="0.25">
      <c r="A2839" s="1" t="str">
        <f>HYPERLINK("https://lynxcrm-apac--c.eu19.visual.force.com/0011i000001xoCPAAY","Lim, Fong Seng")</f>
        <v>Lim, Fong Seng</v>
      </c>
      <c r="B2839" t="s">
        <v>5921</v>
      </c>
      <c r="C2839" t="s">
        <v>28</v>
      </c>
      <c r="D2839" t="s">
        <v>520</v>
      </c>
      <c r="E2839" t="s">
        <v>8</v>
      </c>
      <c r="F2839" t="s">
        <v>90</v>
      </c>
      <c r="G2839" t="s">
        <v>521</v>
      </c>
      <c r="H2839" t="s">
        <v>521</v>
      </c>
      <c r="I2839" t="s">
        <v>92</v>
      </c>
    </row>
    <row r="2840" spans="1:9" x14ac:dyDescent="0.25">
      <c r="A2840" s="1" t="str">
        <f>HYPERLINK("https://lynxcrm-apac--c.eu19.visual.force.com/0011i000001xnklAAA","Lim, Gary")</f>
        <v>Lim, Gary</v>
      </c>
      <c r="B2840" t="s">
        <v>5922</v>
      </c>
      <c r="C2840" t="s">
        <v>28</v>
      </c>
      <c r="D2840" t="s">
        <v>5923</v>
      </c>
      <c r="E2840" t="s">
        <v>8</v>
      </c>
      <c r="F2840" t="s">
        <v>1957</v>
      </c>
      <c r="G2840" t="s">
        <v>1958</v>
      </c>
      <c r="H2840" t="s">
        <v>1958</v>
      </c>
      <c r="I2840" t="s">
        <v>1959</v>
      </c>
    </row>
    <row r="2841" spans="1:9" x14ac:dyDescent="0.25">
      <c r="A2841" s="1" t="str">
        <f>HYPERLINK("https://lynxcrm-apac--c.eu19.visual.force.com/0011i000001xoCNAAY","Lim, Gek Muay")</f>
        <v>Lim, Gek Muay</v>
      </c>
      <c r="B2841" t="s">
        <v>5924</v>
      </c>
      <c r="C2841" t="s">
        <v>28</v>
      </c>
      <c r="D2841" t="s">
        <v>1164</v>
      </c>
      <c r="E2841" t="s">
        <v>8</v>
      </c>
      <c r="F2841" t="s">
        <v>1165</v>
      </c>
      <c r="G2841" t="s">
        <v>1166</v>
      </c>
      <c r="H2841" t="s">
        <v>1166</v>
      </c>
      <c r="I2841" t="s">
        <v>1167</v>
      </c>
    </row>
    <row r="2842" spans="1:9" x14ac:dyDescent="0.25">
      <c r="A2842" s="1" t="str">
        <f>HYPERLINK("https://lynxcrm-apac--c.eu19.visual.force.com/0011i000001xoCNAAY","Lim, Gek Muay")</f>
        <v>Lim, Gek Muay</v>
      </c>
      <c r="B2842" t="s">
        <v>5924</v>
      </c>
      <c r="C2842" t="s">
        <v>28</v>
      </c>
      <c r="D2842" t="s">
        <v>1164</v>
      </c>
      <c r="E2842" t="s">
        <v>8</v>
      </c>
      <c r="F2842" t="s">
        <v>1165</v>
      </c>
      <c r="G2842" t="s">
        <v>1165</v>
      </c>
      <c r="H2842" t="s">
        <v>3621</v>
      </c>
      <c r="I2842" t="s">
        <v>1167</v>
      </c>
    </row>
    <row r="2843" spans="1:9" x14ac:dyDescent="0.25">
      <c r="A2843" s="1" t="str">
        <f>HYPERLINK("https://lynxcrm-apac--c.eu19.visual.force.com/0011i000001xnghAAA","Lim, Geok Leong")</f>
        <v>Lim, Geok Leong</v>
      </c>
      <c r="B2843" t="s">
        <v>5925</v>
      </c>
      <c r="C2843" t="s">
        <v>28</v>
      </c>
      <c r="D2843" t="s">
        <v>5926</v>
      </c>
      <c r="E2843" t="s">
        <v>8</v>
      </c>
      <c r="F2843" t="s">
        <v>1086</v>
      </c>
      <c r="G2843" t="s">
        <v>1087</v>
      </c>
      <c r="H2843" t="s">
        <v>1088</v>
      </c>
      <c r="I2843" t="s">
        <v>1089</v>
      </c>
    </row>
    <row r="2844" spans="1:9" x14ac:dyDescent="0.25">
      <c r="A2844" s="1" t="str">
        <f>HYPERLINK("https://lynxcrm-apac--c.eu19.visual.force.com/0011i000001xnhPAAQ","Lim, Gillian")</f>
        <v>Lim, Gillian</v>
      </c>
      <c r="B2844" t="s">
        <v>5927</v>
      </c>
      <c r="C2844" t="s">
        <v>28</v>
      </c>
      <c r="D2844" t="s">
        <v>815</v>
      </c>
      <c r="E2844" t="s">
        <v>8</v>
      </c>
      <c r="F2844" t="s">
        <v>816</v>
      </c>
      <c r="G2844" t="s">
        <v>815</v>
      </c>
      <c r="H2844" t="s">
        <v>815</v>
      </c>
      <c r="I2844" t="s">
        <v>817</v>
      </c>
    </row>
    <row r="2845" spans="1:9" x14ac:dyDescent="0.25">
      <c r="A2845" s="1" t="str">
        <f>HYPERLINK("https://lynxcrm-apac--c.eu19.visual.force.com/0011i000001xoLJAAY","Lim, Gordon")</f>
        <v>Lim, Gordon</v>
      </c>
      <c r="B2845" t="s">
        <v>5928</v>
      </c>
      <c r="C2845" t="s">
        <v>28</v>
      </c>
      <c r="D2845" t="s">
        <v>5929</v>
      </c>
      <c r="E2845" t="s">
        <v>8</v>
      </c>
      <c r="F2845" t="s">
        <v>69</v>
      </c>
      <c r="G2845" t="s">
        <v>3638</v>
      </c>
      <c r="H2845" t="s">
        <v>3639</v>
      </c>
      <c r="I2845" t="s">
        <v>67</v>
      </c>
    </row>
    <row r="2846" spans="1:9" x14ac:dyDescent="0.25">
      <c r="A2846" s="1" t="str">
        <f>HYPERLINK("https://lynxcrm-apac--c.eu19.visual.force.com/0011i000001xngjAAA","Lim, Heng Lee Lawrence")</f>
        <v>Lim, Heng Lee Lawrence</v>
      </c>
      <c r="B2846" t="s">
        <v>5930</v>
      </c>
      <c r="C2846" t="s">
        <v>28</v>
      </c>
      <c r="D2846" t="s">
        <v>5931</v>
      </c>
      <c r="E2846" t="s">
        <v>8</v>
      </c>
      <c r="F2846" t="s">
        <v>5932</v>
      </c>
      <c r="G2846" t="s">
        <v>1917</v>
      </c>
      <c r="H2846" t="s">
        <v>1917</v>
      </c>
      <c r="I2846" t="s">
        <v>5933</v>
      </c>
    </row>
    <row r="2847" spans="1:9" x14ac:dyDescent="0.25">
      <c r="A2847" s="1" t="str">
        <f>HYPERLINK("https://lynxcrm-apac--c.eu19.visual.force.com/0011i000001xnglAAA","Lim, Heng Wei")</f>
        <v>Lim, Heng Wei</v>
      </c>
      <c r="B2847" t="s">
        <v>5934</v>
      </c>
      <c r="C2847" t="s">
        <v>28</v>
      </c>
      <c r="D2847" t="s">
        <v>5935</v>
      </c>
      <c r="E2847" t="s">
        <v>8</v>
      </c>
      <c r="F2847" t="s">
        <v>2993</v>
      </c>
      <c r="G2847" t="s">
        <v>3922</v>
      </c>
      <c r="H2847" t="s">
        <v>3923</v>
      </c>
      <c r="I2847" t="s">
        <v>2996</v>
      </c>
    </row>
    <row r="2848" spans="1:9" x14ac:dyDescent="0.25">
      <c r="A2848" s="1" t="str">
        <f>HYPERLINK("https://lynxcrm-apac--c.eu19.visual.force.com/0011i000001xoItAAI","Lim, Heuk Yew")</f>
        <v>Lim, Heuk Yew</v>
      </c>
      <c r="B2848" t="s">
        <v>5936</v>
      </c>
      <c r="C2848" t="s">
        <v>28</v>
      </c>
      <c r="D2848" t="s">
        <v>5937</v>
      </c>
      <c r="E2848" t="s">
        <v>8</v>
      </c>
      <c r="F2848" t="s">
        <v>5938</v>
      </c>
      <c r="G2848" t="s">
        <v>5939</v>
      </c>
      <c r="H2848" t="s">
        <v>5940</v>
      </c>
      <c r="I2848" t="s">
        <v>2126</v>
      </c>
    </row>
    <row r="2849" spans="1:9" x14ac:dyDescent="0.25">
      <c r="A2849" s="1" t="str">
        <f>HYPERLINK("https://lynxcrm-apac--c.eu19.visual.force.com/0011i000001xoCZAAY","Lim, Hong Mui")</f>
        <v>Lim, Hong Mui</v>
      </c>
      <c r="B2849" t="s">
        <v>5941</v>
      </c>
      <c r="C2849" t="s">
        <v>28</v>
      </c>
      <c r="D2849" t="s">
        <v>5942</v>
      </c>
      <c r="E2849" t="s">
        <v>8</v>
      </c>
      <c r="F2849" t="s">
        <v>974</v>
      </c>
      <c r="G2849" t="s">
        <v>4221</v>
      </c>
      <c r="H2849" t="s">
        <v>4221</v>
      </c>
      <c r="I2849" t="s">
        <v>977</v>
      </c>
    </row>
    <row r="2850" spans="1:9" x14ac:dyDescent="0.25">
      <c r="A2850" s="1" t="str">
        <f>HYPERLINK("https://lynxcrm-apac--c.eu19.visual.force.com/0011i000001xnfsAAA","Lim, Hsin Loh")</f>
        <v>Lim, Hsin Loh</v>
      </c>
      <c r="B2850" t="s">
        <v>5943</v>
      </c>
      <c r="C2850" t="s">
        <v>28</v>
      </c>
      <c r="D2850" t="s">
        <v>5944</v>
      </c>
      <c r="E2850" t="s">
        <v>8</v>
      </c>
      <c r="F2850" t="s">
        <v>377</v>
      </c>
      <c r="G2850" t="s">
        <v>5945</v>
      </c>
      <c r="H2850" t="s">
        <v>5946</v>
      </c>
      <c r="I2850" t="s">
        <v>123</v>
      </c>
    </row>
    <row r="2851" spans="1:9" x14ac:dyDescent="0.25">
      <c r="A2851" s="1" t="str">
        <f>HYPERLINK("https://lynxcrm-apac--c.eu19.visual.force.com/0011i000001xoVQAAY","Lim, Hsiu Yih France")</f>
        <v>Lim, Hsiu Yih France</v>
      </c>
      <c r="B2851" t="s">
        <v>5947</v>
      </c>
      <c r="C2851" t="s">
        <v>28</v>
      </c>
      <c r="D2851" t="s">
        <v>5948</v>
      </c>
      <c r="E2851" t="s">
        <v>8</v>
      </c>
      <c r="F2851" t="s">
        <v>279</v>
      </c>
      <c r="G2851" t="s">
        <v>280</v>
      </c>
      <c r="H2851" t="s">
        <v>280</v>
      </c>
      <c r="I2851" t="s">
        <v>101</v>
      </c>
    </row>
    <row r="2852" spans="1:9" x14ac:dyDescent="0.25">
      <c r="A2852" s="1" t="str">
        <f>HYPERLINK("https://lynxcrm-apac--c.eu19.visual.force.com/0011i000001xnfnAAA","Lim, Hui Pheng")</f>
        <v>Lim, Hui Pheng</v>
      </c>
      <c r="B2852" t="s">
        <v>5949</v>
      </c>
      <c r="C2852" t="s">
        <v>28</v>
      </c>
      <c r="D2852" t="s">
        <v>4351</v>
      </c>
      <c r="E2852" t="s">
        <v>8</v>
      </c>
      <c r="F2852" t="s">
        <v>469</v>
      </c>
      <c r="G2852" t="s">
        <v>4352</v>
      </c>
      <c r="H2852" t="s">
        <v>66</v>
      </c>
      <c r="I2852" t="s">
        <v>67</v>
      </c>
    </row>
    <row r="2853" spans="1:9" x14ac:dyDescent="0.25">
      <c r="A2853" s="1" t="str">
        <f>HYPERLINK("https://lynxcrm-apac--c.eu19.visual.force.com/0011i000001xoFYAAY","Lim, Ing Haan")</f>
        <v>Lim, Ing Haan</v>
      </c>
      <c r="B2853" t="s">
        <v>5950</v>
      </c>
      <c r="C2853" t="s">
        <v>28</v>
      </c>
      <c r="D2853" t="s">
        <v>5951</v>
      </c>
      <c r="E2853" t="s">
        <v>8</v>
      </c>
      <c r="F2853" t="s">
        <v>5952</v>
      </c>
      <c r="G2853" t="s">
        <v>121</v>
      </c>
      <c r="H2853" t="s">
        <v>5953</v>
      </c>
      <c r="I2853" t="s">
        <v>123</v>
      </c>
    </row>
    <row r="2854" spans="1:9" x14ac:dyDescent="0.25">
      <c r="A2854" s="1" t="str">
        <f>HYPERLINK("https://lynxcrm-apac--c.eu19.visual.force.com/0011i000001xoBaAAI","Lim, Jen Pei")</f>
        <v>Lim, Jen Pei</v>
      </c>
      <c r="B2854" t="s">
        <v>5954</v>
      </c>
      <c r="C2854" t="s">
        <v>28</v>
      </c>
      <c r="D2854" t="s">
        <v>516</v>
      </c>
      <c r="E2854" t="s">
        <v>8</v>
      </c>
      <c r="F2854" t="s">
        <v>3046</v>
      </c>
      <c r="G2854" t="s">
        <v>3046</v>
      </c>
      <c r="H2854" t="s">
        <v>3047</v>
      </c>
      <c r="I2854" t="s">
        <v>518</v>
      </c>
    </row>
    <row r="2855" spans="1:9" x14ac:dyDescent="0.25">
      <c r="A2855" s="1" t="str">
        <f>HYPERLINK("https://lynxcrm-apac--c.eu19.visual.force.com/0011i000001xoBaAAI","Lim, Jen Pei")</f>
        <v>Lim, Jen Pei</v>
      </c>
      <c r="B2855" t="s">
        <v>5954</v>
      </c>
      <c r="C2855" t="s">
        <v>28</v>
      </c>
      <c r="D2855" t="s">
        <v>516</v>
      </c>
      <c r="E2855" t="s">
        <v>8</v>
      </c>
      <c r="F2855" t="s">
        <v>517</v>
      </c>
      <c r="G2855" t="s">
        <v>517</v>
      </c>
      <c r="H2855" t="s">
        <v>8</v>
      </c>
      <c r="I2855" t="s">
        <v>518</v>
      </c>
    </row>
    <row r="2856" spans="1:9" x14ac:dyDescent="0.25">
      <c r="A2856" s="1" t="str">
        <f>HYPERLINK("https://lynxcrm-apac--c.eu19.visual.force.com/0011i000002Id9jAAC","Lim, Jiak Woon")</f>
        <v>Lim, Jiak Woon</v>
      </c>
      <c r="B2856" t="s">
        <v>5955</v>
      </c>
      <c r="C2856" t="s">
        <v>28</v>
      </c>
      <c r="D2856" t="s">
        <v>2390</v>
      </c>
      <c r="E2856" t="s">
        <v>8</v>
      </c>
      <c r="F2856" t="s">
        <v>5956</v>
      </c>
      <c r="G2856" t="s">
        <v>5957</v>
      </c>
      <c r="H2856" t="s">
        <v>5957</v>
      </c>
      <c r="I2856" t="s">
        <v>5958</v>
      </c>
    </row>
    <row r="2857" spans="1:9" x14ac:dyDescent="0.25">
      <c r="A2857" s="1" t="str">
        <f>HYPERLINK("https://lynxcrm-apac--c.eu19.visual.force.com/0011i000001xonSAAQ","Lim, Jia Yang")</f>
        <v>Lim, Jia Yang</v>
      </c>
      <c r="B2857" t="s">
        <v>5959</v>
      </c>
      <c r="C2857" t="s">
        <v>28</v>
      </c>
      <c r="D2857" t="s">
        <v>3420</v>
      </c>
      <c r="E2857" t="s">
        <v>8</v>
      </c>
      <c r="F2857" t="s">
        <v>5960</v>
      </c>
      <c r="G2857" t="s">
        <v>944</v>
      </c>
      <c r="H2857" t="s">
        <v>944</v>
      </c>
      <c r="I2857" t="s">
        <v>4508</v>
      </c>
    </row>
    <row r="2858" spans="1:9" x14ac:dyDescent="0.25">
      <c r="A2858" s="1" t="str">
        <f>HYPERLINK("https://lynxcrm-apac--c.eu19.visual.force.com/0011i00000raslHAAQ","Lim, Jing Yi")</f>
        <v>Lim, Jing Yi</v>
      </c>
      <c r="B2858" t="s">
        <v>5961</v>
      </c>
      <c r="C2858" t="s">
        <v>28</v>
      </c>
      <c r="D2858" t="s">
        <v>8</v>
      </c>
      <c r="E2858" t="s">
        <v>8</v>
      </c>
      <c r="F2858" t="s">
        <v>753</v>
      </c>
      <c r="G2858" t="s">
        <v>929</v>
      </c>
      <c r="H2858" t="s">
        <v>139</v>
      </c>
      <c r="I2858" t="s">
        <v>137</v>
      </c>
    </row>
    <row r="2859" spans="1:9" x14ac:dyDescent="0.25">
      <c r="A2859" s="1" t="str">
        <f>HYPERLINK("https://lynxcrm-apac--c.eu19.visual.force.com/0011i00000raslHAAQ","Lim, Jing Yi")</f>
        <v>Lim, Jing Yi</v>
      </c>
      <c r="B2859" t="s">
        <v>5961</v>
      </c>
      <c r="C2859" t="s">
        <v>28</v>
      </c>
      <c r="D2859" t="s">
        <v>928</v>
      </c>
      <c r="E2859" t="s">
        <v>8</v>
      </c>
      <c r="F2859" t="s">
        <v>753</v>
      </c>
      <c r="G2859" t="s">
        <v>929</v>
      </c>
      <c r="H2859" t="s">
        <v>139</v>
      </c>
      <c r="I2859" t="s">
        <v>137</v>
      </c>
    </row>
    <row r="2860" spans="1:9" x14ac:dyDescent="0.25">
      <c r="A2860" s="1" t="str">
        <f>HYPERLINK("https://lynxcrm-apac--c.eu19.visual.force.com/0011i000001xnhGAAQ","Lim, Jit Biaw Benny")</f>
        <v>Lim, Jit Biaw Benny</v>
      </c>
      <c r="B2860" t="s">
        <v>5962</v>
      </c>
      <c r="C2860" t="s">
        <v>28</v>
      </c>
      <c r="D2860" t="s">
        <v>5963</v>
      </c>
      <c r="E2860" t="s">
        <v>8</v>
      </c>
      <c r="F2860" t="s">
        <v>407</v>
      </c>
      <c r="G2860" t="s">
        <v>2392</v>
      </c>
      <c r="H2860" t="s">
        <v>5964</v>
      </c>
      <c r="I2860" t="s">
        <v>410</v>
      </c>
    </row>
    <row r="2861" spans="1:9" x14ac:dyDescent="0.25">
      <c r="A2861" s="1" t="str">
        <f>HYPERLINK("https://lynxcrm-apac--c.eu19.visual.force.com/0011i000001xoPcAAI","Lim, Jit Fong")</f>
        <v>Lim, Jit Fong</v>
      </c>
      <c r="B2861" t="s">
        <v>5965</v>
      </c>
      <c r="C2861" t="s">
        <v>28</v>
      </c>
      <c r="D2861" t="s">
        <v>5966</v>
      </c>
      <c r="E2861" t="s">
        <v>8</v>
      </c>
      <c r="F2861" t="s">
        <v>2786</v>
      </c>
      <c r="G2861" t="s">
        <v>65</v>
      </c>
      <c r="H2861" t="s">
        <v>65</v>
      </c>
      <c r="I2861" t="s">
        <v>67</v>
      </c>
    </row>
    <row r="2862" spans="1:9" x14ac:dyDescent="0.25">
      <c r="A2862" s="1" t="str">
        <f>HYPERLINK("https://lynxcrm-apac--c.eu19.visual.force.com/0011i000001xoeYAAQ","Lim, Jit Kheng")</f>
        <v>Lim, Jit Kheng</v>
      </c>
      <c r="B2862" t="s">
        <v>5967</v>
      </c>
      <c r="C2862" t="s">
        <v>28</v>
      </c>
      <c r="D2862" t="s">
        <v>5968</v>
      </c>
      <c r="E2862" t="s">
        <v>8</v>
      </c>
      <c r="F2862" t="s">
        <v>377</v>
      </c>
      <c r="G2862" t="s">
        <v>5969</v>
      </c>
      <c r="H2862" t="s">
        <v>5970</v>
      </c>
      <c r="I2862" t="s">
        <v>123</v>
      </c>
    </row>
    <row r="2863" spans="1:9" x14ac:dyDescent="0.25">
      <c r="A2863" s="1" t="str">
        <f>HYPERLINK("https://lynxcrm-apac--c.eu19.visual.force.com/0011i000001xnhHAAQ","Lim, Jiun Jye")</f>
        <v>Lim, Jiun Jye</v>
      </c>
      <c r="B2863" t="s">
        <v>5971</v>
      </c>
      <c r="C2863" t="s">
        <v>28</v>
      </c>
      <c r="D2863" t="s">
        <v>5972</v>
      </c>
      <c r="E2863" t="s">
        <v>8</v>
      </c>
      <c r="F2863" t="s">
        <v>2755</v>
      </c>
      <c r="G2863" t="s">
        <v>2755</v>
      </c>
      <c r="H2863" t="s">
        <v>8</v>
      </c>
      <c r="I2863" t="s">
        <v>2756</v>
      </c>
    </row>
    <row r="2864" spans="1:9" x14ac:dyDescent="0.25">
      <c r="A2864" s="1" t="str">
        <f>HYPERLINK("https://lynxcrm-apac--c.eu19.visual.force.com/0011i000001xoSDAAY","Lim, Jonathan")</f>
        <v>Lim, Jonathan</v>
      </c>
      <c r="B2864" t="s">
        <v>5973</v>
      </c>
      <c r="C2864" t="s">
        <v>28</v>
      </c>
      <c r="D2864" t="s">
        <v>5974</v>
      </c>
      <c r="E2864" t="s">
        <v>8</v>
      </c>
      <c r="F2864" t="s">
        <v>69</v>
      </c>
      <c r="G2864" t="s">
        <v>4890</v>
      </c>
      <c r="H2864" t="s">
        <v>66</v>
      </c>
      <c r="I2864" t="s">
        <v>67</v>
      </c>
    </row>
    <row r="2865" spans="1:9" x14ac:dyDescent="0.25">
      <c r="A2865" s="1" t="str">
        <f>HYPERLINK("https://lynxcrm-apac--c.eu19.visual.force.com/0011i00000ufvOSAAY","Lim, Jordan Yu Jin")</f>
        <v>Lim, Jordan Yu Jin</v>
      </c>
      <c r="B2865" t="s">
        <v>5975</v>
      </c>
      <c r="C2865" t="s">
        <v>28</v>
      </c>
      <c r="D2865" t="s">
        <v>5976</v>
      </c>
      <c r="E2865" t="s">
        <v>8</v>
      </c>
      <c r="F2865" t="s">
        <v>4916</v>
      </c>
      <c r="G2865" t="s">
        <v>4917</v>
      </c>
      <c r="H2865" t="s">
        <v>8</v>
      </c>
      <c r="I2865" t="s">
        <v>1783</v>
      </c>
    </row>
    <row r="2866" spans="1:9" x14ac:dyDescent="0.25">
      <c r="A2866" s="1" t="str">
        <f>HYPERLINK("https://lynxcrm-apac--c.eu19.visual.force.com/0011i000001xnhOAAQ","Lim, Kah Beng")</f>
        <v>Lim, Kah Beng</v>
      </c>
      <c r="B2866" t="s">
        <v>5977</v>
      </c>
      <c r="C2866" t="s">
        <v>28</v>
      </c>
      <c r="D2866" t="s">
        <v>5978</v>
      </c>
      <c r="E2866" t="s">
        <v>8</v>
      </c>
      <c r="F2866" t="s">
        <v>69</v>
      </c>
      <c r="G2866" t="s">
        <v>5979</v>
      </c>
      <c r="H2866" t="s">
        <v>5980</v>
      </c>
      <c r="I2866" t="s">
        <v>67</v>
      </c>
    </row>
    <row r="2867" spans="1:9" x14ac:dyDescent="0.25">
      <c r="A2867" s="1" t="str">
        <f>HYPERLINK("https://lynxcrm-apac--c.eu19.visual.force.com/0011i000001xoYyAAI","Lim, Kai Hung")</f>
        <v>Lim, Kai Hung</v>
      </c>
      <c r="B2867" t="s">
        <v>5981</v>
      </c>
      <c r="C2867" t="s">
        <v>28</v>
      </c>
      <c r="D2867" t="s">
        <v>545</v>
      </c>
      <c r="E2867" t="s">
        <v>8</v>
      </c>
      <c r="F2867" t="s">
        <v>546</v>
      </c>
      <c r="G2867" t="s">
        <v>547</v>
      </c>
      <c r="H2867" t="s">
        <v>547</v>
      </c>
      <c r="I2867" t="s">
        <v>548</v>
      </c>
    </row>
    <row r="2868" spans="1:9" x14ac:dyDescent="0.25">
      <c r="A2868" s="1" t="str">
        <f>HYPERLINK("https://lynxcrm-apac--c.eu19.visual.force.com/0011i000001xogvAAA","Lim, Kai Yang")</f>
        <v>Lim, Kai Yang</v>
      </c>
      <c r="B2868" t="s">
        <v>5982</v>
      </c>
      <c r="C2868" t="s">
        <v>28</v>
      </c>
      <c r="D2868" t="s">
        <v>5916</v>
      </c>
      <c r="E2868" t="s">
        <v>8</v>
      </c>
      <c r="F2868" t="s">
        <v>719</v>
      </c>
      <c r="G2868" t="s">
        <v>720</v>
      </c>
      <c r="H2868" t="s">
        <v>720</v>
      </c>
      <c r="I2868" t="s">
        <v>721</v>
      </c>
    </row>
    <row r="2869" spans="1:9" x14ac:dyDescent="0.25">
      <c r="A2869" s="1" t="str">
        <f>HYPERLINK("https://lynxcrm-apac--c.eu19.visual.force.com/0011i000001xogvAAA","Lim, Kai Yang")</f>
        <v>Lim, Kai Yang</v>
      </c>
      <c r="B2869" t="s">
        <v>5982</v>
      </c>
      <c r="C2869" t="s">
        <v>28</v>
      </c>
      <c r="D2869" t="s">
        <v>5916</v>
      </c>
      <c r="E2869" t="s">
        <v>8</v>
      </c>
      <c r="F2869" t="s">
        <v>724</v>
      </c>
      <c r="G2869" t="s">
        <v>725</v>
      </c>
      <c r="H2869" t="s">
        <v>725</v>
      </c>
      <c r="I2869" t="s">
        <v>726</v>
      </c>
    </row>
    <row r="2870" spans="1:9" x14ac:dyDescent="0.25">
      <c r="A2870" s="1" t="str">
        <f>HYPERLINK("https://lynxcrm-apac--c.eu19.visual.force.com/0011i000001xolvAAA","Lim, Kay Hui Michael")</f>
        <v>Lim, Kay Hui Michael</v>
      </c>
      <c r="B2870" t="s">
        <v>5983</v>
      </c>
      <c r="C2870" t="s">
        <v>28</v>
      </c>
      <c r="D2870" t="s">
        <v>4995</v>
      </c>
      <c r="E2870" t="s">
        <v>8</v>
      </c>
      <c r="F2870" t="s">
        <v>4996</v>
      </c>
      <c r="G2870" t="s">
        <v>4997</v>
      </c>
      <c r="H2870" t="s">
        <v>4997</v>
      </c>
      <c r="I2870" t="s">
        <v>4998</v>
      </c>
    </row>
    <row r="2871" spans="1:9" x14ac:dyDescent="0.25">
      <c r="A2871" s="1" t="str">
        <f>HYPERLINK("https://lynxcrm-apac--c.eu19.visual.force.com/0011i000001xoBcAAI","Lim, Keng Chye David")</f>
        <v>Lim, Keng Chye David</v>
      </c>
      <c r="B2871" t="s">
        <v>5984</v>
      </c>
      <c r="C2871" t="s">
        <v>28</v>
      </c>
      <c r="D2871" t="s">
        <v>4957</v>
      </c>
      <c r="E2871" t="s">
        <v>8</v>
      </c>
      <c r="F2871" t="s">
        <v>3174</v>
      </c>
      <c r="G2871" t="s">
        <v>3175</v>
      </c>
      <c r="H2871" t="s">
        <v>3176</v>
      </c>
      <c r="I2871" t="s">
        <v>3177</v>
      </c>
    </row>
    <row r="2872" spans="1:9" x14ac:dyDescent="0.25">
      <c r="A2872" s="1" t="str">
        <f>HYPERLINK("https://lynxcrm-apac--c.eu19.visual.force.com/0011i000001xoK7AAI","Lim, Keng Soong Eugene")</f>
        <v>Lim, Keng Soong Eugene</v>
      </c>
      <c r="B2872" t="s">
        <v>5985</v>
      </c>
      <c r="C2872" t="s">
        <v>28</v>
      </c>
      <c r="D2872" t="s">
        <v>5986</v>
      </c>
      <c r="E2872" t="s">
        <v>8</v>
      </c>
      <c r="F2872" t="s">
        <v>5987</v>
      </c>
      <c r="G2872" t="s">
        <v>564</v>
      </c>
      <c r="H2872" t="s">
        <v>5988</v>
      </c>
      <c r="I2872" t="s">
        <v>5989</v>
      </c>
    </row>
    <row r="2873" spans="1:9" x14ac:dyDescent="0.25">
      <c r="A2873" s="1" t="str">
        <f>HYPERLINK("https://lynxcrm-apac--c.eu19.visual.force.com/0011i000001xoYDAAY","Lim, Khong Hee")</f>
        <v>Lim, Khong Hee</v>
      </c>
      <c r="B2873" t="s">
        <v>5990</v>
      </c>
      <c r="C2873" t="s">
        <v>28</v>
      </c>
      <c r="D2873" t="s">
        <v>5720</v>
      </c>
      <c r="E2873" t="s">
        <v>8</v>
      </c>
      <c r="F2873" t="s">
        <v>5721</v>
      </c>
      <c r="G2873" t="s">
        <v>388</v>
      </c>
      <c r="H2873" t="s">
        <v>388</v>
      </c>
      <c r="I2873" t="s">
        <v>123</v>
      </c>
    </row>
    <row r="2874" spans="1:9" x14ac:dyDescent="0.25">
      <c r="A2874" s="1" t="str">
        <f>HYPERLINK("https://lynxcrm-apac--c.eu19.visual.force.com/0011i000001xnk2AAA","Lim, Kien Sin")</f>
        <v>Lim, Kien Sin</v>
      </c>
      <c r="B2874" t="s">
        <v>5991</v>
      </c>
      <c r="C2874" t="s">
        <v>28</v>
      </c>
      <c r="D2874" t="s">
        <v>5992</v>
      </c>
      <c r="E2874" t="s">
        <v>8</v>
      </c>
      <c r="F2874" t="s">
        <v>5993</v>
      </c>
      <c r="G2874" t="s">
        <v>602</v>
      </c>
      <c r="H2874" t="s">
        <v>602</v>
      </c>
      <c r="I2874" t="s">
        <v>5994</v>
      </c>
    </row>
    <row r="2875" spans="1:9" x14ac:dyDescent="0.25">
      <c r="A2875" s="1" t="str">
        <f>HYPERLINK("https://lynxcrm-apac--c.eu19.visual.force.com/0011i000001xnk2AAA","Lim, Kien Sin")</f>
        <v>Lim, Kien Sin</v>
      </c>
      <c r="B2875" t="s">
        <v>5991</v>
      </c>
      <c r="C2875" t="s">
        <v>28</v>
      </c>
      <c r="D2875" t="s">
        <v>5992</v>
      </c>
      <c r="E2875" t="s">
        <v>8</v>
      </c>
      <c r="F2875" t="s">
        <v>5993</v>
      </c>
      <c r="G2875" t="s">
        <v>602</v>
      </c>
      <c r="H2875" t="s">
        <v>602</v>
      </c>
      <c r="I2875" t="s">
        <v>603</v>
      </c>
    </row>
    <row r="2876" spans="1:9" x14ac:dyDescent="0.25">
      <c r="A2876" s="1" t="str">
        <f>HYPERLINK("https://lynxcrm-apac--c.eu19.visual.force.com/0011i000001xoKsAAI","Lim, Kim Guan")</f>
        <v>Lim, Kim Guan</v>
      </c>
      <c r="B2876" t="s">
        <v>5995</v>
      </c>
      <c r="C2876" t="s">
        <v>28</v>
      </c>
      <c r="D2876" t="s">
        <v>251</v>
      </c>
      <c r="E2876" t="s">
        <v>8</v>
      </c>
      <c r="F2876" t="s">
        <v>251</v>
      </c>
      <c r="G2876" t="s">
        <v>252</v>
      </c>
      <c r="H2876" t="s">
        <v>252</v>
      </c>
      <c r="I2876" t="s">
        <v>253</v>
      </c>
    </row>
    <row r="2877" spans="1:9" x14ac:dyDescent="0.25">
      <c r="A2877" s="1" t="str">
        <f>HYPERLINK("https://lynxcrm-apac--c.eu19.visual.force.com/0011i000001xoKsAAI","Lim, Kim Guan")</f>
        <v>Lim, Kim Guan</v>
      </c>
      <c r="B2877" t="s">
        <v>5995</v>
      </c>
      <c r="C2877" t="s">
        <v>28</v>
      </c>
      <c r="D2877" t="s">
        <v>1242</v>
      </c>
      <c r="E2877" t="s">
        <v>8</v>
      </c>
      <c r="F2877" t="s">
        <v>252</v>
      </c>
      <c r="G2877" t="s">
        <v>251</v>
      </c>
      <c r="H2877" t="s">
        <v>251</v>
      </c>
      <c r="I2877" t="s">
        <v>253</v>
      </c>
    </row>
    <row r="2878" spans="1:9" x14ac:dyDescent="0.25">
      <c r="A2878" s="1" t="str">
        <f>HYPERLINK("https://lynxcrm-apac--c.eu19.visual.force.com/0011i000001xnhWAAQ","Lim, Kim Leong")</f>
        <v>Lim, Kim Leong</v>
      </c>
      <c r="B2878" t="s">
        <v>5996</v>
      </c>
      <c r="C2878" t="s">
        <v>28</v>
      </c>
      <c r="D2878" t="s">
        <v>5997</v>
      </c>
      <c r="E2878" t="s">
        <v>8</v>
      </c>
      <c r="F2878" t="s">
        <v>5998</v>
      </c>
      <c r="G2878" t="s">
        <v>5998</v>
      </c>
      <c r="H2878" t="s">
        <v>8</v>
      </c>
      <c r="I2878" t="s">
        <v>5999</v>
      </c>
    </row>
    <row r="2879" spans="1:9" x14ac:dyDescent="0.25">
      <c r="A2879" s="1" t="str">
        <f>HYPERLINK("https://lynxcrm-apac--c.eu19.visual.force.com/0011i000007FG9SAAW","Lim, Lee Wei")</f>
        <v>Lim, Lee Wei</v>
      </c>
      <c r="B2879" t="s">
        <v>6000</v>
      </c>
      <c r="C2879" t="s">
        <v>28</v>
      </c>
      <c r="D2879" t="s">
        <v>6001</v>
      </c>
      <c r="E2879" t="s">
        <v>8</v>
      </c>
      <c r="F2879" t="s">
        <v>6002</v>
      </c>
      <c r="G2879" t="s">
        <v>6003</v>
      </c>
      <c r="H2879" t="s">
        <v>8</v>
      </c>
      <c r="I2879" t="s">
        <v>6004</v>
      </c>
    </row>
    <row r="2880" spans="1:9" x14ac:dyDescent="0.25">
      <c r="A2880" s="1" t="str">
        <f>HYPERLINK("https://lynxcrm-apac--c.eu19.visual.force.com/0011i000001xofMAAQ","Lim, Lian Arn")</f>
        <v>Lim, Lian Arn</v>
      </c>
      <c r="B2880" t="s">
        <v>6005</v>
      </c>
      <c r="C2880" t="s">
        <v>28</v>
      </c>
      <c r="D2880" t="s">
        <v>6006</v>
      </c>
      <c r="E2880" t="s">
        <v>8</v>
      </c>
      <c r="F2880" t="s">
        <v>405</v>
      </c>
      <c r="G2880" t="s">
        <v>65</v>
      </c>
      <c r="H2880" t="s">
        <v>65</v>
      </c>
      <c r="I2880" t="s">
        <v>67</v>
      </c>
    </row>
    <row r="2881" spans="1:9" x14ac:dyDescent="0.25">
      <c r="A2881" s="1" t="str">
        <f>HYPERLINK("https://lynxcrm-apac--c.eu19.visual.force.com/0011i000001xnjrAAA","Lim, Liang Boon")</f>
        <v>Lim, Liang Boon</v>
      </c>
      <c r="B2881" t="s">
        <v>6007</v>
      </c>
      <c r="C2881" t="s">
        <v>28</v>
      </c>
      <c r="D2881" t="s">
        <v>6008</v>
      </c>
      <c r="E2881" t="s">
        <v>8</v>
      </c>
      <c r="F2881" t="s">
        <v>4807</v>
      </c>
      <c r="G2881" t="s">
        <v>6009</v>
      </c>
      <c r="H2881" t="s">
        <v>6009</v>
      </c>
      <c r="I2881" t="s">
        <v>6010</v>
      </c>
    </row>
    <row r="2882" spans="1:9" x14ac:dyDescent="0.25">
      <c r="A2882" s="1" t="str">
        <f>HYPERLINK("https://lynxcrm-apac--c.eu19.visual.force.com/0011i000001xoq4AAA","Lim, Lih Keong")</f>
        <v>Lim, Lih Keong</v>
      </c>
      <c r="B2882" t="s">
        <v>6011</v>
      </c>
      <c r="C2882" t="s">
        <v>28</v>
      </c>
      <c r="D2882" t="s">
        <v>937</v>
      </c>
      <c r="E2882" t="s">
        <v>8</v>
      </c>
      <c r="F2882" t="s">
        <v>6012</v>
      </c>
      <c r="G2882" t="s">
        <v>3286</v>
      </c>
      <c r="H2882" t="s">
        <v>3286</v>
      </c>
      <c r="I2882" t="s">
        <v>3287</v>
      </c>
    </row>
    <row r="2883" spans="1:9" x14ac:dyDescent="0.25">
      <c r="A2883" s="1" t="str">
        <f>HYPERLINK("https://lynxcrm-apac--c.eu19.visual.force.com/0011i000001xodwAAA","Lim, Li-Wen Tracey")</f>
        <v>Lim, Li-Wen Tracey</v>
      </c>
      <c r="B2883" t="s">
        <v>6013</v>
      </c>
      <c r="C2883" t="s">
        <v>28</v>
      </c>
      <c r="D2883" t="s">
        <v>6014</v>
      </c>
      <c r="E2883" t="s">
        <v>8</v>
      </c>
      <c r="F2883" t="s">
        <v>1768</v>
      </c>
      <c r="G2883" t="s">
        <v>6015</v>
      </c>
      <c r="H2883" t="s">
        <v>6016</v>
      </c>
      <c r="I2883" t="s">
        <v>47</v>
      </c>
    </row>
    <row r="2884" spans="1:9" x14ac:dyDescent="0.25">
      <c r="A2884" s="1" t="str">
        <f>HYPERLINK("https://lynxcrm-apac--c.eu19.visual.force.com/0011i000001xoMiAAI","Lim, Loon Haw")</f>
        <v>Lim, Loon Haw</v>
      </c>
      <c r="B2884" t="s">
        <v>6017</v>
      </c>
      <c r="C2884" t="s">
        <v>28</v>
      </c>
      <c r="D2884" t="s">
        <v>6018</v>
      </c>
      <c r="E2884" t="s">
        <v>8</v>
      </c>
      <c r="F2884" t="s">
        <v>6019</v>
      </c>
      <c r="G2884" t="s">
        <v>6020</v>
      </c>
      <c r="H2884" t="s">
        <v>6020</v>
      </c>
      <c r="I2884" t="s">
        <v>6021</v>
      </c>
    </row>
    <row r="2885" spans="1:9" x14ac:dyDescent="0.25">
      <c r="A2885" s="1" t="str">
        <f>HYPERLINK("https://lynxcrm-apac--c.eu19.visual.force.com/0011i000001xoVwAAI","Lim, Lye Kitt")</f>
        <v>Lim, Lye Kitt</v>
      </c>
      <c r="B2885" t="s">
        <v>6022</v>
      </c>
      <c r="C2885" t="s">
        <v>28</v>
      </c>
      <c r="D2885" t="s">
        <v>6023</v>
      </c>
      <c r="E2885" t="s">
        <v>8</v>
      </c>
      <c r="F2885" t="s">
        <v>4109</v>
      </c>
      <c r="G2885" t="s">
        <v>525</v>
      </c>
      <c r="H2885" t="s">
        <v>525</v>
      </c>
      <c r="I2885" t="s">
        <v>3177</v>
      </c>
    </row>
    <row r="2886" spans="1:9" x14ac:dyDescent="0.25">
      <c r="A2886" s="1" t="str">
        <f>HYPERLINK("https://lynxcrm-apac--c.eu19.visual.force.com/0011i000001xoAyAAI","Lim, M C Ruth")</f>
        <v>Lim, M C Ruth</v>
      </c>
      <c r="B2886" t="s">
        <v>6024</v>
      </c>
      <c r="C2886" t="s">
        <v>28</v>
      </c>
      <c r="D2886" t="s">
        <v>2342</v>
      </c>
      <c r="E2886" t="s">
        <v>8</v>
      </c>
      <c r="F2886" t="s">
        <v>919</v>
      </c>
      <c r="G2886" t="s">
        <v>550</v>
      </c>
      <c r="H2886" t="s">
        <v>550</v>
      </c>
      <c r="I2886" t="s">
        <v>554</v>
      </c>
    </row>
    <row r="2887" spans="1:9" x14ac:dyDescent="0.25">
      <c r="A2887" s="1" t="str">
        <f>HYPERLINK("https://lynxcrm-apac--c.eu19.visual.force.com/0011i000001xnfaAAA","Lim, Mee Ling")</f>
        <v>Lim, Mee Ling</v>
      </c>
      <c r="B2887" t="s">
        <v>6025</v>
      </c>
      <c r="C2887" t="s">
        <v>28</v>
      </c>
      <c r="D2887" t="s">
        <v>6026</v>
      </c>
      <c r="E2887" t="s">
        <v>8</v>
      </c>
      <c r="F2887" t="s">
        <v>6027</v>
      </c>
      <c r="G2887" t="s">
        <v>6028</v>
      </c>
      <c r="H2887" t="s">
        <v>6029</v>
      </c>
      <c r="I2887" t="s">
        <v>6030</v>
      </c>
    </row>
    <row r="2888" spans="1:9" x14ac:dyDescent="0.25">
      <c r="A2888" s="1" t="str">
        <f>HYPERLINK("https://lynxcrm-apac--c.eu19.visual.force.com/0011i000001xnfbAAA","Lim, Meng Choo")</f>
        <v>Lim, Meng Choo</v>
      </c>
      <c r="B2888" t="s">
        <v>6031</v>
      </c>
      <c r="C2888" t="s">
        <v>28</v>
      </c>
      <c r="D2888" t="s">
        <v>6032</v>
      </c>
      <c r="E2888" t="s">
        <v>8</v>
      </c>
      <c r="F2888" t="s">
        <v>5195</v>
      </c>
      <c r="G2888" t="s">
        <v>5196</v>
      </c>
      <c r="H2888" t="s">
        <v>5196</v>
      </c>
      <c r="I2888" t="s">
        <v>740</v>
      </c>
    </row>
    <row r="2889" spans="1:9" x14ac:dyDescent="0.25">
      <c r="A2889" s="1" t="str">
        <f>HYPERLINK("https://lynxcrm-apac--c.eu19.visual.force.com/0011i000001xonzAAA","Lim, Mervin")</f>
        <v>Lim, Mervin</v>
      </c>
      <c r="B2889" t="s">
        <v>6033</v>
      </c>
      <c r="C2889" t="s">
        <v>28</v>
      </c>
      <c r="D2889" t="s">
        <v>6034</v>
      </c>
      <c r="E2889" t="s">
        <v>8</v>
      </c>
      <c r="F2889" t="s">
        <v>2460</v>
      </c>
      <c r="G2889" t="s">
        <v>2461</v>
      </c>
      <c r="H2889" t="s">
        <v>2461</v>
      </c>
      <c r="I2889" t="s">
        <v>2462</v>
      </c>
    </row>
    <row r="2890" spans="1:9" x14ac:dyDescent="0.25">
      <c r="A2890" s="1" t="str">
        <f>HYPERLINK("https://lynxcrm-apac--c.eu19.visual.force.com/0011i000001xoWMAAY","Lim, Mui Eng")</f>
        <v>Lim, Mui Eng</v>
      </c>
      <c r="B2890" t="s">
        <v>6035</v>
      </c>
      <c r="C2890" t="s">
        <v>28</v>
      </c>
      <c r="D2890" t="s">
        <v>335</v>
      </c>
      <c r="E2890" t="s">
        <v>8</v>
      </c>
      <c r="F2890" t="s">
        <v>336</v>
      </c>
      <c r="G2890" t="s">
        <v>337</v>
      </c>
      <c r="H2890" t="s">
        <v>337</v>
      </c>
      <c r="I2890" t="s">
        <v>338</v>
      </c>
    </row>
    <row r="2891" spans="1:9" x14ac:dyDescent="0.25">
      <c r="A2891" s="1" t="str">
        <f>HYPERLINK("https://lynxcrm-apac--c.eu19.visual.force.com/0011i000001xoWMAAY","Lim, Mui Eng")</f>
        <v>Lim, Mui Eng</v>
      </c>
      <c r="B2891" t="s">
        <v>6035</v>
      </c>
      <c r="C2891" t="s">
        <v>28</v>
      </c>
      <c r="D2891" t="s">
        <v>339</v>
      </c>
      <c r="E2891" t="s">
        <v>8</v>
      </c>
      <c r="F2891" t="s">
        <v>337</v>
      </c>
      <c r="G2891" t="s">
        <v>335</v>
      </c>
      <c r="H2891" t="s">
        <v>335</v>
      </c>
      <c r="I2891" t="s">
        <v>338</v>
      </c>
    </row>
    <row r="2892" spans="1:9" x14ac:dyDescent="0.25">
      <c r="A2892" s="1" t="str">
        <f>HYPERLINK("https://lynxcrm-apac--c.eu19.visual.force.com/0011i000001xoJWAAY","Lim, Mui Hong")</f>
        <v>Lim, Mui Hong</v>
      </c>
      <c r="B2892" t="s">
        <v>6036</v>
      </c>
      <c r="C2892" t="s">
        <v>28</v>
      </c>
      <c r="D2892" t="s">
        <v>251</v>
      </c>
      <c r="E2892" t="s">
        <v>8</v>
      </c>
      <c r="F2892" t="s">
        <v>427</v>
      </c>
      <c r="G2892" t="s">
        <v>252</v>
      </c>
      <c r="H2892" t="s">
        <v>252</v>
      </c>
      <c r="I2892" t="s">
        <v>253</v>
      </c>
    </row>
    <row r="2893" spans="1:9" x14ac:dyDescent="0.25">
      <c r="A2893" s="1" t="str">
        <f>HYPERLINK("https://lynxcrm-apac--c.eu19.visual.force.com/0011i00000pbVZKAA2","Lim, Nigel")</f>
        <v>Lim, Nigel</v>
      </c>
      <c r="B2893" t="s">
        <v>6037</v>
      </c>
      <c r="C2893" t="s">
        <v>28</v>
      </c>
      <c r="D2893" t="s">
        <v>335</v>
      </c>
      <c r="E2893" t="s">
        <v>8</v>
      </c>
      <c r="F2893" t="s">
        <v>336</v>
      </c>
      <c r="G2893" t="s">
        <v>337</v>
      </c>
      <c r="H2893" t="s">
        <v>337</v>
      </c>
      <c r="I2893" t="s">
        <v>338</v>
      </c>
    </row>
    <row r="2894" spans="1:9" x14ac:dyDescent="0.25">
      <c r="A2894" s="1" t="str">
        <f>HYPERLINK("https://lynxcrm-apac--c.eu19.visual.force.com/0011i000001xnhyAAA","Lim, Peng Keong")</f>
        <v>Lim, Peng Keong</v>
      </c>
      <c r="B2894" t="s">
        <v>6038</v>
      </c>
      <c r="C2894" t="s">
        <v>28</v>
      </c>
      <c r="D2894" t="s">
        <v>6039</v>
      </c>
      <c r="E2894" t="s">
        <v>8</v>
      </c>
      <c r="F2894" t="s">
        <v>401</v>
      </c>
      <c r="G2894" t="s">
        <v>402</v>
      </c>
      <c r="H2894" t="s">
        <v>402</v>
      </c>
      <c r="I2894" t="s">
        <v>403</v>
      </c>
    </row>
    <row r="2895" spans="1:9" x14ac:dyDescent="0.25">
      <c r="A2895" s="1" t="str">
        <f>HYPERLINK("https://lynxcrm-apac--c.eu19.visual.force.com/0011i000001xoe3AAA","Lim, Pin")</f>
        <v>Lim, Pin</v>
      </c>
      <c r="B2895" t="s">
        <v>6040</v>
      </c>
      <c r="C2895" t="s">
        <v>28</v>
      </c>
      <c r="D2895" t="s">
        <v>429</v>
      </c>
      <c r="E2895" t="s">
        <v>8</v>
      </c>
      <c r="F2895" t="s">
        <v>246</v>
      </c>
      <c r="G2895" t="s">
        <v>428</v>
      </c>
      <c r="H2895" t="s">
        <v>428</v>
      </c>
      <c r="I2895" t="s">
        <v>430</v>
      </c>
    </row>
    <row r="2896" spans="1:9" x14ac:dyDescent="0.25">
      <c r="A2896" s="1" t="str">
        <f>HYPERLINK("https://lynxcrm-apac--c.eu19.visual.force.com/0011i000001xni4AAA","Lim, Poh Heng")</f>
        <v>Lim, Poh Heng</v>
      </c>
      <c r="B2896" t="s">
        <v>6041</v>
      </c>
      <c r="C2896" t="s">
        <v>28</v>
      </c>
      <c r="D2896" t="s">
        <v>6042</v>
      </c>
      <c r="E2896" t="s">
        <v>8</v>
      </c>
      <c r="F2896" t="s">
        <v>2355</v>
      </c>
      <c r="G2896" t="s">
        <v>4456</v>
      </c>
      <c r="H2896" t="s">
        <v>4456</v>
      </c>
      <c r="I2896" t="s">
        <v>2357</v>
      </c>
    </row>
    <row r="2897" spans="1:9" x14ac:dyDescent="0.25">
      <c r="A2897" s="1" t="str">
        <f>HYPERLINK("https://lynxcrm-apac--c.eu19.visual.force.com/0011i000001xoDcAAI","Lim, Pui San Joeanne")</f>
        <v>Lim, Pui San Joeanne</v>
      </c>
      <c r="B2897" t="s">
        <v>6043</v>
      </c>
      <c r="C2897" t="s">
        <v>28</v>
      </c>
      <c r="D2897" t="s">
        <v>54</v>
      </c>
      <c r="E2897" t="s">
        <v>8</v>
      </c>
      <c r="F2897" t="s">
        <v>1225</v>
      </c>
      <c r="G2897" t="s">
        <v>1225</v>
      </c>
      <c r="H2897" t="s">
        <v>1226</v>
      </c>
      <c r="I2897" t="s">
        <v>55</v>
      </c>
    </row>
    <row r="2898" spans="1:9" x14ac:dyDescent="0.25">
      <c r="A2898" s="1" t="str">
        <f>HYPERLINK("https://lynxcrm-apac--c.eu19.visual.force.com/0011i000001xoDcAAI","Lim, Pui San Joeanne")</f>
        <v>Lim, Pui San Joeanne</v>
      </c>
      <c r="B2898" t="s">
        <v>6043</v>
      </c>
      <c r="C2898" t="s">
        <v>28</v>
      </c>
      <c r="D2898" t="s">
        <v>54</v>
      </c>
      <c r="E2898" t="s">
        <v>8</v>
      </c>
      <c r="F2898" t="s">
        <v>1225</v>
      </c>
      <c r="G2898" t="s">
        <v>1225</v>
      </c>
      <c r="H2898" t="s">
        <v>8</v>
      </c>
      <c r="I2898" t="s">
        <v>55</v>
      </c>
    </row>
    <row r="2899" spans="1:9" x14ac:dyDescent="0.25">
      <c r="A2899" s="1" t="str">
        <f>HYPERLINK("https://lynxcrm-apac--c.eu19.visual.force.com/0011i00000Xf1IbAAJ","Lim, Robert")</f>
        <v>Lim, Robert</v>
      </c>
      <c r="B2899" t="s">
        <v>6044</v>
      </c>
      <c r="C2899" t="s">
        <v>28</v>
      </c>
      <c r="D2899" t="s">
        <v>6045</v>
      </c>
      <c r="E2899" t="s">
        <v>8</v>
      </c>
      <c r="F2899" t="s">
        <v>6046</v>
      </c>
      <c r="G2899" t="s">
        <v>2526</v>
      </c>
      <c r="H2899" t="s">
        <v>8</v>
      </c>
      <c r="I2899" t="s">
        <v>1803</v>
      </c>
    </row>
    <row r="2900" spans="1:9" x14ac:dyDescent="0.25">
      <c r="A2900" s="1" t="str">
        <f>HYPERLINK("https://lynxcrm-apac--c.eu19.visual.force.com/0011i000001xnlyAAA","Lim, Ruth")</f>
        <v>Lim, Ruth</v>
      </c>
      <c r="B2900" t="s">
        <v>6047</v>
      </c>
      <c r="C2900" t="s">
        <v>28</v>
      </c>
      <c r="D2900" t="s">
        <v>550</v>
      </c>
      <c r="E2900" t="s">
        <v>8</v>
      </c>
      <c r="F2900" t="s">
        <v>2342</v>
      </c>
      <c r="G2900" t="s">
        <v>919</v>
      </c>
      <c r="H2900" t="s">
        <v>919</v>
      </c>
      <c r="I2900" t="s">
        <v>554</v>
      </c>
    </row>
    <row r="2901" spans="1:9" x14ac:dyDescent="0.25">
      <c r="A2901" s="1" t="str">
        <f>HYPERLINK("https://lynxcrm-apac--c.eu19.visual.force.com/0011i000001xnllAAA","Lim, Sarah")</f>
        <v>Lim, Sarah</v>
      </c>
      <c r="B2901" t="s">
        <v>6048</v>
      </c>
      <c r="C2901" t="s">
        <v>28</v>
      </c>
      <c r="D2901" t="s">
        <v>550</v>
      </c>
      <c r="E2901" t="s">
        <v>8</v>
      </c>
      <c r="F2901" t="s">
        <v>2342</v>
      </c>
      <c r="G2901" t="s">
        <v>919</v>
      </c>
      <c r="H2901" t="s">
        <v>919</v>
      </c>
      <c r="I2901" t="s">
        <v>554</v>
      </c>
    </row>
    <row r="2902" spans="1:9" x14ac:dyDescent="0.25">
      <c r="A2902" s="1" t="str">
        <f>HYPERLINK("https://lynxcrm-apac--c.eu19.visual.force.com/0011i000001xoBjAAI","Lim, Seok Cheng Sabrina")</f>
        <v>Lim, Seok Cheng Sabrina</v>
      </c>
      <c r="B2902" t="s">
        <v>6049</v>
      </c>
      <c r="C2902" t="s">
        <v>28</v>
      </c>
      <c r="D2902" t="s">
        <v>6050</v>
      </c>
      <c r="E2902" t="s">
        <v>8</v>
      </c>
      <c r="F2902" t="s">
        <v>6051</v>
      </c>
      <c r="G2902" t="s">
        <v>6052</v>
      </c>
      <c r="H2902" t="s">
        <v>6053</v>
      </c>
      <c r="I2902" t="s">
        <v>6054</v>
      </c>
    </row>
    <row r="2903" spans="1:9" x14ac:dyDescent="0.25">
      <c r="A2903" s="1" t="str">
        <f>HYPERLINK("https://lynxcrm-apac--c.eu19.visual.force.com/0011i000001xo95AAA","Lim, Shao Ting Dawn")</f>
        <v>Lim, Shao Ting Dawn</v>
      </c>
      <c r="B2903" t="s">
        <v>6055</v>
      </c>
      <c r="C2903" t="s">
        <v>28</v>
      </c>
      <c r="D2903" t="s">
        <v>251</v>
      </c>
      <c r="E2903" t="s">
        <v>8</v>
      </c>
      <c r="F2903" t="s">
        <v>246</v>
      </c>
      <c r="G2903" t="s">
        <v>252</v>
      </c>
      <c r="H2903" t="s">
        <v>858</v>
      </c>
      <c r="I2903" t="s">
        <v>253</v>
      </c>
    </row>
    <row r="2904" spans="1:9" x14ac:dyDescent="0.25">
      <c r="A2904" s="1" t="str">
        <f>HYPERLINK("https://lynxcrm-apac--c.eu19.visual.force.com/0011i000001xni9AAA","Lim, Shee Lai")</f>
        <v>Lim, Shee Lai</v>
      </c>
      <c r="B2904" t="s">
        <v>6056</v>
      </c>
      <c r="C2904" t="s">
        <v>28</v>
      </c>
      <c r="D2904" t="s">
        <v>6057</v>
      </c>
      <c r="E2904" t="s">
        <v>8</v>
      </c>
      <c r="F2904" t="s">
        <v>4438</v>
      </c>
      <c r="G2904" t="s">
        <v>16</v>
      </c>
      <c r="H2904" t="s">
        <v>4439</v>
      </c>
      <c r="I2904" t="s">
        <v>4440</v>
      </c>
    </row>
    <row r="2905" spans="1:9" x14ac:dyDescent="0.25">
      <c r="A2905" s="1" t="str">
        <f>HYPERLINK("https://lynxcrm-apac--c.eu19.visual.force.com/0011i00000vHmjHAAS","Lim, Sheryl")</f>
        <v>Lim, Sheryl</v>
      </c>
      <c r="B2905" t="s">
        <v>6058</v>
      </c>
      <c r="C2905" t="s">
        <v>28</v>
      </c>
      <c r="D2905" t="s">
        <v>6059</v>
      </c>
      <c r="E2905" t="s">
        <v>8</v>
      </c>
      <c r="F2905" t="s">
        <v>4036</v>
      </c>
      <c r="G2905" t="s">
        <v>4037</v>
      </c>
      <c r="H2905" t="s">
        <v>4037</v>
      </c>
      <c r="I2905" t="s">
        <v>4038</v>
      </c>
    </row>
    <row r="2906" spans="1:9" x14ac:dyDescent="0.25">
      <c r="A2906" s="1" t="str">
        <f>HYPERLINK("https://lynxcrm-apac--c.eu19.visual.force.com/0011i00000vHmjHAAS","Lim, Sheryl")</f>
        <v>Lim, Sheryl</v>
      </c>
      <c r="B2906" t="s">
        <v>6058</v>
      </c>
      <c r="C2906" t="s">
        <v>28</v>
      </c>
      <c r="D2906" t="s">
        <v>392</v>
      </c>
      <c r="E2906" t="s">
        <v>8</v>
      </c>
      <c r="F2906" t="s">
        <v>393</v>
      </c>
      <c r="G2906" t="s">
        <v>394</v>
      </c>
      <c r="H2906" t="s">
        <v>395</v>
      </c>
      <c r="I2906" t="s">
        <v>396</v>
      </c>
    </row>
    <row r="2907" spans="1:9" x14ac:dyDescent="0.25">
      <c r="A2907" s="1" t="str">
        <f>HYPERLINK("https://lynxcrm-apac--c.eu19.visual.force.com/0011i000001xnmWAAQ","Lim, Shin Wei")</f>
        <v>Lim, Shin Wei</v>
      </c>
      <c r="B2907" t="s">
        <v>6060</v>
      </c>
      <c r="C2907" t="s">
        <v>28</v>
      </c>
      <c r="D2907" t="s">
        <v>1698</v>
      </c>
      <c r="E2907" t="s">
        <v>8</v>
      </c>
      <c r="F2907" t="s">
        <v>2273</v>
      </c>
      <c r="G2907" t="s">
        <v>2273</v>
      </c>
      <c r="H2907" t="s">
        <v>8</v>
      </c>
      <c r="I2907" t="s">
        <v>8</v>
      </c>
    </row>
    <row r="2908" spans="1:9" x14ac:dyDescent="0.25">
      <c r="A2908" s="1" t="str">
        <f>HYPERLINK("https://lynxcrm-apac--c.eu19.visual.force.com/0011i000001xnpYAAQ","Lim, Shir Lynn")</f>
        <v>Lim, Shir Lynn</v>
      </c>
      <c r="B2908" t="s">
        <v>6061</v>
      </c>
      <c r="C2908" t="s">
        <v>28</v>
      </c>
      <c r="D2908" t="s">
        <v>429</v>
      </c>
      <c r="E2908" t="s">
        <v>8</v>
      </c>
      <c r="F2908" t="s">
        <v>1263</v>
      </c>
      <c r="G2908" t="s">
        <v>428</v>
      </c>
      <c r="H2908" t="s">
        <v>428</v>
      </c>
      <c r="I2908" t="s">
        <v>430</v>
      </c>
    </row>
    <row r="2909" spans="1:9" x14ac:dyDescent="0.25">
      <c r="A2909" s="1" t="str">
        <f>HYPERLINK("https://lynxcrm-apac--c.eu19.visual.force.com/0011i000001xnpYAAQ","Lim, Shir Lynn")</f>
        <v>Lim, Shir Lynn</v>
      </c>
      <c r="B2909" t="s">
        <v>6061</v>
      </c>
      <c r="C2909" t="s">
        <v>28</v>
      </c>
      <c r="D2909" t="s">
        <v>429</v>
      </c>
      <c r="E2909" t="s">
        <v>8</v>
      </c>
      <c r="F2909" t="s">
        <v>429</v>
      </c>
      <c r="G2909" t="s">
        <v>428</v>
      </c>
      <c r="H2909" t="s">
        <v>428</v>
      </c>
      <c r="I2909" t="s">
        <v>430</v>
      </c>
    </row>
    <row r="2910" spans="1:9" x14ac:dyDescent="0.25">
      <c r="A2910" s="1" t="str">
        <f>HYPERLINK("https://lynxcrm-apac--c.eu19.visual.force.com/0011i000001xniBAAQ","Lim, Shueh Li Selina")</f>
        <v>Lim, Shueh Li Selina</v>
      </c>
      <c r="B2910" t="s">
        <v>6062</v>
      </c>
      <c r="C2910" t="s">
        <v>28</v>
      </c>
      <c r="D2910" t="s">
        <v>1153</v>
      </c>
      <c r="E2910" t="s">
        <v>8</v>
      </c>
      <c r="F2910" t="s">
        <v>1063</v>
      </c>
      <c r="G2910" t="s">
        <v>1064</v>
      </c>
      <c r="H2910" t="s">
        <v>1064</v>
      </c>
      <c r="I2910" t="s">
        <v>1065</v>
      </c>
    </row>
    <row r="2911" spans="1:9" x14ac:dyDescent="0.25">
      <c r="A2911" s="1" t="str">
        <f>HYPERLINK("https://lynxcrm-apac--c.eu19.visual.force.com/0011i000001xolgAAA","Lim, Shu Fen")</f>
        <v>Lim, Shu Fen</v>
      </c>
      <c r="B2911" t="s">
        <v>6063</v>
      </c>
      <c r="C2911" t="s">
        <v>28</v>
      </c>
      <c r="D2911" t="s">
        <v>1126</v>
      </c>
      <c r="E2911" t="s">
        <v>8</v>
      </c>
      <c r="F2911" t="s">
        <v>1127</v>
      </c>
      <c r="G2911" t="s">
        <v>1128</v>
      </c>
      <c r="H2911" t="s">
        <v>1128</v>
      </c>
      <c r="I2911" t="s">
        <v>996</v>
      </c>
    </row>
    <row r="2912" spans="1:9" x14ac:dyDescent="0.25">
      <c r="A2912" s="1" t="str">
        <f>HYPERLINK("https://lynxcrm-apac--c.eu19.visual.force.com/0011i000001xoSfAAI","Lim, Siew Eng")</f>
        <v>Lim, Siew Eng</v>
      </c>
      <c r="B2912" t="s">
        <v>6064</v>
      </c>
      <c r="C2912" t="s">
        <v>28</v>
      </c>
      <c r="D2912" t="s">
        <v>2284</v>
      </c>
      <c r="E2912" t="s">
        <v>8</v>
      </c>
      <c r="F2912" t="s">
        <v>164</v>
      </c>
      <c r="G2912" t="s">
        <v>2285</v>
      </c>
      <c r="H2912" t="s">
        <v>2285</v>
      </c>
      <c r="I2912" t="s">
        <v>165</v>
      </c>
    </row>
    <row r="2913" spans="1:9" x14ac:dyDescent="0.25">
      <c r="A2913" s="1" t="str">
        <f>HYPERLINK("https://lynxcrm-apac--c.eu19.visual.force.com/0011i000001xnfyAAA","Lim, Siew Hong Priscilla")</f>
        <v>Lim, Siew Hong Priscilla</v>
      </c>
      <c r="B2913" t="s">
        <v>6065</v>
      </c>
      <c r="C2913" t="s">
        <v>28</v>
      </c>
      <c r="D2913" t="s">
        <v>2069</v>
      </c>
      <c r="E2913" t="s">
        <v>8</v>
      </c>
      <c r="F2913" t="s">
        <v>836</v>
      </c>
      <c r="G2913" t="s">
        <v>2326</v>
      </c>
      <c r="H2913" t="s">
        <v>5586</v>
      </c>
      <c r="I2913" t="s">
        <v>838</v>
      </c>
    </row>
    <row r="2914" spans="1:9" x14ac:dyDescent="0.25">
      <c r="A2914" s="1" t="str">
        <f>HYPERLINK("https://lynxcrm-apac--c.eu19.visual.force.com/0011i000001xnjyAAA","Lim, Sinn Ling")</f>
        <v>Lim, Sinn Ling</v>
      </c>
      <c r="B2914" t="s">
        <v>6066</v>
      </c>
      <c r="C2914" t="s">
        <v>28</v>
      </c>
      <c r="D2914" t="s">
        <v>3246</v>
      </c>
      <c r="E2914" t="s">
        <v>8</v>
      </c>
      <c r="F2914" t="s">
        <v>3231</v>
      </c>
      <c r="G2914" t="s">
        <v>3232</v>
      </c>
      <c r="H2914" t="s">
        <v>3233</v>
      </c>
      <c r="I2914" t="s">
        <v>3234</v>
      </c>
    </row>
    <row r="2915" spans="1:9" x14ac:dyDescent="0.25">
      <c r="A2915" s="1" t="str">
        <f>HYPERLINK("https://lynxcrm-apac--c.eu19.visual.force.com/0011i000001xnk1AAA","Lim, Sok Len Susanna")</f>
        <v>Lim, Sok Len Susanna</v>
      </c>
      <c r="B2915" t="s">
        <v>6067</v>
      </c>
      <c r="C2915" t="s">
        <v>28</v>
      </c>
      <c r="D2915" t="s">
        <v>6068</v>
      </c>
      <c r="E2915" t="s">
        <v>8</v>
      </c>
      <c r="F2915" t="s">
        <v>6069</v>
      </c>
      <c r="G2915" t="s">
        <v>6070</v>
      </c>
      <c r="H2915" t="s">
        <v>6070</v>
      </c>
      <c r="I2915" t="s">
        <v>6071</v>
      </c>
    </row>
    <row r="2916" spans="1:9" x14ac:dyDescent="0.25">
      <c r="A2916" s="1" t="str">
        <f>HYPERLINK("https://lynxcrm-apac--c.eu19.visual.force.com/0011i000001xoLmAAI","Lim, Sook Yean")</f>
        <v>Lim, Sook Yean</v>
      </c>
      <c r="B2916" t="s">
        <v>6072</v>
      </c>
      <c r="C2916" t="s">
        <v>28</v>
      </c>
      <c r="D2916" t="s">
        <v>6073</v>
      </c>
      <c r="E2916" t="s">
        <v>8</v>
      </c>
      <c r="F2916" t="s">
        <v>5074</v>
      </c>
      <c r="G2916" t="s">
        <v>6074</v>
      </c>
      <c r="H2916" t="s">
        <v>6075</v>
      </c>
      <c r="I2916" t="s">
        <v>5077</v>
      </c>
    </row>
    <row r="2917" spans="1:9" x14ac:dyDescent="0.25">
      <c r="A2917" s="1" t="str">
        <f>HYPERLINK("https://lynxcrm-apac--c.eu19.visual.force.com/0011i00000Xf1GmAAJ","Lim, Soon Thye")</f>
        <v>Lim, Soon Thye</v>
      </c>
      <c r="B2917" t="s">
        <v>6076</v>
      </c>
      <c r="C2917" t="s">
        <v>28</v>
      </c>
      <c r="D2917" t="s">
        <v>2027</v>
      </c>
      <c r="E2917" t="s">
        <v>8</v>
      </c>
      <c r="F2917" t="s">
        <v>2028</v>
      </c>
      <c r="G2917" t="s">
        <v>2029</v>
      </c>
      <c r="H2917" t="s">
        <v>8</v>
      </c>
      <c r="I2917" t="s">
        <v>488</v>
      </c>
    </row>
    <row r="2918" spans="1:9" x14ac:dyDescent="0.25">
      <c r="A2918" s="1" t="str">
        <f>HYPERLINK("https://lynxcrm-apac--c.eu19.visual.force.com/0011i000001xo3sAAA","Lim, Soo Teik")</f>
        <v>Lim, Soo Teik</v>
      </c>
      <c r="B2918" t="s">
        <v>6077</v>
      </c>
      <c r="C2918" t="s">
        <v>28</v>
      </c>
      <c r="D2918" t="s">
        <v>449</v>
      </c>
      <c r="E2918" t="s">
        <v>8</v>
      </c>
      <c r="F2918" t="s">
        <v>450</v>
      </c>
      <c r="G2918" t="s">
        <v>449</v>
      </c>
      <c r="H2918" t="s">
        <v>449</v>
      </c>
      <c r="I2918" t="s">
        <v>451</v>
      </c>
    </row>
    <row r="2919" spans="1:9" x14ac:dyDescent="0.25">
      <c r="A2919" s="1" t="str">
        <f>HYPERLINK("https://lynxcrm-apac--c.eu19.visual.force.com/0011i000001xo3sAAA","Lim, Soo Teik")</f>
        <v>Lim, Soo Teik</v>
      </c>
      <c r="B2919" t="s">
        <v>6077</v>
      </c>
      <c r="C2919" t="s">
        <v>28</v>
      </c>
      <c r="D2919" t="s">
        <v>449</v>
      </c>
      <c r="E2919" t="s">
        <v>8</v>
      </c>
      <c r="F2919" t="s">
        <v>234</v>
      </c>
      <c r="G2919" t="s">
        <v>452</v>
      </c>
      <c r="H2919" t="s">
        <v>453</v>
      </c>
      <c r="I2919" t="s">
        <v>454</v>
      </c>
    </row>
    <row r="2920" spans="1:9" x14ac:dyDescent="0.25">
      <c r="A2920" s="1" t="str">
        <f>HYPERLINK("https://lynxcrm-apac--c.eu19.visual.force.com/0011i000001xoLrAAI","Lim, Stephen T K")</f>
        <v>Lim, Stephen T K</v>
      </c>
      <c r="B2920" t="s">
        <v>6078</v>
      </c>
      <c r="C2920" t="s">
        <v>28</v>
      </c>
      <c r="D2920" t="s">
        <v>6079</v>
      </c>
      <c r="E2920" t="s">
        <v>8</v>
      </c>
      <c r="F2920" t="s">
        <v>121</v>
      </c>
      <c r="G2920" t="s">
        <v>6080</v>
      </c>
      <c r="H2920" t="s">
        <v>6080</v>
      </c>
      <c r="I2920" t="s">
        <v>123</v>
      </c>
    </row>
    <row r="2921" spans="1:9" x14ac:dyDescent="0.25">
      <c r="A2921" s="1" t="str">
        <f>HYPERLINK("https://lynxcrm-apac--c.eu19.visual.force.com/0011i000001xoYKAAY","Lim, Su Ann")</f>
        <v>Lim, Su Ann</v>
      </c>
      <c r="B2921" t="s">
        <v>6081</v>
      </c>
      <c r="C2921" t="s">
        <v>28</v>
      </c>
      <c r="D2921" t="s">
        <v>1318</v>
      </c>
      <c r="E2921" t="s">
        <v>8</v>
      </c>
      <c r="F2921" t="s">
        <v>258</v>
      </c>
      <c r="G2921" t="s">
        <v>261</v>
      </c>
      <c r="H2921" t="s">
        <v>261</v>
      </c>
      <c r="I2921" t="s">
        <v>260</v>
      </c>
    </row>
    <row r="2922" spans="1:9" x14ac:dyDescent="0.25">
      <c r="A2922" s="1" t="str">
        <f>HYPERLINK("https://lynxcrm-apac--c.eu19.visual.force.com/0011i000001xoYKAAY","Lim, Su Ann")</f>
        <v>Lim, Su Ann</v>
      </c>
      <c r="B2922" t="s">
        <v>6081</v>
      </c>
      <c r="C2922" t="s">
        <v>28</v>
      </c>
      <c r="D2922" t="s">
        <v>261</v>
      </c>
      <c r="E2922" t="s">
        <v>8</v>
      </c>
      <c r="F2922" t="s">
        <v>261</v>
      </c>
      <c r="G2922" t="s">
        <v>347</v>
      </c>
      <c r="H2922" t="s">
        <v>347</v>
      </c>
      <c r="I2922" t="s">
        <v>260</v>
      </c>
    </row>
    <row r="2923" spans="1:9" x14ac:dyDescent="0.25">
      <c r="A2923" s="1" t="str">
        <f>HYPERLINK("https://lynxcrm-apac--c.eu19.visual.force.com/0011i000001xo59AAA","Lim, Susan")</f>
        <v>Lim, Susan</v>
      </c>
      <c r="B2923" t="s">
        <v>6082</v>
      </c>
      <c r="C2923" t="s">
        <v>28</v>
      </c>
      <c r="D2923" t="s">
        <v>54</v>
      </c>
      <c r="E2923" t="s">
        <v>8</v>
      </c>
      <c r="F2923" t="s">
        <v>1225</v>
      </c>
      <c r="G2923" t="s">
        <v>1225</v>
      </c>
      <c r="H2923" t="s">
        <v>1226</v>
      </c>
      <c r="I2923" t="s">
        <v>55</v>
      </c>
    </row>
    <row r="2924" spans="1:9" x14ac:dyDescent="0.25">
      <c r="A2924" s="1" t="str">
        <f>HYPERLINK("https://lynxcrm-apac--c.eu19.visual.force.com/0011i000001xoBmAAI","Lim, Swee Boon")</f>
        <v>Lim, Swee Boon</v>
      </c>
      <c r="B2924" t="s">
        <v>6083</v>
      </c>
      <c r="C2924" t="s">
        <v>28</v>
      </c>
      <c r="D2924" t="s">
        <v>6084</v>
      </c>
      <c r="E2924" t="s">
        <v>8</v>
      </c>
      <c r="F2924" t="s">
        <v>6085</v>
      </c>
      <c r="G2924" t="s">
        <v>6086</v>
      </c>
      <c r="H2924" t="s">
        <v>6086</v>
      </c>
      <c r="I2924" t="s">
        <v>6087</v>
      </c>
    </row>
    <row r="2925" spans="1:9" x14ac:dyDescent="0.25">
      <c r="A2925" s="1" t="str">
        <f>HYPERLINK("https://lynxcrm-apac--c.eu19.visual.force.com/0011i000001xnr2AAA","Lim, Sylvia")</f>
        <v>Lim, Sylvia</v>
      </c>
      <c r="B2925" t="s">
        <v>6088</v>
      </c>
      <c r="C2925" t="s">
        <v>28</v>
      </c>
      <c r="D2925" t="s">
        <v>1894</v>
      </c>
      <c r="E2925" t="s">
        <v>8</v>
      </c>
      <c r="F2925" t="s">
        <v>3112</v>
      </c>
      <c r="G2925" t="s">
        <v>65</v>
      </c>
      <c r="H2925" t="s">
        <v>65</v>
      </c>
      <c r="I2925" t="s">
        <v>466</v>
      </c>
    </row>
    <row r="2926" spans="1:9" x14ac:dyDescent="0.25">
      <c r="A2926" s="1" t="str">
        <f>HYPERLINK("https://lynxcrm-apac--c.eu19.visual.force.com/0011i000001xorKAAQ","Lim, Sze Sze")</f>
        <v>Lim, Sze Sze</v>
      </c>
      <c r="B2926" t="s">
        <v>6089</v>
      </c>
      <c r="C2926" t="s">
        <v>28</v>
      </c>
      <c r="D2926" t="s">
        <v>6059</v>
      </c>
      <c r="E2926" t="s">
        <v>8</v>
      </c>
      <c r="F2926" t="s">
        <v>4036</v>
      </c>
      <c r="G2926" t="s">
        <v>4037</v>
      </c>
      <c r="H2926" t="s">
        <v>4037</v>
      </c>
      <c r="I2926" t="s">
        <v>4038</v>
      </c>
    </row>
    <row r="2927" spans="1:9" x14ac:dyDescent="0.25">
      <c r="A2927" s="1" t="str">
        <f>HYPERLINK("https://lynxcrm-apac--c.eu19.visual.force.com/0011i000001xoWcAAI","Lim, Tai Tian")</f>
        <v>Lim, Tai Tian</v>
      </c>
      <c r="B2927" t="s">
        <v>6090</v>
      </c>
      <c r="C2927" t="s">
        <v>28</v>
      </c>
      <c r="D2927" t="s">
        <v>6091</v>
      </c>
      <c r="E2927" t="s">
        <v>8</v>
      </c>
      <c r="F2927" t="s">
        <v>6092</v>
      </c>
      <c r="G2927" t="s">
        <v>83</v>
      </c>
      <c r="H2927" t="s">
        <v>83</v>
      </c>
      <c r="I2927" t="s">
        <v>6093</v>
      </c>
    </row>
    <row r="2928" spans="1:9" x14ac:dyDescent="0.25">
      <c r="A2928" s="1" t="str">
        <f>HYPERLINK("https://lynxcrm-apac--c.eu19.visual.force.com/0011i000001xnkDAAQ","Lim, Teck Chye")</f>
        <v>Lim, Teck Chye</v>
      </c>
      <c r="B2928" t="s">
        <v>6094</v>
      </c>
      <c r="C2928" t="s">
        <v>28</v>
      </c>
      <c r="D2928" t="s">
        <v>6014</v>
      </c>
      <c r="E2928" t="s">
        <v>8</v>
      </c>
      <c r="F2928" t="s">
        <v>1768</v>
      </c>
      <c r="G2928" t="s">
        <v>6015</v>
      </c>
      <c r="H2928" t="s">
        <v>6016</v>
      </c>
      <c r="I2928" t="s">
        <v>47</v>
      </c>
    </row>
    <row r="2929" spans="1:9" x14ac:dyDescent="0.25">
      <c r="A2929" s="1" t="str">
        <f>HYPERLINK("https://lynxcrm-apac--c.eu19.visual.force.com/0011i000001xnkHAAQ","Lim, Thuan Lok John")</f>
        <v>Lim, Thuan Lok John</v>
      </c>
      <c r="B2929" t="s">
        <v>6095</v>
      </c>
      <c r="C2929" t="s">
        <v>28</v>
      </c>
      <c r="D2929" t="s">
        <v>6096</v>
      </c>
      <c r="E2929" t="s">
        <v>8</v>
      </c>
      <c r="F2929" t="s">
        <v>4594</v>
      </c>
      <c r="G2929" t="s">
        <v>4595</v>
      </c>
      <c r="H2929" t="s">
        <v>4596</v>
      </c>
      <c r="I2929" t="s">
        <v>2974</v>
      </c>
    </row>
    <row r="2930" spans="1:9" x14ac:dyDescent="0.25">
      <c r="A2930" s="1" t="str">
        <f>HYPERLINK("https://lynxcrm-apac--c.eu19.visual.force.com/0011i000001xnkLAAQ","Lim, Tiong Chee")</f>
        <v>Lim, Tiong Chee</v>
      </c>
      <c r="B2930" t="s">
        <v>6097</v>
      </c>
      <c r="C2930" t="s">
        <v>28</v>
      </c>
      <c r="D2930" t="s">
        <v>6098</v>
      </c>
      <c r="E2930" t="s">
        <v>8</v>
      </c>
      <c r="F2930" t="s">
        <v>6099</v>
      </c>
      <c r="G2930" t="s">
        <v>388</v>
      </c>
      <c r="H2930" t="s">
        <v>388</v>
      </c>
      <c r="I2930" t="s">
        <v>123</v>
      </c>
    </row>
    <row r="2931" spans="1:9" x14ac:dyDescent="0.25">
      <c r="A2931" s="1" t="str">
        <f>HYPERLINK("https://lynxcrm-apac--c.eu19.visual.force.com/0011i00000oVYM7AAO","Lim, Tiong keng")</f>
        <v>Lim, Tiong keng</v>
      </c>
      <c r="B2931" t="s">
        <v>6100</v>
      </c>
      <c r="C2931" t="s">
        <v>28</v>
      </c>
      <c r="D2931" t="s">
        <v>8</v>
      </c>
      <c r="E2931" t="s">
        <v>8</v>
      </c>
      <c r="F2931" t="s">
        <v>377</v>
      </c>
      <c r="G2931" t="s">
        <v>6101</v>
      </c>
      <c r="H2931" t="s">
        <v>6102</v>
      </c>
      <c r="I2931" t="s">
        <v>123</v>
      </c>
    </row>
    <row r="2932" spans="1:9" x14ac:dyDescent="0.25">
      <c r="A2932" s="1" t="str">
        <f>HYPERLINK("https://lynxcrm-apac--c.eu19.visual.force.com/0011i00000oVYM7AAO","Lim, Tiong keng")</f>
        <v>Lim, Tiong keng</v>
      </c>
      <c r="B2932" t="s">
        <v>6100</v>
      </c>
      <c r="C2932" t="s">
        <v>28</v>
      </c>
      <c r="D2932" t="s">
        <v>6103</v>
      </c>
      <c r="E2932" t="s">
        <v>8</v>
      </c>
      <c r="F2932" t="s">
        <v>377</v>
      </c>
      <c r="G2932" t="s">
        <v>6101</v>
      </c>
      <c r="H2932" t="s">
        <v>6102</v>
      </c>
      <c r="I2932" t="s">
        <v>123</v>
      </c>
    </row>
    <row r="2933" spans="1:9" x14ac:dyDescent="0.25">
      <c r="A2933" s="1" t="str">
        <f>HYPERLINK("https://lynxcrm-apac--c.eu19.visual.force.com/0011i00000oVYM7AAO","Lim, Tiong keng")</f>
        <v>Lim, Tiong keng</v>
      </c>
      <c r="B2933" t="s">
        <v>6100</v>
      </c>
      <c r="C2933" t="s">
        <v>28</v>
      </c>
      <c r="D2933" t="s">
        <v>6103</v>
      </c>
      <c r="E2933" t="s">
        <v>8</v>
      </c>
      <c r="F2933" t="s">
        <v>6104</v>
      </c>
      <c r="G2933" t="s">
        <v>6105</v>
      </c>
      <c r="H2933" t="s">
        <v>6105</v>
      </c>
      <c r="I2933" t="s">
        <v>123</v>
      </c>
    </row>
    <row r="2934" spans="1:9" x14ac:dyDescent="0.25">
      <c r="A2934" s="1" t="str">
        <f>HYPERLINK("https://lynxcrm-apac--c.eu19.visual.force.com/0011i000007FFbqAAG","Lim, Tiong Keng")</f>
        <v>Lim, Tiong Keng</v>
      </c>
      <c r="B2934" t="s">
        <v>6106</v>
      </c>
      <c r="C2934" t="s">
        <v>28</v>
      </c>
      <c r="D2934" t="s">
        <v>8</v>
      </c>
      <c r="E2934" t="s">
        <v>8</v>
      </c>
      <c r="F2934" t="s">
        <v>377</v>
      </c>
      <c r="G2934" t="s">
        <v>6101</v>
      </c>
      <c r="H2934" t="s">
        <v>6102</v>
      </c>
      <c r="I2934" t="s">
        <v>123</v>
      </c>
    </row>
    <row r="2935" spans="1:9" x14ac:dyDescent="0.25">
      <c r="A2935" s="1" t="str">
        <f>HYPERLINK("https://lynxcrm-apac--c.eu19.visual.force.com/0011i000007FFbqAAG","Lim, Tiong Keng")</f>
        <v>Lim, Tiong Keng</v>
      </c>
      <c r="B2935" t="s">
        <v>6106</v>
      </c>
      <c r="C2935" t="s">
        <v>28</v>
      </c>
      <c r="D2935" t="s">
        <v>6103</v>
      </c>
      <c r="E2935" t="s">
        <v>8</v>
      </c>
      <c r="F2935" t="s">
        <v>377</v>
      </c>
      <c r="G2935" t="s">
        <v>6101</v>
      </c>
      <c r="H2935" t="s">
        <v>6102</v>
      </c>
      <c r="I2935" t="s">
        <v>123</v>
      </c>
    </row>
    <row r="2936" spans="1:9" x14ac:dyDescent="0.25">
      <c r="A2936" s="1" t="str">
        <f>HYPERLINK("https://lynxcrm-apac--c.eu19.visual.force.com/0011i000007FFbqAAG","Lim, Tiong Keng")</f>
        <v>Lim, Tiong Keng</v>
      </c>
      <c r="B2936" t="s">
        <v>6106</v>
      </c>
      <c r="C2936" t="s">
        <v>28</v>
      </c>
      <c r="D2936" t="s">
        <v>6103</v>
      </c>
      <c r="E2936" t="s">
        <v>8</v>
      </c>
      <c r="F2936" t="s">
        <v>6104</v>
      </c>
      <c r="G2936" t="s">
        <v>6105</v>
      </c>
      <c r="H2936" t="s">
        <v>6105</v>
      </c>
      <c r="I2936" t="s">
        <v>123</v>
      </c>
    </row>
    <row r="2937" spans="1:9" x14ac:dyDescent="0.25">
      <c r="A2937" s="1" t="str">
        <f>HYPERLINK("https://lynxcrm-apac--c.eu19.visual.force.com/0011i000001xnxJAAQ","Lim, Toon Wei")</f>
        <v>Lim, Toon Wei</v>
      </c>
      <c r="B2937" t="s">
        <v>6107</v>
      </c>
      <c r="C2937" t="s">
        <v>28</v>
      </c>
      <c r="D2937" t="s">
        <v>429</v>
      </c>
      <c r="E2937" t="s">
        <v>8</v>
      </c>
      <c r="F2937" t="s">
        <v>234</v>
      </c>
      <c r="G2937" t="s">
        <v>444</v>
      </c>
      <c r="H2937" t="s">
        <v>444</v>
      </c>
      <c r="I2937" t="s">
        <v>430</v>
      </c>
    </row>
    <row r="2938" spans="1:9" x14ac:dyDescent="0.25">
      <c r="A2938" s="1" t="str">
        <f>HYPERLINK("https://lynxcrm-apac--c.eu19.visual.force.com/0011i000001xnxJAAQ","Lim, Toon Wei")</f>
        <v>Lim, Toon Wei</v>
      </c>
      <c r="B2938" t="s">
        <v>6107</v>
      </c>
      <c r="C2938" t="s">
        <v>28</v>
      </c>
      <c r="D2938" t="s">
        <v>429</v>
      </c>
      <c r="E2938" t="s">
        <v>8</v>
      </c>
      <c r="F2938" t="s">
        <v>429</v>
      </c>
      <c r="G2938" t="s">
        <v>428</v>
      </c>
      <c r="H2938" t="s">
        <v>428</v>
      </c>
      <c r="I2938" t="s">
        <v>430</v>
      </c>
    </row>
    <row r="2939" spans="1:9" x14ac:dyDescent="0.25">
      <c r="A2939" s="1" t="str">
        <f>HYPERLINK("https://lynxcrm-apac--c.eu19.visual.force.com/0011i000001xoLbAAI","Lim, Tow Poh")</f>
        <v>Lim, Tow Poh</v>
      </c>
      <c r="B2939" t="s">
        <v>6108</v>
      </c>
      <c r="C2939" t="s">
        <v>28</v>
      </c>
      <c r="D2939" t="s">
        <v>1253</v>
      </c>
      <c r="E2939" t="s">
        <v>8</v>
      </c>
      <c r="F2939" t="s">
        <v>366</v>
      </c>
      <c r="G2939" t="s">
        <v>360</v>
      </c>
      <c r="H2939" t="s">
        <v>361</v>
      </c>
      <c r="I2939" t="s">
        <v>362</v>
      </c>
    </row>
    <row r="2940" spans="1:9" x14ac:dyDescent="0.25">
      <c r="A2940" s="1" t="str">
        <f>HYPERLINK("https://lynxcrm-apac--c.eu19.visual.force.com/0011i000001xoQJAAY","Lim, Ui Chong Eugene")</f>
        <v>Lim, Ui Chong Eugene</v>
      </c>
      <c r="B2940" t="s">
        <v>6109</v>
      </c>
      <c r="C2940" t="s">
        <v>28</v>
      </c>
      <c r="D2940" t="s">
        <v>6110</v>
      </c>
      <c r="E2940" t="s">
        <v>8</v>
      </c>
      <c r="F2940" t="s">
        <v>6111</v>
      </c>
      <c r="G2940" t="s">
        <v>121</v>
      </c>
      <c r="H2940" t="s">
        <v>121</v>
      </c>
      <c r="I2940" t="s">
        <v>123</v>
      </c>
    </row>
    <row r="2941" spans="1:9" x14ac:dyDescent="0.25">
      <c r="A2941" s="1" t="str">
        <f>HYPERLINK("https://lynxcrm-apac--c.eu19.visual.force.com/0011i000001xnkOAAQ","Lim, Wan Ie")</f>
        <v>Lim, Wan Ie</v>
      </c>
      <c r="B2941" t="s">
        <v>6112</v>
      </c>
      <c r="C2941" t="s">
        <v>28</v>
      </c>
      <c r="D2941" t="s">
        <v>5997</v>
      </c>
      <c r="E2941" t="s">
        <v>8</v>
      </c>
      <c r="F2941" t="s">
        <v>6113</v>
      </c>
      <c r="G2941" t="s">
        <v>6114</v>
      </c>
      <c r="H2941" t="s">
        <v>6115</v>
      </c>
      <c r="I2941" t="s">
        <v>6116</v>
      </c>
    </row>
    <row r="2942" spans="1:9" x14ac:dyDescent="0.25">
      <c r="A2942" s="1" t="str">
        <f>HYPERLINK("https://lynxcrm-apac--c.eu19.visual.force.com/0011i00000pb5RBAAY","Lim, Weai Ling")</f>
        <v>Lim, Weai Ling</v>
      </c>
      <c r="B2942" t="s">
        <v>6117</v>
      </c>
      <c r="C2942" t="s">
        <v>28</v>
      </c>
      <c r="D2942" t="s">
        <v>545</v>
      </c>
      <c r="E2942" t="s">
        <v>8</v>
      </c>
      <c r="F2942" t="s">
        <v>546</v>
      </c>
      <c r="G2942" t="s">
        <v>547</v>
      </c>
      <c r="H2942" t="s">
        <v>547</v>
      </c>
      <c r="I2942" t="s">
        <v>548</v>
      </c>
    </row>
    <row r="2943" spans="1:9" x14ac:dyDescent="0.25">
      <c r="A2943" s="1" t="str">
        <f>HYPERLINK("https://lynxcrm-apac--c.eu19.visual.force.com/0011i000001xnkjAAA","Lim, Wee How")</f>
        <v>Lim, Wee How</v>
      </c>
      <c r="B2943" t="s">
        <v>6118</v>
      </c>
      <c r="C2943" t="s">
        <v>28</v>
      </c>
      <c r="D2943" t="s">
        <v>6119</v>
      </c>
      <c r="E2943" t="s">
        <v>8</v>
      </c>
      <c r="F2943" t="s">
        <v>6120</v>
      </c>
      <c r="G2943" t="s">
        <v>6121</v>
      </c>
      <c r="H2943" t="s">
        <v>6122</v>
      </c>
      <c r="I2943" t="s">
        <v>6123</v>
      </c>
    </row>
    <row r="2944" spans="1:9" x14ac:dyDescent="0.25">
      <c r="A2944" s="1" t="str">
        <f>HYPERLINK("https://lynxcrm-apac--c.eu19.visual.force.com/0011i000001xoDIAAY","Lim, Wee Shiong")</f>
        <v>Lim, Wee Shiong</v>
      </c>
      <c r="B2944" t="s">
        <v>6124</v>
      </c>
      <c r="C2944" t="s">
        <v>28</v>
      </c>
      <c r="D2944" t="s">
        <v>261</v>
      </c>
      <c r="E2944" t="s">
        <v>8</v>
      </c>
      <c r="F2944" t="s">
        <v>248</v>
      </c>
      <c r="G2944" t="s">
        <v>258</v>
      </c>
      <c r="H2944" t="s">
        <v>259</v>
      </c>
      <c r="I2944" t="s">
        <v>260</v>
      </c>
    </row>
    <row r="2945" spans="1:9" x14ac:dyDescent="0.25">
      <c r="A2945" s="1" t="str">
        <f>HYPERLINK("https://lynxcrm-apac--c.eu19.visual.force.com/0011i000001xobdAAA","Lim, Wee Tee")</f>
        <v>Lim, Wee Tee</v>
      </c>
      <c r="B2945" t="s">
        <v>6125</v>
      </c>
      <c r="C2945" t="s">
        <v>28</v>
      </c>
      <c r="D2945" t="s">
        <v>6126</v>
      </c>
      <c r="E2945" t="s">
        <v>8</v>
      </c>
      <c r="F2945" t="s">
        <v>6127</v>
      </c>
      <c r="G2945" t="s">
        <v>6128</v>
      </c>
      <c r="H2945" t="s">
        <v>6129</v>
      </c>
      <c r="I2945" t="s">
        <v>6130</v>
      </c>
    </row>
    <row r="2946" spans="1:9" x14ac:dyDescent="0.25">
      <c r="A2946" s="1" t="str">
        <f>HYPERLINK("https://lynxcrm-apac--c.eu19.visual.force.com/0011i000002IdADAA0","Lim, Wei Khoon")</f>
        <v>Lim, Wei Khoon</v>
      </c>
      <c r="B2946" t="s">
        <v>6131</v>
      </c>
      <c r="C2946" t="s">
        <v>28</v>
      </c>
      <c r="D2946" t="s">
        <v>12</v>
      </c>
      <c r="E2946" t="s">
        <v>8</v>
      </c>
      <c r="F2946" t="s">
        <v>11</v>
      </c>
      <c r="G2946" t="s">
        <v>11</v>
      </c>
      <c r="H2946" t="s">
        <v>8</v>
      </c>
      <c r="I2946" t="s">
        <v>13</v>
      </c>
    </row>
    <row r="2947" spans="1:9" x14ac:dyDescent="0.25">
      <c r="A2947" s="1" t="str">
        <f>HYPERLINK("https://lynxcrm-apac--c.eu19.visual.force.com/0011i000001xoI5AAI","Lim, Wei Liang Daniel")</f>
        <v>Lim, Wei Liang Daniel</v>
      </c>
      <c r="B2947" t="s">
        <v>6132</v>
      </c>
      <c r="C2947" t="s">
        <v>28</v>
      </c>
      <c r="D2947" t="s">
        <v>6133</v>
      </c>
      <c r="E2947" t="s">
        <v>8</v>
      </c>
      <c r="F2947" t="s">
        <v>6134</v>
      </c>
      <c r="G2947" t="s">
        <v>5957</v>
      </c>
      <c r="H2947" t="s">
        <v>6135</v>
      </c>
      <c r="I2947" t="s">
        <v>5958</v>
      </c>
    </row>
    <row r="2948" spans="1:9" x14ac:dyDescent="0.25">
      <c r="A2948" s="1" t="str">
        <f>HYPERLINK("https://lynxcrm-apac--c.eu19.visual.force.com/0011i00000FH4AcAAL","Lim, Wei-Min Jason")</f>
        <v>Lim, Wei-Min Jason</v>
      </c>
      <c r="B2948" t="s">
        <v>6136</v>
      </c>
      <c r="C2948" t="s">
        <v>28</v>
      </c>
      <c r="D2948" t="s">
        <v>6137</v>
      </c>
      <c r="E2948" t="s">
        <v>8</v>
      </c>
      <c r="F2948" t="s">
        <v>4552</v>
      </c>
      <c r="G2948" t="s">
        <v>4553</v>
      </c>
      <c r="H2948" t="s">
        <v>8</v>
      </c>
      <c r="I2948" t="s">
        <v>344</v>
      </c>
    </row>
    <row r="2949" spans="1:9" x14ac:dyDescent="0.25">
      <c r="A2949" s="1" t="str">
        <f>HYPERLINK("https://lynxcrm-apac--c.eu19.visual.force.com/0011i000007FG5tAAG","Lim, Wei Xiang Mark")</f>
        <v>Lim, Wei Xiang Mark</v>
      </c>
      <c r="B2949" t="s">
        <v>6138</v>
      </c>
      <c r="C2949" t="s">
        <v>28</v>
      </c>
      <c r="D2949" t="s">
        <v>6139</v>
      </c>
      <c r="E2949" t="s">
        <v>8</v>
      </c>
      <c r="F2949" t="s">
        <v>6140</v>
      </c>
      <c r="G2949" t="s">
        <v>6141</v>
      </c>
      <c r="H2949" t="s">
        <v>8</v>
      </c>
      <c r="I2949" t="s">
        <v>6142</v>
      </c>
    </row>
    <row r="2950" spans="1:9" x14ac:dyDescent="0.25">
      <c r="A2950" s="1" t="str">
        <f>HYPERLINK("https://lynxcrm-apac--c.eu19.visual.force.com/0011i000001xo1QAAQ","Lim, Wei Ying")</f>
        <v>Lim, Wei Ying</v>
      </c>
      <c r="B2950" t="s">
        <v>6143</v>
      </c>
      <c r="C2950" t="s">
        <v>28</v>
      </c>
      <c r="D2950" t="s">
        <v>251</v>
      </c>
      <c r="E2950" t="s">
        <v>8</v>
      </c>
      <c r="F2950" t="s">
        <v>251</v>
      </c>
      <c r="G2950" t="s">
        <v>252</v>
      </c>
      <c r="H2950" t="s">
        <v>252</v>
      </c>
      <c r="I2950" t="s">
        <v>253</v>
      </c>
    </row>
    <row r="2951" spans="1:9" x14ac:dyDescent="0.25">
      <c r="A2951" s="1" t="str">
        <f>HYPERLINK("https://lynxcrm-apac--c.eu19.visual.force.com/0011i000001xoDvAAI","Lim, Weng Fai John")</f>
        <v>Lim, Weng Fai John</v>
      </c>
      <c r="B2951" t="s">
        <v>6144</v>
      </c>
      <c r="C2951" t="s">
        <v>28</v>
      </c>
      <c r="D2951" t="s">
        <v>3194</v>
      </c>
      <c r="E2951" t="s">
        <v>8</v>
      </c>
      <c r="F2951" t="s">
        <v>2837</v>
      </c>
      <c r="G2951" t="s">
        <v>2838</v>
      </c>
      <c r="H2951" t="s">
        <v>2839</v>
      </c>
      <c r="I2951" t="s">
        <v>2840</v>
      </c>
    </row>
    <row r="2952" spans="1:9" x14ac:dyDescent="0.25">
      <c r="A2952" s="1" t="str">
        <f>HYPERLINK("https://lynxcrm-apac--c.eu19.visual.force.com/0011i000001xnrLAAQ","Lim, Wen Li Grace")</f>
        <v>Lim, Wen Li Grace</v>
      </c>
      <c r="B2952" t="s">
        <v>6145</v>
      </c>
      <c r="C2952" t="s">
        <v>28</v>
      </c>
      <c r="D2952" t="s">
        <v>4461</v>
      </c>
      <c r="E2952" t="s">
        <v>8</v>
      </c>
      <c r="F2952" t="s">
        <v>679</v>
      </c>
      <c r="G2952" t="s">
        <v>3490</v>
      </c>
      <c r="H2952" t="s">
        <v>3491</v>
      </c>
      <c r="I2952" t="s">
        <v>115</v>
      </c>
    </row>
    <row r="2953" spans="1:9" x14ac:dyDescent="0.25">
      <c r="A2953" s="1" t="str">
        <f>HYPERLINK("https://lynxcrm-apac--c.eu19.visual.force.com/0011i000001xnwKAAQ","Lim, Wen Phei")</f>
        <v>Lim, Wen Phei</v>
      </c>
      <c r="B2953" t="s">
        <v>6146</v>
      </c>
      <c r="C2953" t="s">
        <v>28</v>
      </c>
      <c r="D2953" t="s">
        <v>429</v>
      </c>
      <c r="E2953" t="s">
        <v>8</v>
      </c>
      <c r="F2953" t="s">
        <v>429</v>
      </c>
      <c r="G2953" t="s">
        <v>428</v>
      </c>
      <c r="H2953" t="s">
        <v>428</v>
      </c>
      <c r="I2953" t="s">
        <v>430</v>
      </c>
    </row>
    <row r="2954" spans="1:9" x14ac:dyDescent="0.25">
      <c r="A2954" s="1" t="str">
        <f>HYPERLINK("https://lynxcrm-apac--c.eu19.visual.force.com/0011i000001xnwKAAQ","Lim, Wen Phei")</f>
        <v>Lim, Wen Phei</v>
      </c>
      <c r="B2954" t="s">
        <v>6146</v>
      </c>
      <c r="C2954" t="s">
        <v>28</v>
      </c>
      <c r="D2954" t="s">
        <v>429</v>
      </c>
      <c r="E2954" t="s">
        <v>8</v>
      </c>
      <c r="F2954" t="s">
        <v>444</v>
      </c>
      <c r="G2954" t="s">
        <v>444</v>
      </c>
      <c r="H2954" t="s">
        <v>8</v>
      </c>
      <c r="I2954" t="s">
        <v>430</v>
      </c>
    </row>
    <row r="2955" spans="1:9" x14ac:dyDescent="0.25">
      <c r="A2955" s="1" t="str">
        <f>HYPERLINK("https://lynxcrm-apac--c.eu19.visual.force.com/0011i000001xnwKAAQ","Lim, Wen Phei")</f>
        <v>Lim, Wen Phei</v>
      </c>
      <c r="B2955" t="s">
        <v>6146</v>
      </c>
      <c r="C2955" t="s">
        <v>28</v>
      </c>
      <c r="D2955" t="s">
        <v>429</v>
      </c>
      <c r="E2955" t="s">
        <v>8</v>
      </c>
      <c r="F2955" t="s">
        <v>445</v>
      </c>
      <c r="G2955" t="s">
        <v>428</v>
      </c>
      <c r="H2955" t="s">
        <v>428</v>
      </c>
      <c r="I2955" t="s">
        <v>430</v>
      </c>
    </row>
    <row r="2956" spans="1:9" x14ac:dyDescent="0.25">
      <c r="A2956" s="1" t="str">
        <f>HYPERLINK("https://lynxcrm-apac--c.eu19.visual.force.com/0011i000001xnwKAAQ","Lim, Wen Phei")</f>
        <v>Lim, Wen Phei</v>
      </c>
      <c r="B2956" t="s">
        <v>6146</v>
      </c>
      <c r="C2956" t="s">
        <v>28</v>
      </c>
      <c r="D2956" t="s">
        <v>429</v>
      </c>
      <c r="E2956" t="s">
        <v>8</v>
      </c>
      <c r="F2956" t="s">
        <v>444</v>
      </c>
      <c r="G2956" t="s">
        <v>444</v>
      </c>
      <c r="H2956" t="s">
        <v>8</v>
      </c>
      <c r="I2956" t="s">
        <v>8</v>
      </c>
    </row>
    <row r="2957" spans="1:9" x14ac:dyDescent="0.25">
      <c r="A2957" s="1" t="str">
        <f>HYPERLINK("https://lynxcrm-apac--c.eu19.visual.force.com/0011i000001xo40AAA","Lim, Yean Teng")</f>
        <v>Lim, Yean Teng</v>
      </c>
      <c r="B2957" t="s">
        <v>6147</v>
      </c>
      <c r="C2957" t="s">
        <v>28</v>
      </c>
      <c r="D2957" t="s">
        <v>6148</v>
      </c>
      <c r="E2957" t="s">
        <v>8</v>
      </c>
      <c r="F2957" t="s">
        <v>377</v>
      </c>
      <c r="G2957" t="s">
        <v>6149</v>
      </c>
      <c r="H2957" t="s">
        <v>6150</v>
      </c>
      <c r="I2957" t="s">
        <v>123</v>
      </c>
    </row>
    <row r="2958" spans="1:9" x14ac:dyDescent="0.25">
      <c r="A2958" s="1" t="str">
        <f>HYPERLINK("https://lynxcrm-apac--c.eu19.visual.force.com/0011i000001xoDJAAY","Lim, Yean Yen")</f>
        <v>Lim, Yean Yen</v>
      </c>
      <c r="B2958" t="s">
        <v>6151</v>
      </c>
      <c r="C2958" t="s">
        <v>28</v>
      </c>
      <c r="D2958" t="s">
        <v>261</v>
      </c>
      <c r="E2958" t="s">
        <v>8</v>
      </c>
      <c r="F2958" t="s">
        <v>368</v>
      </c>
      <c r="G2958" t="s">
        <v>258</v>
      </c>
      <c r="H2958" t="s">
        <v>258</v>
      </c>
      <c r="I2958" t="s">
        <v>260</v>
      </c>
    </row>
    <row r="2959" spans="1:9" x14ac:dyDescent="0.25">
      <c r="A2959" s="1" t="str">
        <f>HYPERLINK("https://lynxcrm-apac--c.eu19.visual.force.com/0011i000001xoDJAAY","Lim, Yean Yen")</f>
        <v>Lim, Yean Yen</v>
      </c>
      <c r="B2959" t="s">
        <v>6151</v>
      </c>
      <c r="C2959" t="s">
        <v>28</v>
      </c>
      <c r="D2959" t="s">
        <v>261</v>
      </c>
      <c r="E2959" t="s">
        <v>8</v>
      </c>
      <c r="F2959" t="s">
        <v>261</v>
      </c>
      <c r="G2959" t="s">
        <v>347</v>
      </c>
      <c r="H2959" t="s">
        <v>347</v>
      </c>
      <c r="I2959" t="s">
        <v>260</v>
      </c>
    </row>
    <row r="2960" spans="1:9" x14ac:dyDescent="0.25">
      <c r="A2960" s="1" t="str">
        <f>HYPERLINK("https://lynxcrm-apac--c.eu19.visual.force.com/0011i000001xonRAAQ","Lim, Yeeu Kuang (2)")</f>
        <v>Lim, Yeeu Kuang (2)</v>
      </c>
      <c r="B2960" t="s">
        <v>6152</v>
      </c>
      <c r="C2960" t="s">
        <v>28</v>
      </c>
      <c r="D2960" t="s">
        <v>4180</v>
      </c>
      <c r="E2960" t="s">
        <v>8</v>
      </c>
      <c r="F2960" t="s">
        <v>4181</v>
      </c>
      <c r="G2960" t="s">
        <v>4182</v>
      </c>
      <c r="H2960" t="s">
        <v>4182</v>
      </c>
      <c r="I2960" t="s">
        <v>4183</v>
      </c>
    </row>
    <row r="2961" spans="1:9" x14ac:dyDescent="0.25">
      <c r="A2961" s="1" t="str">
        <f>HYPERLINK("https://lynxcrm-apac--c.eu19.visual.force.com/0011i000001xoduAAA","Lim, Yi Jia")</f>
        <v>Lim, Yi Jia</v>
      </c>
      <c r="B2961" t="s">
        <v>6153</v>
      </c>
      <c r="C2961" t="s">
        <v>28</v>
      </c>
      <c r="D2961" t="s">
        <v>6154</v>
      </c>
      <c r="E2961" t="s">
        <v>8</v>
      </c>
      <c r="F2961" t="s">
        <v>65</v>
      </c>
      <c r="G2961" t="s">
        <v>6155</v>
      </c>
      <c r="H2961" t="s">
        <v>6155</v>
      </c>
      <c r="I2961" t="s">
        <v>67</v>
      </c>
    </row>
    <row r="2962" spans="1:9" x14ac:dyDescent="0.25">
      <c r="A2962" s="1" t="str">
        <f>HYPERLINK("https://lynxcrm-apac--c.eu19.visual.force.com/0011i000001xniWAAQ","Lim, Ying Tze Julia")</f>
        <v>Lim, Ying Tze Julia</v>
      </c>
      <c r="B2962" t="s">
        <v>6156</v>
      </c>
      <c r="C2962" t="s">
        <v>28</v>
      </c>
      <c r="D2962" t="s">
        <v>540</v>
      </c>
      <c r="E2962" t="s">
        <v>8</v>
      </c>
      <c r="F2962" t="s">
        <v>3379</v>
      </c>
      <c r="G2962" t="s">
        <v>3380</v>
      </c>
      <c r="H2962" t="s">
        <v>3380</v>
      </c>
      <c r="I2962" t="s">
        <v>3381</v>
      </c>
    </row>
    <row r="2963" spans="1:9" x14ac:dyDescent="0.25">
      <c r="A2963" s="1" t="str">
        <f>HYPERLINK("https://lynxcrm-apac--c.eu19.visual.force.com/0011i000001xo9EAAQ","Lim, Yi Ying Adoree")</f>
        <v>Lim, Yi Ying Adoree</v>
      </c>
      <c r="B2963" t="s">
        <v>6157</v>
      </c>
      <c r="C2963" t="s">
        <v>28</v>
      </c>
      <c r="D2963" t="s">
        <v>251</v>
      </c>
      <c r="E2963" t="s">
        <v>8</v>
      </c>
      <c r="F2963" t="s">
        <v>246</v>
      </c>
      <c r="G2963" t="s">
        <v>252</v>
      </c>
      <c r="H2963" t="s">
        <v>858</v>
      </c>
      <c r="I2963" t="s">
        <v>253</v>
      </c>
    </row>
    <row r="2964" spans="1:9" x14ac:dyDescent="0.25">
      <c r="A2964" s="1" t="str">
        <f>HYPERLINK("https://lynxcrm-apac--c.eu19.visual.force.com/0011i000001xonMAAQ","Lim, Yong Chin")</f>
        <v>Lim, Yong Chin</v>
      </c>
      <c r="B2964" t="s">
        <v>6158</v>
      </c>
      <c r="C2964" t="s">
        <v>28</v>
      </c>
      <c r="D2964" t="s">
        <v>6159</v>
      </c>
      <c r="E2964" t="s">
        <v>8</v>
      </c>
      <c r="F2964" t="s">
        <v>6160</v>
      </c>
      <c r="G2964" t="s">
        <v>6161</v>
      </c>
      <c r="H2964" t="s">
        <v>6161</v>
      </c>
      <c r="I2964" t="s">
        <v>6162</v>
      </c>
    </row>
    <row r="2965" spans="1:9" x14ac:dyDescent="0.25">
      <c r="A2965" s="1" t="str">
        <f>HYPERLINK("https://lynxcrm-apac--c.eu19.visual.force.com/0011i000001xnkdAAA","Lim, Yueh Ling")</f>
        <v>Lim, Yueh Ling</v>
      </c>
      <c r="B2965" t="s">
        <v>6163</v>
      </c>
      <c r="C2965" t="s">
        <v>28</v>
      </c>
      <c r="D2965" t="s">
        <v>6164</v>
      </c>
      <c r="E2965" t="s">
        <v>8</v>
      </c>
      <c r="F2965" t="s">
        <v>3062</v>
      </c>
      <c r="G2965" t="s">
        <v>3058</v>
      </c>
      <c r="H2965" t="s">
        <v>3058</v>
      </c>
      <c r="I2965" t="s">
        <v>3060</v>
      </c>
    </row>
    <row r="2966" spans="1:9" x14ac:dyDescent="0.25">
      <c r="A2966" s="1" t="str">
        <f>HYPERLINK("https://lynxcrm-apac--c.eu19.visual.force.com/0011i000001xnkbAAA","Lim, Yu Her")</f>
        <v>Lim, Yu Her</v>
      </c>
      <c r="B2966" t="s">
        <v>6165</v>
      </c>
      <c r="C2966" t="s">
        <v>28</v>
      </c>
      <c r="D2966" t="s">
        <v>6166</v>
      </c>
      <c r="E2966" t="s">
        <v>8</v>
      </c>
      <c r="F2966" t="s">
        <v>6167</v>
      </c>
      <c r="G2966" t="s">
        <v>6168</v>
      </c>
      <c r="H2966" t="s">
        <v>6168</v>
      </c>
      <c r="I2966" t="s">
        <v>6169</v>
      </c>
    </row>
    <row r="2967" spans="1:9" x14ac:dyDescent="0.25">
      <c r="A2967" s="1" t="str">
        <f>HYPERLINK("https://lynxcrm-apac--c.eu19.visual.force.com/0011i000001xnkhAAA","Lim, Yun Chin")</f>
        <v>Lim, Yun Chin</v>
      </c>
      <c r="B2967" t="s">
        <v>6170</v>
      </c>
      <c r="C2967" t="s">
        <v>28</v>
      </c>
      <c r="D2967" t="s">
        <v>1412</v>
      </c>
      <c r="E2967" t="s">
        <v>8</v>
      </c>
      <c r="F2967" t="s">
        <v>163</v>
      </c>
      <c r="G2967" t="s">
        <v>164</v>
      </c>
      <c r="H2967" t="s">
        <v>164</v>
      </c>
      <c r="I2967" t="s">
        <v>165</v>
      </c>
    </row>
    <row r="2968" spans="1:9" x14ac:dyDescent="0.25">
      <c r="A2968" s="1" t="str">
        <f t="shared" ref="A2968:A2973" si="22">HYPERLINK("https://lynxcrm-apac--c.eu19.visual.force.com/0011i000001xnhRAAQ","Lim, Zhan Yun Patrick")</f>
        <v>Lim, Zhan Yun Patrick</v>
      </c>
      <c r="B2968" t="s">
        <v>6171</v>
      </c>
      <c r="C2968" t="s">
        <v>28</v>
      </c>
      <c r="D2968" t="s">
        <v>501</v>
      </c>
      <c r="E2968" t="s">
        <v>8</v>
      </c>
      <c r="F2968" t="s">
        <v>501</v>
      </c>
      <c r="G2968" t="s">
        <v>502</v>
      </c>
      <c r="H2968" t="s">
        <v>502</v>
      </c>
      <c r="I2968" t="s">
        <v>506</v>
      </c>
    </row>
    <row r="2969" spans="1:9" x14ac:dyDescent="0.25">
      <c r="A2969" s="1" t="str">
        <f t="shared" si="22"/>
        <v>Lim, Zhan Yun Patrick</v>
      </c>
      <c r="B2969" t="s">
        <v>6171</v>
      </c>
      <c r="C2969" t="s">
        <v>28</v>
      </c>
      <c r="D2969" t="s">
        <v>501</v>
      </c>
      <c r="E2969" t="s">
        <v>8</v>
      </c>
      <c r="F2969" t="s">
        <v>502</v>
      </c>
      <c r="G2969" t="s">
        <v>502</v>
      </c>
      <c r="H2969" t="s">
        <v>503</v>
      </c>
      <c r="I2969" t="s">
        <v>504</v>
      </c>
    </row>
    <row r="2970" spans="1:9" x14ac:dyDescent="0.25">
      <c r="A2970" s="1" t="str">
        <f t="shared" si="22"/>
        <v>Lim, Zhan Yun Patrick</v>
      </c>
      <c r="B2970" t="s">
        <v>6171</v>
      </c>
      <c r="C2970" t="s">
        <v>28</v>
      </c>
      <c r="D2970" t="s">
        <v>501</v>
      </c>
      <c r="E2970" t="s">
        <v>8</v>
      </c>
      <c r="F2970" t="s">
        <v>246</v>
      </c>
      <c r="G2970" t="s">
        <v>502</v>
      </c>
      <c r="H2970" t="s">
        <v>503</v>
      </c>
      <c r="I2970" t="s">
        <v>504</v>
      </c>
    </row>
    <row r="2971" spans="1:9" x14ac:dyDescent="0.25">
      <c r="A2971" s="1" t="str">
        <f t="shared" si="22"/>
        <v>Lim, Zhan Yun Patrick</v>
      </c>
      <c r="B2971" t="s">
        <v>6171</v>
      </c>
      <c r="C2971" t="s">
        <v>28</v>
      </c>
      <c r="D2971" t="s">
        <v>501</v>
      </c>
      <c r="E2971" t="s">
        <v>8</v>
      </c>
      <c r="F2971" t="s">
        <v>246</v>
      </c>
      <c r="G2971" t="s">
        <v>502</v>
      </c>
      <c r="H2971" t="s">
        <v>503</v>
      </c>
      <c r="I2971" t="s">
        <v>505</v>
      </c>
    </row>
    <row r="2972" spans="1:9" x14ac:dyDescent="0.25">
      <c r="A2972" s="1" t="str">
        <f t="shared" si="22"/>
        <v>Lim, Zhan Yun Patrick</v>
      </c>
      <c r="B2972" t="s">
        <v>6171</v>
      </c>
      <c r="C2972" t="s">
        <v>28</v>
      </c>
      <c r="D2972" t="s">
        <v>501</v>
      </c>
      <c r="E2972" t="s">
        <v>8</v>
      </c>
      <c r="F2972" t="s">
        <v>234</v>
      </c>
      <c r="G2972" t="s">
        <v>502</v>
      </c>
      <c r="H2972" t="s">
        <v>503</v>
      </c>
      <c r="I2972" t="s">
        <v>504</v>
      </c>
    </row>
    <row r="2973" spans="1:9" x14ac:dyDescent="0.25">
      <c r="A2973" s="1" t="str">
        <f t="shared" si="22"/>
        <v>Lim, Zhan Yun Patrick</v>
      </c>
      <c r="B2973" t="s">
        <v>6171</v>
      </c>
      <c r="C2973" t="s">
        <v>28</v>
      </c>
      <c r="D2973" t="s">
        <v>501</v>
      </c>
      <c r="E2973" t="s">
        <v>8</v>
      </c>
      <c r="F2973" t="s">
        <v>359</v>
      </c>
      <c r="G2973" t="s">
        <v>502</v>
      </c>
      <c r="H2973" t="s">
        <v>503</v>
      </c>
      <c r="I2973" t="s">
        <v>506</v>
      </c>
    </row>
    <row r="2974" spans="1:9" x14ac:dyDescent="0.25">
      <c r="A2974" s="1" t="str">
        <f>HYPERLINK("https://lynxcrm-apac--c.eu19.visual.force.com/0011i000001xokRAAQ","Lim, Zi Liang")</f>
        <v>Lim, Zi Liang</v>
      </c>
      <c r="B2974" t="s">
        <v>6172</v>
      </c>
      <c r="C2974" t="s">
        <v>28</v>
      </c>
      <c r="D2974" t="s">
        <v>12</v>
      </c>
      <c r="E2974" t="s">
        <v>8</v>
      </c>
      <c r="F2974" t="s">
        <v>11</v>
      </c>
      <c r="G2974" t="s">
        <v>11</v>
      </c>
      <c r="H2974" t="s">
        <v>8</v>
      </c>
      <c r="I2974" t="s">
        <v>13</v>
      </c>
    </row>
    <row r="2975" spans="1:9" x14ac:dyDescent="0.25">
      <c r="A2975" s="1" t="str">
        <f>HYPERLINK("https://lynxcrm-apac--c.eu19.visual.force.com/0011i000001xokRAAQ","Lim, Zi Liang")</f>
        <v>Lim, Zi Liang</v>
      </c>
      <c r="B2975" t="s">
        <v>6172</v>
      </c>
      <c r="C2975" t="s">
        <v>28</v>
      </c>
      <c r="D2975" t="s">
        <v>148</v>
      </c>
      <c r="E2975" t="s">
        <v>8</v>
      </c>
      <c r="F2975" t="s">
        <v>736</v>
      </c>
      <c r="G2975" t="s">
        <v>736</v>
      </c>
      <c r="H2975" t="s">
        <v>8</v>
      </c>
      <c r="I2975" t="s">
        <v>149</v>
      </c>
    </row>
    <row r="2976" spans="1:9" x14ac:dyDescent="0.25">
      <c r="A2976" s="1" t="str">
        <f>HYPERLINK("https://lynxcrm-apac--c.eu19.visual.force.com/0011i000001xn7tAAA","Lim Clinic")</f>
        <v>Lim Clinic</v>
      </c>
      <c r="B2976" t="s">
        <v>6173</v>
      </c>
      <c r="C2976" t="s">
        <v>10</v>
      </c>
      <c r="D2976" t="s">
        <v>8</v>
      </c>
      <c r="E2976" t="s">
        <v>8</v>
      </c>
      <c r="F2976" t="s">
        <v>5998</v>
      </c>
      <c r="G2976" t="s">
        <v>5998</v>
      </c>
      <c r="H2976" t="s">
        <v>8</v>
      </c>
      <c r="I2976" t="s">
        <v>5999</v>
      </c>
    </row>
    <row r="2977" spans="1:9" x14ac:dyDescent="0.25">
      <c r="A2977" s="1" t="str">
        <f>HYPERLINK("https://lynxcrm-apac--c.eu19.visual.force.com/0011i000001xnCDAAY","Lim Clinic &amp; Surgery")</f>
        <v>Lim Clinic &amp; Surgery</v>
      </c>
      <c r="B2977" t="s">
        <v>6174</v>
      </c>
      <c r="C2977" t="s">
        <v>10</v>
      </c>
      <c r="D2977" t="s">
        <v>8</v>
      </c>
      <c r="E2977" t="s">
        <v>8</v>
      </c>
      <c r="F2977" t="s">
        <v>4807</v>
      </c>
      <c r="G2977" t="s">
        <v>6009</v>
      </c>
      <c r="H2977" t="s">
        <v>6009</v>
      </c>
      <c r="I2977" t="s">
        <v>6010</v>
      </c>
    </row>
    <row r="2978" spans="1:9" x14ac:dyDescent="0.25">
      <c r="A2978" s="1" t="str">
        <f>HYPERLINK("https://lynxcrm-apac--c.eu19.visual.force.com/0011i000001xnImAAI","Lim Clinic &amp; Surgery For Women")</f>
        <v>Lim Clinic &amp; Surgery For Women</v>
      </c>
      <c r="B2978" t="s">
        <v>6175</v>
      </c>
      <c r="C2978" t="s">
        <v>10</v>
      </c>
      <c r="D2978" t="s">
        <v>8</v>
      </c>
      <c r="E2978" t="s">
        <v>8</v>
      </c>
      <c r="F2978" t="s">
        <v>6019</v>
      </c>
      <c r="G2978" t="s">
        <v>6020</v>
      </c>
      <c r="H2978" t="s">
        <v>6020</v>
      </c>
      <c r="I2978" t="s">
        <v>6021</v>
      </c>
    </row>
    <row r="2979" spans="1:9" x14ac:dyDescent="0.25">
      <c r="A2979" s="1" t="str">
        <f>HYPERLINK("https://lynxcrm-apac--c.eu19.visual.force.com/0011i000001xmkhAAA","Lim Ear Nose &amp; Throat Surgery")</f>
        <v>Lim Ear Nose &amp; Throat Surgery</v>
      </c>
      <c r="B2979" t="s">
        <v>6176</v>
      </c>
      <c r="C2979" t="s">
        <v>10</v>
      </c>
      <c r="D2979" t="s">
        <v>8</v>
      </c>
      <c r="E2979" t="s">
        <v>8</v>
      </c>
      <c r="F2979" t="s">
        <v>69</v>
      </c>
      <c r="G2979" t="s">
        <v>5895</v>
      </c>
      <c r="H2979" t="s">
        <v>5896</v>
      </c>
      <c r="I2979" t="s">
        <v>67</v>
      </c>
    </row>
    <row r="2980" spans="1:9" x14ac:dyDescent="0.25">
      <c r="A2980" s="1" t="str">
        <f>HYPERLINK("https://lynxcrm-apac--c.eu19.visual.force.com/0011i000001xmrHAAQ","Lim Ing Haan Cardiology Clinic")</f>
        <v>Lim Ing Haan Cardiology Clinic</v>
      </c>
      <c r="B2980" t="s">
        <v>6177</v>
      </c>
      <c r="C2980" t="s">
        <v>10</v>
      </c>
      <c r="D2980" t="s">
        <v>8</v>
      </c>
      <c r="E2980" t="s">
        <v>8</v>
      </c>
      <c r="F2980" t="s">
        <v>5952</v>
      </c>
      <c r="G2980" t="s">
        <v>121</v>
      </c>
      <c r="H2980" t="s">
        <v>5953</v>
      </c>
      <c r="I2980" t="s">
        <v>123</v>
      </c>
    </row>
    <row r="2981" spans="1:9" x14ac:dyDescent="0.25">
      <c r="A2981" s="1" t="str">
        <f>HYPERLINK("https://lynxcrm-apac--c.eu19.visual.force.com/0011i000001xnBzAAI","Lim Medical Clinic")</f>
        <v>Lim Medical Clinic</v>
      </c>
      <c r="B2981" t="s">
        <v>6178</v>
      </c>
      <c r="C2981" t="s">
        <v>10</v>
      </c>
      <c r="D2981" t="s">
        <v>8</v>
      </c>
      <c r="E2981" t="s">
        <v>8</v>
      </c>
      <c r="F2981" t="s">
        <v>6179</v>
      </c>
      <c r="G2981" t="s">
        <v>4600</v>
      </c>
      <c r="H2981" t="s">
        <v>6180</v>
      </c>
      <c r="I2981" t="s">
        <v>6181</v>
      </c>
    </row>
    <row r="2982" spans="1:9" x14ac:dyDescent="0.25">
      <c r="A2982" s="1" t="str">
        <f>HYPERLINK("https://lynxcrm-apac--c.eu19.visual.force.com/0011i000001xn1gAAA","Lim Medical Clinic")</f>
        <v>Lim Medical Clinic</v>
      </c>
      <c r="B2982" t="s">
        <v>6182</v>
      </c>
      <c r="C2982" t="s">
        <v>10</v>
      </c>
      <c r="D2982" t="s">
        <v>8</v>
      </c>
      <c r="E2982" t="s">
        <v>8</v>
      </c>
      <c r="F2982" t="s">
        <v>6027</v>
      </c>
      <c r="G2982" t="s">
        <v>6028</v>
      </c>
      <c r="H2982" t="s">
        <v>6029</v>
      </c>
      <c r="I2982" t="s">
        <v>6030</v>
      </c>
    </row>
    <row r="2983" spans="1:9" x14ac:dyDescent="0.25">
      <c r="A2983" s="1" t="str">
        <f>HYPERLINK("https://lynxcrm-apac--c.eu19.visual.force.com/0011i000001xoXiAAI","Lin, B K Michael")</f>
        <v>Lin, B K Michael</v>
      </c>
      <c r="B2983" t="s">
        <v>6183</v>
      </c>
      <c r="C2983" t="s">
        <v>28</v>
      </c>
      <c r="D2983" t="s">
        <v>449</v>
      </c>
      <c r="E2983" t="s">
        <v>8</v>
      </c>
      <c r="F2983" t="s">
        <v>6184</v>
      </c>
      <c r="G2983" t="s">
        <v>452</v>
      </c>
      <c r="H2983" t="s">
        <v>452</v>
      </c>
      <c r="I2983" t="s">
        <v>454</v>
      </c>
    </row>
    <row r="2984" spans="1:9" x14ac:dyDescent="0.25">
      <c r="A2984" s="1" t="str">
        <f>HYPERLINK("https://lynxcrm-apac--c.eu19.visual.force.com/0011i000001xoXiAAI","Lin, B K Michael")</f>
        <v>Lin, B K Michael</v>
      </c>
      <c r="B2984" t="s">
        <v>6183</v>
      </c>
      <c r="C2984" t="s">
        <v>28</v>
      </c>
      <c r="D2984" t="s">
        <v>449</v>
      </c>
      <c r="E2984" t="s">
        <v>8</v>
      </c>
      <c r="F2984" t="s">
        <v>450</v>
      </c>
      <c r="G2984" t="s">
        <v>449</v>
      </c>
      <c r="H2984" t="s">
        <v>449</v>
      </c>
      <c r="I2984" t="s">
        <v>451</v>
      </c>
    </row>
    <row r="2985" spans="1:9" x14ac:dyDescent="0.25">
      <c r="A2985" s="1" t="str">
        <f>HYPERLINK("https://lynxcrm-apac--c.eu19.visual.force.com/0011i000001xoXiAAI","Lin, B K Michael")</f>
        <v>Lin, B K Michael</v>
      </c>
      <c r="B2985" t="s">
        <v>6183</v>
      </c>
      <c r="C2985" t="s">
        <v>28</v>
      </c>
      <c r="D2985" t="s">
        <v>449</v>
      </c>
      <c r="E2985" t="s">
        <v>8</v>
      </c>
      <c r="F2985" t="s">
        <v>234</v>
      </c>
      <c r="G2985" t="s">
        <v>452</v>
      </c>
      <c r="H2985" t="s">
        <v>453</v>
      </c>
      <c r="I2985" t="s">
        <v>454</v>
      </c>
    </row>
    <row r="2986" spans="1:9" x14ac:dyDescent="0.25">
      <c r="A2986" s="1" t="str">
        <f>HYPERLINK("https://lynxcrm-apac--c.eu19.visual.force.com/0011i000001xopXAAQ","Lin, Ee Jun")</f>
        <v>Lin, Ee Jun</v>
      </c>
      <c r="B2986" t="s">
        <v>6185</v>
      </c>
      <c r="C2986" t="s">
        <v>28</v>
      </c>
      <c r="D2986" t="s">
        <v>1170</v>
      </c>
      <c r="E2986" t="s">
        <v>8</v>
      </c>
      <c r="F2986" t="s">
        <v>1171</v>
      </c>
      <c r="G2986" t="s">
        <v>1172</v>
      </c>
      <c r="H2986" t="s">
        <v>1172</v>
      </c>
      <c r="I2986" t="s">
        <v>1173</v>
      </c>
    </row>
    <row r="2987" spans="1:9" x14ac:dyDescent="0.25">
      <c r="A2987" s="1" t="str">
        <f>HYPERLINK("https://lynxcrm-apac--c.eu19.visual.force.com/0011i000001xnkoAAA","Lin, Hai Duh")</f>
        <v>Lin, Hai Duh</v>
      </c>
      <c r="B2987" t="s">
        <v>6186</v>
      </c>
      <c r="C2987" t="s">
        <v>28</v>
      </c>
      <c r="D2987" t="s">
        <v>6187</v>
      </c>
      <c r="E2987" t="s">
        <v>8</v>
      </c>
      <c r="F2987" t="s">
        <v>6188</v>
      </c>
      <c r="G2987" t="s">
        <v>2052</v>
      </c>
      <c r="H2987" t="s">
        <v>6189</v>
      </c>
      <c r="I2987" t="s">
        <v>6190</v>
      </c>
    </row>
    <row r="2988" spans="1:9" x14ac:dyDescent="0.25">
      <c r="A2988" s="1" t="str">
        <f>HYPERLINK("https://lynxcrm-apac--c.eu19.visual.force.com/0011i00000S3ZS1AAN","Lin, Jaime")</f>
        <v>Lin, Jaime</v>
      </c>
      <c r="B2988" t="s">
        <v>6191</v>
      </c>
      <c r="C2988" t="s">
        <v>28</v>
      </c>
      <c r="D2988" t="s">
        <v>261</v>
      </c>
      <c r="E2988" t="s">
        <v>8</v>
      </c>
      <c r="F2988" t="s">
        <v>261</v>
      </c>
      <c r="G2988" t="s">
        <v>347</v>
      </c>
      <c r="H2988" t="s">
        <v>347</v>
      </c>
      <c r="I2988" t="s">
        <v>260</v>
      </c>
    </row>
    <row r="2989" spans="1:9" x14ac:dyDescent="0.25">
      <c r="A2989" s="1" t="str">
        <f>HYPERLINK("https://lynxcrm-apac--c.eu19.visual.force.com/0011i000001xoRJAAY","Lin, Jin Lin")</f>
        <v>Lin, Jin Lin</v>
      </c>
      <c r="B2989" t="s">
        <v>6192</v>
      </c>
      <c r="C2989" t="s">
        <v>28</v>
      </c>
      <c r="D2989" t="s">
        <v>251</v>
      </c>
      <c r="E2989" t="s">
        <v>8</v>
      </c>
      <c r="F2989" t="s">
        <v>251</v>
      </c>
      <c r="G2989" t="s">
        <v>252</v>
      </c>
      <c r="H2989" t="s">
        <v>252</v>
      </c>
      <c r="I2989" t="s">
        <v>253</v>
      </c>
    </row>
    <row r="2990" spans="1:9" x14ac:dyDescent="0.25">
      <c r="A2990" s="1" t="str">
        <f>HYPERLINK("https://lynxcrm-apac--c.eu19.visual.force.com/0011i000001xnuHAAQ","Lin, Wei Qin")</f>
        <v>Lin, Wei Qin</v>
      </c>
      <c r="B2990" t="s">
        <v>6193</v>
      </c>
      <c r="C2990" t="s">
        <v>28</v>
      </c>
      <c r="D2990" t="s">
        <v>429</v>
      </c>
      <c r="E2990" t="s">
        <v>8</v>
      </c>
      <c r="F2990" t="s">
        <v>429</v>
      </c>
      <c r="G2990" t="s">
        <v>428</v>
      </c>
      <c r="H2990" t="s">
        <v>428</v>
      </c>
      <c r="I2990" t="s">
        <v>430</v>
      </c>
    </row>
    <row r="2991" spans="1:9" x14ac:dyDescent="0.25">
      <c r="A2991" s="1" t="str">
        <f>HYPERLINK("https://lynxcrm-apac--c.eu19.visual.force.com/0011i000001xnuHAAQ","Lin, Wei Qin")</f>
        <v>Lin, Wei Qin</v>
      </c>
      <c r="B2991" t="s">
        <v>6193</v>
      </c>
      <c r="C2991" t="s">
        <v>28</v>
      </c>
      <c r="D2991" t="s">
        <v>429</v>
      </c>
      <c r="E2991" t="s">
        <v>8</v>
      </c>
      <c r="F2991" t="s">
        <v>444</v>
      </c>
      <c r="G2991" t="s">
        <v>444</v>
      </c>
      <c r="H2991" t="s">
        <v>8</v>
      </c>
      <c r="I2991" t="s">
        <v>430</v>
      </c>
    </row>
    <row r="2992" spans="1:9" x14ac:dyDescent="0.25">
      <c r="A2992" s="1" t="str">
        <f>HYPERLINK("https://lynxcrm-apac--c.eu19.visual.force.com/0011i000001xnuHAAQ","Lin, Wei Qin")</f>
        <v>Lin, Wei Qin</v>
      </c>
      <c r="B2992" t="s">
        <v>6193</v>
      </c>
      <c r="C2992" t="s">
        <v>28</v>
      </c>
      <c r="D2992" t="s">
        <v>429</v>
      </c>
      <c r="E2992" t="s">
        <v>8</v>
      </c>
      <c r="F2992" t="s">
        <v>445</v>
      </c>
      <c r="G2992" t="s">
        <v>428</v>
      </c>
      <c r="H2992" t="s">
        <v>428</v>
      </c>
      <c r="I2992" t="s">
        <v>430</v>
      </c>
    </row>
    <row r="2993" spans="1:9" x14ac:dyDescent="0.25">
      <c r="A2993" s="1" t="str">
        <f>HYPERLINK("https://lynxcrm-apac--c.eu19.visual.force.com/0011i000001xnuHAAQ","Lin, Wei Qin")</f>
        <v>Lin, Wei Qin</v>
      </c>
      <c r="B2993" t="s">
        <v>6193</v>
      </c>
      <c r="C2993" t="s">
        <v>28</v>
      </c>
      <c r="D2993" t="s">
        <v>429</v>
      </c>
      <c r="E2993" t="s">
        <v>8</v>
      </c>
      <c r="F2993" t="s">
        <v>444</v>
      </c>
      <c r="G2993" t="s">
        <v>444</v>
      </c>
      <c r="H2993" t="s">
        <v>8</v>
      </c>
      <c r="I2993" t="s">
        <v>8</v>
      </c>
    </row>
    <row r="2994" spans="1:9" x14ac:dyDescent="0.25">
      <c r="A2994" s="1" t="str">
        <f>HYPERLINK("https://lynxcrm-apac--c.eu19.visual.force.com/0011i000001xnC3AAI","Lin &amp; Sons Clinic &amp; Surgery Pte Ltd")</f>
        <v>Lin &amp; Sons Clinic &amp; Surgery Pte Ltd</v>
      </c>
      <c r="B2994" t="s">
        <v>6194</v>
      </c>
      <c r="C2994" t="s">
        <v>10</v>
      </c>
      <c r="D2994" t="s">
        <v>8</v>
      </c>
      <c r="E2994" t="s">
        <v>8</v>
      </c>
      <c r="F2994" t="s">
        <v>6188</v>
      </c>
      <c r="G2994" t="s">
        <v>2052</v>
      </c>
      <c r="H2994" t="s">
        <v>6189</v>
      </c>
      <c r="I2994" t="s">
        <v>6190</v>
      </c>
    </row>
    <row r="2995" spans="1:9" x14ac:dyDescent="0.25">
      <c r="A2995" s="1" t="str">
        <f>HYPERLINK("https://lynxcrm-apac--c.eu19.visual.force.com/0011i000001xnkxAAA","Ling, Chaw Ming")</f>
        <v>Ling, Chaw Ming</v>
      </c>
      <c r="B2995" t="s">
        <v>6195</v>
      </c>
      <c r="C2995" t="s">
        <v>28</v>
      </c>
      <c r="D2995" t="s">
        <v>5465</v>
      </c>
      <c r="E2995" t="s">
        <v>8</v>
      </c>
      <c r="F2995" t="s">
        <v>377</v>
      </c>
      <c r="G2995" t="s">
        <v>5466</v>
      </c>
      <c r="H2995" t="s">
        <v>5467</v>
      </c>
      <c r="I2995" t="s">
        <v>123</v>
      </c>
    </row>
    <row r="2996" spans="1:9" x14ac:dyDescent="0.25">
      <c r="A2996" s="1" t="str">
        <f>HYPERLINK("https://lynxcrm-apac--c.eu19.visual.force.com/0011i000001xoDPAAY","Ling, Chia Tien")</f>
        <v>Ling, Chia Tien</v>
      </c>
      <c r="B2996" t="s">
        <v>6196</v>
      </c>
      <c r="C2996" t="s">
        <v>28</v>
      </c>
      <c r="D2996" t="s">
        <v>6197</v>
      </c>
      <c r="E2996" t="s">
        <v>8</v>
      </c>
      <c r="F2996" t="s">
        <v>6198</v>
      </c>
      <c r="G2996" t="s">
        <v>6199</v>
      </c>
      <c r="H2996" t="s">
        <v>6200</v>
      </c>
      <c r="I2996" t="s">
        <v>4144</v>
      </c>
    </row>
    <row r="2997" spans="1:9" x14ac:dyDescent="0.25">
      <c r="A2997" s="1" t="str">
        <f>HYPERLINK("https://lynxcrm-apac--c.eu19.visual.force.com/0011i000001xnkzAAA","Ling, Chuen")</f>
        <v>Ling, Chuen</v>
      </c>
      <c r="B2997" t="s">
        <v>6201</v>
      </c>
      <c r="C2997" t="s">
        <v>28</v>
      </c>
      <c r="D2997" t="s">
        <v>6202</v>
      </c>
      <c r="E2997" t="s">
        <v>8</v>
      </c>
      <c r="F2997" t="s">
        <v>6203</v>
      </c>
      <c r="G2997" t="s">
        <v>6204</v>
      </c>
      <c r="H2997" t="s">
        <v>6204</v>
      </c>
      <c r="I2997" t="s">
        <v>6205</v>
      </c>
    </row>
    <row r="2998" spans="1:9" x14ac:dyDescent="0.25">
      <c r="A2998" s="1" t="str">
        <f>HYPERLINK("https://lynxcrm-apac--c.eu19.visual.force.com/0011i000001xoDQAAY","Ling, Khoon Lin")</f>
        <v>Ling, Khoon Lin</v>
      </c>
      <c r="B2998" t="s">
        <v>6206</v>
      </c>
      <c r="C2998" t="s">
        <v>28</v>
      </c>
      <c r="D2998" t="s">
        <v>6207</v>
      </c>
      <c r="E2998" t="s">
        <v>8</v>
      </c>
      <c r="F2998" t="s">
        <v>6208</v>
      </c>
      <c r="G2998" t="s">
        <v>121</v>
      </c>
      <c r="H2998" t="s">
        <v>121</v>
      </c>
      <c r="I2998" t="s">
        <v>123</v>
      </c>
    </row>
    <row r="2999" spans="1:9" x14ac:dyDescent="0.25">
      <c r="A2999" s="1" t="str">
        <f t="shared" ref="A2999:A3004" si="23">HYPERLINK("https://lynxcrm-apac--c.eu19.visual.force.com/0011i000001xogUAAQ","Ling, Lee Fong")</f>
        <v>Ling, Lee Fong</v>
      </c>
      <c r="B2999" t="s">
        <v>6209</v>
      </c>
      <c r="C2999" t="s">
        <v>28</v>
      </c>
      <c r="D2999" t="s">
        <v>501</v>
      </c>
      <c r="E2999" t="s">
        <v>8</v>
      </c>
      <c r="F2999" t="s">
        <v>234</v>
      </c>
      <c r="G2999" t="s">
        <v>502</v>
      </c>
      <c r="H2999" t="s">
        <v>503</v>
      </c>
      <c r="I2999" t="s">
        <v>504</v>
      </c>
    </row>
    <row r="3000" spans="1:9" x14ac:dyDescent="0.25">
      <c r="A3000" s="1" t="str">
        <f t="shared" si="23"/>
        <v>Ling, Lee Fong</v>
      </c>
      <c r="B3000" t="s">
        <v>6209</v>
      </c>
      <c r="C3000" t="s">
        <v>28</v>
      </c>
      <c r="D3000" t="s">
        <v>501</v>
      </c>
      <c r="E3000" t="s">
        <v>8</v>
      </c>
      <c r="F3000" t="s">
        <v>502</v>
      </c>
      <c r="G3000" t="s">
        <v>502</v>
      </c>
      <c r="H3000" t="s">
        <v>503</v>
      </c>
      <c r="I3000" t="s">
        <v>504</v>
      </c>
    </row>
    <row r="3001" spans="1:9" x14ac:dyDescent="0.25">
      <c r="A3001" s="1" t="str">
        <f t="shared" si="23"/>
        <v>Ling, Lee Fong</v>
      </c>
      <c r="B3001" t="s">
        <v>6209</v>
      </c>
      <c r="C3001" t="s">
        <v>28</v>
      </c>
      <c r="D3001" t="s">
        <v>501</v>
      </c>
      <c r="E3001" t="s">
        <v>8</v>
      </c>
      <c r="F3001" t="s">
        <v>246</v>
      </c>
      <c r="G3001" t="s">
        <v>502</v>
      </c>
      <c r="H3001" t="s">
        <v>503</v>
      </c>
      <c r="I3001" t="s">
        <v>504</v>
      </c>
    </row>
    <row r="3002" spans="1:9" x14ac:dyDescent="0.25">
      <c r="A3002" s="1" t="str">
        <f t="shared" si="23"/>
        <v>Ling, Lee Fong</v>
      </c>
      <c r="B3002" t="s">
        <v>6209</v>
      </c>
      <c r="C3002" t="s">
        <v>28</v>
      </c>
      <c r="D3002" t="s">
        <v>501</v>
      </c>
      <c r="E3002" t="s">
        <v>8</v>
      </c>
      <c r="F3002" t="s">
        <v>246</v>
      </c>
      <c r="G3002" t="s">
        <v>502</v>
      </c>
      <c r="H3002" t="s">
        <v>503</v>
      </c>
      <c r="I3002" t="s">
        <v>505</v>
      </c>
    </row>
    <row r="3003" spans="1:9" x14ac:dyDescent="0.25">
      <c r="A3003" s="1" t="str">
        <f t="shared" si="23"/>
        <v>Ling, Lee Fong</v>
      </c>
      <c r="B3003" t="s">
        <v>6209</v>
      </c>
      <c r="C3003" t="s">
        <v>28</v>
      </c>
      <c r="D3003" t="s">
        <v>501</v>
      </c>
      <c r="E3003" t="s">
        <v>8</v>
      </c>
      <c r="F3003" t="s">
        <v>501</v>
      </c>
      <c r="G3003" t="s">
        <v>502</v>
      </c>
      <c r="H3003" t="s">
        <v>502</v>
      </c>
      <c r="I3003" t="s">
        <v>506</v>
      </c>
    </row>
    <row r="3004" spans="1:9" x14ac:dyDescent="0.25">
      <c r="A3004" s="1" t="str">
        <f t="shared" si="23"/>
        <v>Ling, Lee Fong</v>
      </c>
      <c r="B3004" t="s">
        <v>6209</v>
      </c>
      <c r="C3004" t="s">
        <v>28</v>
      </c>
      <c r="D3004" t="s">
        <v>501</v>
      </c>
      <c r="E3004" t="s">
        <v>8</v>
      </c>
      <c r="F3004" t="s">
        <v>359</v>
      </c>
      <c r="G3004" t="s">
        <v>502</v>
      </c>
      <c r="H3004" t="s">
        <v>503</v>
      </c>
      <c r="I3004" t="s">
        <v>506</v>
      </c>
    </row>
    <row r="3005" spans="1:9" x14ac:dyDescent="0.25">
      <c r="A3005" s="1" t="str">
        <f>HYPERLINK("https://lynxcrm-apac--c.eu19.visual.force.com/0011i000001xo45AAA","Ling, Lieng Hsi")</f>
        <v>Ling, Lieng Hsi</v>
      </c>
      <c r="B3005" t="s">
        <v>6210</v>
      </c>
      <c r="C3005" t="s">
        <v>28</v>
      </c>
      <c r="D3005" t="s">
        <v>429</v>
      </c>
      <c r="E3005" t="s">
        <v>8</v>
      </c>
      <c r="F3005" t="s">
        <v>234</v>
      </c>
      <c r="G3005" t="s">
        <v>428</v>
      </c>
      <c r="H3005" t="s">
        <v>428</v>
      </c>
      <c r="I3005" t="s">
        <v>430</v>
      </c>
    </row>
    <row r="3006" spans="1:9" x14ac:dyDescent="0.25">
      <c r="A3006" s="1" t="str">
        <f>HYPERLINK("https://lynxcrm-apac--c.eu19.visual.force.com/0011i000001xo45AAA","Ling, Lieng Hsi")</f>
        <v>Ling, Lieng Hsi</v>
      </c>
      <c r="B3006" t="s">
        <v>6210</v>
      </c>
      <c r="C3006" t="s">
        <v>28</v>
      </c>
      <c r="D3006" t="s">
        <v>429</v>
      </c>
      <c r="E3006" t="s">
        <v>8</v>
      </c>
      <c r="F3006" t="s">
        <v>429</v>
      </c>
      <c r="G3006" t="s">
        <v>428</v>
      </c>
      <c r="H3006" t="s">
        <v>428</v>
      </c>
      <c r="I3006" t="s">
        <v>430</v>
      </c>
    </row>
    <row r="3007" spans="1:9" x14ac:dyDescent="0.25">
      <c r="A3007" s="1" t="str">
        <f>HYPERLINK("https://lynxcrm-apac--c.eu19.visual.force.com/0011i000001xo29AAA","Ling, Ning Margaret")</f>
        <v>Ling, Ning Margaret</v>
      </c>
      <c r="B3007" t="s">
        <v>6211</v>
      </c>
      <c r="C3007" t="s">
        <v>28</v>
      </c>
      <c r="D3007" t="s">
        <v>1661</v>
      </c>
      <c r="E3007" t="s">
        <v>8</v>
      </c>
      <c r="F3007" t="s">
        <v>622</v>
      </c>
      <c r="G3007" t="s">
        <v>623</v>
      </c>
      <c r="H3007" t="s">
        <v>623</v>
      </c>
      <c r="I3007" t="s">
        <v>624</v>
      </c>
    </row>
    <row r="3008" spans="1:9" x14ac:dyDescent="0.25">
      <c r="A3008" s="1" t="str">
        <f>HYPERLINK("https://lynxcrm-apac--c.eu19.visual.force.com/0011i000001xocaAAA","Ling, Rose")</f>
        <v>Ling, Rose</v>
      </c>
      <c r="B3008" t="s">
        <v>6212</v>
      </c>
      <c r="C3008" t="s">
        <v>28</v>
      </c>
      <c r="D3008" t="s">
        <v>1977</v>
      </c>
      <c r="E3008" t="s">
        <v>8</v>
      </c>
      <c r="F3008" t="s">
        <v>147</v>
      </c>
      <c r="G3008" t="s">
        <v>148</v>
      </c>
      <c r="H3008" t="s">
        <v>148</v>
      </c>
      <c r="I3008" t="s">
        <v>149</v>
      </c>
    </row>
    <row r="3009" spans="1:9" x14ac:dyDescent="0.25">
      <c r="A3009" s="1" t="str">
        <f>HYPERLINK("https://lynxcrm-apac--c.eu19.visual.force.com/0011i000001xocaAAA","Ling, Rose")</f>
        <v>Ling, Rose</v>
      </c>
      <c r="B3009" t="s">
        <v>6212</v>
      </c>
      <c r="C3009" t="s">
        <v>28</v>
      </c>
      <c r="D3009" t="s">
        <v>148</v>
      </c>
      <c r="E3009" t="s">
        <v>8</v>
      </c>
      <c r="F3009" t="s">
        <v>736</v>
      </c>
      <c r="G3009" t="s">
        <v>736</v>
      </c>
      <c r="H3009" t="s">
        <v>8</v>
      </c>
      <c r="I3009" t="s">
        <v>149</v>
      </c>
    </row>
    <row r="3010" spans="1:9" x14ac:dyDescent="0.25">
      <c r="A3010" s="1" t="str">
        <f>HYPERLINK("https://lynxcrm-apac--c.eu19.visual.force.com/0011i00000C7UTfAAN","Ling, Yee Kiang")</f>
        <v>Ling, Yee Kiang</v>
      </c>
      <c r="B3010" t="s">
        <v>6213</v>
      </c>
      <c r="C3010" t="s">
        <v>28</v>
      </c>
      <c r="D3010" t="s">
        <v>8</v>
      </c>
      <c r="E3010" t="s">
        <v>8</v>
      </c>
      <c r="F3010" t="s">
        <v>2847</v>
      </c>
      <c r="G3010" t="s">
        <v>2848</v>
      </c>
      <c r="H3010" t="s">
        <v>2843</v>
      </c>
      <c r="I3010" t="s">
        <v>2840</v>
      </c>
    </row>
    <row r="3011" spans="1:9" x14ac:dyDescent="0.25">
      <c r="A3011" s="1" t="str">
        <f>HYPERLINK("https://lynxcrm-apac--c.eu19.visual.force.com/0011i00000C7UTfAAN","Ling, Yee Kiang")</f>
        <v>Ling, Yee Kiang</v>
      </c>
      <c r="B3011" t="s">
        <v>6213</v>
      </c>
      <c r="C3011" t="s">
        <v>28</v>
      </c>
      <c r="D3011" t="s">
        <v>3194</v>
      </c>
      <c r="E3011" t="s">
        <v>8</v>
      </c>
      <c r="F3011" t="s">
        <v>2837</v>
      </c>
      <c r="G3011" t="s">
        <v>2842</v>
      </c>
      <c r="H3011" t="s">
        <v>2843</v>
      </c>
      <c r="I3011" t="s">
        <v>2840</v>
      </c>
    </row>
    <row r="3012" spans="1:9" x14ac:dyDescent="0.25">
      <c r="A3012" s="1" t="str">
        <f>HYPERLINK("https://lynxcrm-apac--c.eu19.visual.force.com/0011i00000C7UTfAAN","Ling, Yee Kiang")</f>
        <v>Ling, Yee Kiang</v>
      </c>
      <c r="B3012" t="s">
        <v>6213</v>
      </c>
      <c r="C3012" t="s">
        <v>28</v>
      </c>
      <c r="D3012" t="s">
        <v>3194</v>
      </c>
      <c r="E3012" t="s">
        <v>8</v>
      </c>
      <c r="F3012" t="s">
        <v>2844</v>
      </c>
      <c r="G3012" t="s">
        <v>2845</v>
      </c>
      <c r="H3012" t="s">
        <v>2845</v>
      </c>
      <c r="I3012" t="s">
        <v>2840</v>
      </c>
    </row>
    <row r="3013" spans="1:9" x14ac:dyDescent="0.25">
      <c r="A3013" s="1" t="str">
        <f>HYPERLINK("https://lynxcrm-apac--c.eu19.visual.force.com/0011i00000C7UTfAAN","Ling, Yee Kiang")</f>
        <v>Ling, Yee Kiang</v>
      </c>
      <c r="B3013" t="s">
        <v>6213</v>
      </c>
      <c r="C3013" t="s">
        <v>28</v>
      </c>
      <c r="D3013" t="s">
        <v>3194</v>
      </c>
      <c r="E3013" t="s">
        <v>8</v>
      </c>
      <c r="F3013" t="s">
        <v>2837</v>
      </c>
      <c r="G3013" t="s">
        <v>2846</v>
      </c>
      <c r="H3013" t="s">
        <v>2846</v>
      </c>
      <c r="I3013" t="s">
        <v>2840</v>
      </c>
    </row>
    <row r="3014" spans="1:9" x14ac:dyDescent="0.25">
      <c r="A3014" s="1" t="str">
        <f>HYPERLINK("https://lynxcrm-apac--c.eu19.visual.force.com/0011i00000C7UTfAAN","Ling, Yee Kiang")</f>
        <v>Ling, Yee Kiang</v>
      </c>
      <c r="B3014" t="s">
        <v>6213</v>
      </c>
      <c r="C3014" t="s">
        <v>28</v>
      </c>
      <c r="D3014" t="s">
        <v>3194</v>
      </c>
      <c r="E3014" t="s">
        <v>8</v>
      </c>
      <c r="F3014" t="s">
        <v>2847</v>
      </c>
      <c r="G3014" t="s">
        <v>2848</v>
      </c>
      <c r="H3014" t="s">
        <v>2843</v>
      </c>
      <c r="I3014" t="s">
        <v>2840</v>
      </c>
    </row>
    <row r="3015" spans="1:9" x14ac:dyDescent="0.25">
      <c r="A3015" s="1" t="str">
        <f>HYPERLINK("https://lynxcrm-apac--c.eu19.visual.force.com/0011i000002IdA8AAK","Ling, Yee Von")</f>
        <v>Ling, Yee Von</v>
      </c>
      <c r="B3015" t="s">
        <v>6214</v>
      </c>
      <c r="C3015" t="s">
        <v>28</v>
      </c>
      <c r="D3015" t="s">
        <v>12</v>
      </c>
      <c r="E3015" t="s">
        <v>8</v>
      </c>
      <c r="F3015" t="s">
        <v>11</v>
      </c>
      <c r="G3015" t="s">
        <v>11</v>
      </c>
      <c r="H3015" t="s">
        <v>8</v>
      </c>
      <c r="I3015" t="s">
        <v>13</v>
      </c>
    </row>
    <row r="3016" spans="1:9" x14ac:dyDescent="0.25">
      <c r="A3016" s="1" t="str">
        <f>HYPERLINK("https://lynxcrm-apac--c.eu19.visual.force.com/0011i000001xmlPAAQ","Link Medical @ Kovan")</f>
        <v>Link Medical @ Kovan</v>
      </c>
      <c r="B3016" t="s">
        <v>6215</v>
      </c>
      <c r="C3016" t="s">
        <v>10</v>
      </c>
      <c r="D3016" t="s">
        <v>8</v>
      </c>
      <c r="E3016" t="s">
        <v>8</v>
      </c>
      <c r="F3016" t="s">
        <v>1220</v>
      </c>
      <c r="G3016" t="s">
        <v>1221</v>
      </c>
      <c r="H3016" t="s">
        <v>1221</v>
      </c>
      <c r="I3016" t="s">
        <v>1222</v>
      </c>
    </row>
    <row r="3017" spans="1:9" x14ac:dyDescent="0.25">
      <c r="A3017" s="1" t="str">
        <f>HYPERLINK("https://lynxcrm-apac--c.eu19.visual.force.com/0011i00000ugB5TAAU","Lioh, Janis")</f>
        <v>Lioh, Janis</v>
      </c>
      <c r="B3017" t="s">
        <v>6216</v>
      </c>
      <c r="C3017" t="s">
        <v>28</v>
      </c>
      <c r="D3017" t="s">
        <v>550</v>
      </c>
      <c r="E3017" t="s">
        <v>8</v>
      </c>
      <c r="F3017" t="s">
        <v>2342</v>
      </c>
      <c r="G3017" t="s">
        <v>919</v>
      </c>
      <c r="H3017" t="s">
        <v>919</v>
      </c>
      <c r="I3017" t="s">
        <v>554</v>
      </c>
    </row>
    <row r="3018" spans="1:9" x14ac:dyDescent="0.25">
      <c r="A3018" s="1" t="str">
        <f>HYPERLINK("https://lynxcrm-apac--c.eu19.visual.force.com/0011i00000oXuIHAA0","Lionel, Santosh")</f>
        <v>Lionel, Santosh</v>
      </c>
      <c r="B3018" t="s">
        <v>6217</v>
      </c>
      <c r="C3018" t="s">
        <v>28</v>
      </c>
      <c r="D3018" t="s">
        <v>1164</v>
      </c>
      <c r="E3018" t="s">
        <v>8</v>
      </c>
      <c r="F3018" t="s">
        <v>1165</v>
      </c>
      <c r="G3018" t="s">
        <v>1166</v>
      </c>
      <c r="H3018" t="s">
        <v>1166</v>
      </c>
      <c r="I3018" t="s">
        <v>1167</v>
      </c>
    </row>
    <row r="3019" spans="1:9" x14ac:dyDescent="0.25">
      <c r="A3019" s="1" t="str">
        <f>HYPERLINK("https://lynxcrm-apac--c.eu19.visual.force.com/0011i000001xoI9AAI","Liow, Pei Hsiang")</f>
        <v>Liow, Pei Hsiang</v>
      </c>
      <c r="B3019" t="s">
        <v>6218</v>
      </c>
      <c r="C3019" t="s">
        <v>28</v>
      </c>
      <c r="D3019" t="s">
        <v>662</v>
      </c>
      <c r="E3019" t="s">
        <v>8</v>
      </c>
      <c r="F3019" t="s">
        <v>662</v>
      </c>
      <c r="G3019" t="s">
        <v>663</v>
      </c>
      <c r="H3019" t="s">
        <v>663</v>
      </c>
      <c r="I3019" t="s">
        <v>664</v>
      </c>
    </row>
    <row r="3020" spans="1:9" x14ac:dyDescent="0.25">
      <c r="A3020" s="1" t="str">
        <f>HYPERLINK("https://lynxcrm-apac--c.eu19.visual.force.com/0011i00000ugBEEAA2","Lis, Hosanna")</f>
        <v>Lis, Hosanna</v>
      </c>
      <c r="B3020" t="s">
        <v>6219</v>
      </c>
      <c r="C3020" t="s">
        <v>28</v>
      </c>
      <c r="D3020" t="s">
        <v>8</v>
      </c>
      <c r="E3020" t="s">
        <v>8</v>
      </c>
      <c r="F3020" t="s">
        <v>1123</v>
      </c>
      <c r="G3020" t="s">
        <v>1123</v>
      </c>
      <c r="H3020" t="s">
        <v>1124</v>
      </c>
      <c r="I3020" t="s">
        <v>703</v>
      </c>
    </row>
    <row r="3021" spans="1:9" x14ac:dyDescent="0.25">
      <c r="A3021" s="1" t="str">
        <f>HYPERLINK("https://lynxcrm-apac--c.eu19.visual.force.com/0011i00000ugBEEAA2","Lis, Hosanna")</f>
        <v>Lis, Hosanna</v>
      </c>
      <c r="B3021" t="s">
        <v>6219</v>
      </c>
      <c r="C3021" t="s">
        <v>28</v>
      </c>
      <c r="D3021" t="s">
        <v>701</v>
      </c>
      <c r="E3021" t="s">
        <v>8</v>
      </c>
      <c r="F3021" t="s">
        <v>1123</v>
      </c>
      <c r="G3021" t="s">
        <v>1123</v>
      </c>
      <c r="H3021" t="s">
        <v>1124</v>
      </c>
      <c r="I3021" t="s">
        <v>703</v>
      </c>
    </row>
    <row r="3022" spans="1:9" x14ac:dyDescent="0.25">
      <c r="A3022" s="1" t="str">
        <f t="shared" ref="A3022:A3027" si="24">HYPERLINK("https://lynxcrm-apac--c.eu19.visual.force.com/0011i000007FG6XAAW","Liu, Allen Yan Lun")</f>
        <v>Liu, Allen Yan Lun</v>
      </c>
      <c r="B3022" t="s">
        <v>6220</v>
      </c>
      <c r="C3022" t="s">
        <v>28</v>
      </c>
      <c r="D3022" t="s">
        <v>501</v>
      </c>
      <c r="E3022" t="s">
        <v>8</v>
      </c>
      <c r="F3022" t="s">
        <v>502</v>
      </c>
      <c r="G3022" t="s">
        <v>502</v>
      </c>
      <c r="H3022" t="s">
        <v>503</v>
      </c>
      <c r="I3022" t="s">
        <v>504</v>
      </c>
    </row>
    <row r="3023" spans="1:9" x14ac:dyDescent="0.25">
      <c r="A3023" s="1" t="str">
        <f t="shared" si="24"/>
        <v>Liu, Allen Yan Lun</v>
      </c>
      <c r="B3023" t="s">
        <v>6220</v>
      </c>
      <c r="C3023" t="s">
        <v>28</v>
      </c>
      <c r="D3023" t="s">
        <v>501</v>
      </c>
      <c r="E3023" t="s">
        <v>8</v>
      </c>
      <c r="F3023" t="s">
        <v>246</v>
      </c>
      <c r="G3023" t="s">
        <v>502</v>
      </c>
      <c r="H3023" t="s">
        <v>503</v>
      </c>
      <c r="I3023" t="s">
        <v>504</v>
      </c>
    </row>
    <row r="3024" spans="1:9" x14ac:dyDescent="0.25">
      <c r="A3024" s="1" t="str">
        <f t="shared" si="24"/>
        <v>Liu, Allen Yan Lun</v>
      </c>
      <c r="B3024" t="s">
        <v>6220</v>
      </c>
      <c r="C3024" t="s">
        <v>28</v>
      </c>
      <c r="D3024" t="s">
        <v>501</v>
      </c>
      <c r="E3024" t="s">
        <v>8</v>
      </c>
      <c r="F3024" t="s">
        <v>246</v>
      </c>
      <c r="G3024" t="s">
        <v>502</v>
      </c>
      <c r="H3024" t="s">
        <v>503</v>
      </c>
      <c r="I3024" t="s">
        <v>505</v>
      </c>
    </row>
    <row r="3025" spans="1:9" x14ac:dyDescent="0.25">
      <c r="A3025" s="1" t="str">
        <f t="shared" si="24"/>
        <v>Liu, Allen Yan Lun</v>
      </c>
      <c r="B3025" t="s">
        <v>6220</v>
      </c>
      <c r="C3025" t="s">
        <v>28</v>
      </c>
      <c r="D3025" t="s">
        <v>501</v>
      </c>
      <c r="E3025" t="s">
        <v>8</v>
      </c>
      <c r="F3025" t="s">
        <v>501</v>
      </c>
      <c r="G3025" t="s">
        <v>502</v>
      </c>
      <c r="H3025" t="s">
        <v>502</v>
      </c>
      <c r="I3025" t="s">
        <v>506</v>
      </c>
    </row>
    <row r="3026" spans="1:9" x14ac:dyDescent="0.25">
      <c r="A3026" s="1" t="str">
        <f t="shared" si="24"/>
        <v>Liu, Allen Yan Lun</v>
      </c>
      <c r="B3026" t="s">
        <v>6220</v>
      </c>
      <c r="C3026" t="s">
        <v>28</v>
      </c>
      <c r="D3026" t="s">
        <v>501</v>
      </c>
      <c r="E3026" t="s">
        <v>8</v>
      </c>
      <c r="F3026" t="s">
        <v>234</v>
      </c>
      <c r="G3026" t="s">
        <v>502</v>
      </c>
      <c r="H3026" t="s">
        <v>503</v>
      </c>
      <c r="I3026" t="s">
        <v>504</v>
      </c>
    </row>
    <row r="3027" spans="1:9" x14ac:dyDescent="0.25">
      <c r="A3027" s="1" t="str">
        <f t="shared" si="24"/>
        <v>Liu, Allen Yan Lun</v>
      </c>
      <c r="B3027" t="s">
        <v>6220</v>
      </c>
      <c r="C3027" t="s">
        <v>28</v>
      </c>
      <c r="D3027" t="s">
        <v>501</v>
      </c>
      <c r="E3027" t="s">
        <v>8</v>
      </c>
      <c r="F3027" t="s">
        <v>359</v>
      </c>
      <c r="G3027" t="s">
        <v>502</v>
      </c>
      <c r="H3027" t="s">
        <v>503</v>
      </c>
      <c r="I3027" t="s">
        <v>506</v>
      </c>
    </row>
    <row r="3028" spans="1:9" x14ac:dyDescent="0.25">
      <c r="A3028" s="1" t="str">
        <f>HYPERLINK("https://lynxcrm-apac--c.eu19.visual.force.com/0011i00000rasmaAAA","Liu, Angela")</f>
        <v>Liu, Angela</v>
      </c>
      <c r="B3028" t="s">
        <v>6221</v>
      </c>
      <c r="C3028" t="s">
        <v>28</v>
      </c>
      <c r="D3028" t="s">
        <v>8</v>
      </c>
      <c r="E3028" t="s">
        <v>8</v>
      </c>
      <c r="F3028" t="s">
        <v>753</v>
      </c>
      <c r="G3028" t="s">
        <v>929</v>
      </c>
      <c r="H3028" t="s">
        <v>139</v>
      </c>
      <c r="I3028" t="s">
        <v>137</v>
      </c>
    </row>
    <row r="3029" spans="1:9" x14ac:dyDescent="0.25">
      <c r="A3029" s="1" t="str">
        <f>HYPERLINK("https://lynxcrm-apac--c.eu19.visual.force.com/0011i00000rasmaAAA","Liu, Angela")</f>
        <v>Liu, Angela</v>
      </c>
      <c r="B3029" t="s">
        <v>6221</v>
      </c>
      <c r="C3029" t="s">
        <v>28</v>
      </c>
      <c r="D3029" t="s">
        <v>928</v>
      </c>
      <c r="E3029" t="s">
        <v>8</v>
      </c>
      <c r="F3029" t="s">
        <v>753</v>
      </c>
      <c r="G3029" t="s">
        <v>929</v>
      </c>
      <c r="H3029" t="s">
        <v>139</v>
      </c>
      <c r="I3029" t="s">
        <v>137</v>
      </c>
    </row>
    <row r="3030" spans="1:9" x14ac:dyDescent="0.25">
      <c r="A3030" s="1" t="str">
        <f>HYPERLINK("https://lynxcrm-apac--c.eu19.visual.force.com/0011i000001xob7AAA","Liu, Chang Wei")</f>
        <v>Liu, Chang Wei</v>
      </c>
      <c r="B3030" t="s">
        <v>6222</v>
      </c>
      <c r="C3030" t="s">
        <v>28</v>
      </c>
      <c r="D3030" t="s">
        <v>58</v>
      </c>
      <c r="E3030" t="s">
        <v>8</v>
      </c>
      <c r="F3030" t="s">
        <v>57</v>
      </c>
      <c r="G3030" t="s">
        <v>57</v>
      </c>
      <c r="H3030" t="s">
        <v>8</v>
      </c>
      <c r="I3030" t="s">
        <v>59</v>
      </c>
    </row>
    <row r="3031" spans="1:9" x14ac:dyDescent="0.25">
      <c r="A3031" s="1" t="str">
        <f>HYPERLINK("https://lynxcrm-apac--c.eu19.visual.force.com/0011i000001xoehAAA","Liu, Hao Ming")</f>
        <v>Liu, Hao Ming</v>
      </c>
      <c r="B3031" t="s">
        <v>6223</v>
      </c>
      <c r="C3031" t="s">
        <v>28</v>
      </c>
      <c r="D3031" t="s">
        <v>6224</v>
      </c>
      <c r="E3031" t="s">
        <v>8</v>
      </c>
      <c r="F3031" t="s">
        <v>6225</v>
      </c>
      <c r="G3031" t="s">
        <v>6226</v>
      </c>
      <c r="H3031" t="s">
        <v>6226</v>
      </c>
      <c r="I3031" t="s">
        <v>6227</v>
      </c>
    </row>
    <row r="3032" spans="1:9" x14ac:dyDescent="0.25">
      <c r="A3032" s="1" t="str">
        <f>HYPERLINK("https://lynxcrm-apac--c.eu19.visual.force.com/0011i00000EgdEZAAZ","Liu, Jody")</f>
        <v>Liu, Jody</v>
      </c>
      <c r="B3032" t="s">
        <v>6228</v>
      </c>
      <c r="C3032" t="s">
        <v>28</v>
      </c>
      <c r="D3032" t="s">
        <v>6229</v>
      </c>
      <c r="E3032" t="s">
        <v>8</v>
      </c>
      <c r="F3032" t="s">
        <v>3942</v>
      </c>
      <c r="G3032" t="s">
        <v>8</v>
      </c>
      <c r="H3032" t="s">
        <v>8</v>
      </c>
      <c r="I3032" t="s">
        <v>3943</v>
      </c>
    </row>
    <row r="3033" spans="1:9" x14ac:dyDescent="0.25">
      <c r="A3033" s="1" t="str">
        <f>HYPERLINK("https://lynxcrm-apac--c.eu19.visual.force.com/0011i000001xolaAAA","Liu, Jody")</f>
        <v>Liu, Jody</v>
      </c>
      <c r="B3033" t="s">
        <v>6230</v>
      </c>
      <c r="C3033" t="s">
        <v>28</v>
      </c>
      <c r="D3033" t="s">
        <v>6231</v>
      </c>
      <c r="E3033" t="s">
        <v>8</v>
      </c>
      <c r="F3033" t="s">
        <v>6232</v>
      </c>
      <c r="G3033" t="s">
        <v>6233</v>
      </c>
      <c r="H3033" t="s">
        <v>6233</v>
      </c>
      <c r="I3033" t="s">
        <v>6234</v>
      </c>
    </row>
    <row r="3034" spans="1:9" x14ac:dyDescent="0.25">
      <c r="A3034" s="1" t="str">
        <f>HYPERLINK("https://lynxcrm-apac--c.eu19.visual.force.com/0011i000007DbXuAAK","Liu, Louisa")</f>
        <v>Liu, Louisa</v>
      </c>
      <c r="B3034" t="s">
        <v>6235</v>
      </c>
      <c r="C3034" t="s">
        <v>28</v>
      </c>
      <c r="D3034" t="s">
        <v>1462</v>
      </c>
      <c r="E3034" t="s">
        <v>8</v>
      </c>
      <c r="F3034" t="s">
        <v>1463</v>
      </c>
      <c r="G3034" t="s">
        <v>1464</v>
      </c>
      <c r="H3034" t="s">
        <v>8</v>
      </c>
      <c r="I3034" t="s">
        <v>1465</v>
      </c>
    </row>
    <row r="3035" spans="1:9" x14ac:dyDescent="0.25">
      <c r="A3035" s="1" t="str">
        <f>HYPERLINK("https://lynxcrm-apac--c.eu19.visual.force.com/0011i00000Xf1HYAAZ","Liu, Te Chih")</f>
        <v>Liu, Te Chih</v>
      </c>
      <c r="B3035" t="s">
        <v>6236</v>
      </c>
      <c r="C3035" t="s">
        <v>28</v>
      </c>
      <c r="D3035" t="s">
        <v>429</v>
      </c>
      <c r="E3035" t="s">
        <v>8</v>
      </c>
      <c r="F3035" t="s">
        <v>594</v>
      </c>
      <c r="G3035" t="s">
        <v>595</v>
      </c>
      <c r="H3035" t="s">
        <v>8</v>
      </c>
      <c r="I3035" t="s">
        <v>596</v>
      </c>
    </row>
    <row r="3036" spans="1:9" x14ac:dyDescent="0.25">
      <c r="A3036" s="1" t="str">
        <f>HYPERLINK("https://lynxcrm-apac--c.eu19.visual.force.com/0011i00000PJfYUAA1","Livingstone Cardiology")</f>
        <v>Livingstone Cardiology</v>
      </c>
      <c r="B3036" t="s">
        <v>6237</v>
      </c>
      <c r="C3036" t="s">
        <v>10</v>
      </c>
      <c r="D3036" t="s">
        <v>8</v>
      </c>
      <c r="E3036" t="s">
        <v>8</v>
      </c>
      <c r="F3036" t="s">
        <v>388</v>
      </c>
      <c r="G3036" t="s">
        <v>6238</v>
      </c>
      <c r="H3036" t="s">
        <v>8</v>
      </c>
      <c r="I3036" t="s">
        <v>123</v>
      </c>
    </row>
    <row r="3037" spans="1:9" x14ac:dyDescent="0.25">
      <c r="A3037" s="1" t="str">
        <f>HYPERLINK("https://lynxcrm-apac--c.eu19.visual.force.com/0011i00000rZxw4AAC","Livingstone Endocrine, Diabetes &amp; Thyroid Clinic")</f>
        <v>Livingstone Endocrine, Diabetes &amp; Thyroid Clinic</v>
      </c>
      <c r="B3037" t="s">
        <v>6239</v>
      </c>
      <c r="C3037" t="s">
        <v>10</v>
      </c>
      <c r="D3037" t="s">
        <v>8</v>
      </c>
      <c r="E3037" t="s">
        <v>8</v>
      </c>
      <c r="F3037" t="s">
        <v>1324</v>
      </c>
      <c r="G3037" t="s">
        <v>6240</v>
      </c>
      <c r="H3037" t="s">
        <v>8</v>
      </c>
      <c r="I3037" t="s">
        <v>200</v>
      </c>
    </row>
    <row r="3038" spans="1:9" x14ac:dyDescent="0.25">
      <c r="A3038" s="1" t="str">
        <f>HYPERLINK("https://lynxcrm-apac--c.eu19.visual.force.com/0011i000001xnfcAAA","Liza, Santiago")</f>
        <v>Liza, Santiago</v>
      </c>
      <c r="B3038" t="s">
        <v>6241</v>
      </c>
      <c r="C3038" t="s">
        <v>28</v>
      </c>
      <c r="D3038" t="s">
        <v>520</v>
      </c>
      <c r="E3038" t="s">
        <v>8</v>
      </c>
      <c r="F3038" t="s">
        <v>90</v>
      </c>
      <c r="G3038" t="s">
        <v>521</v>
      </c>
      <c r="H3038" t="s">
        <v>521</v>
      </c>
      <c r="I3038" t="s">
        <v>92</v>
      </c>
    </row>
    <row r="3039" spans="1:9" x14ac:dyDescent="0.25">
      <c r="A3039" s="1" t="str">
        <f>HYPERLINK("https://lynxcrm-apac--c.eu19.visual.force.com/0011i000001xn4GAAQ","L N Sim Clinic For Women Pte Ltd")</f>
        <v>L N Sim Clinic For Women Pte Ltd</v>
      </c>
      <c r="B3039" t="s">
        <v>6242</v>
      </c>
      <c r="C3039" t="s">
        <v>10</v>
      </c>
      <c r="D3039" t="s">
        <v>8</v>
      </c>
      <c r="E3039" t="s">
        <v>8</v>
      </c>
      <c r="F3039" t="s">
        <v>263</v>
      </c>
      <c r="G3039" t="s">
        <v>6243</v>
      </c>
      <c r="H3039" t="s">
        <v>6244</v>
      </c>
      <c r="I3039" t="s">
        <v>266</v>
      </c>
    </row>
    <row r="3040" spans="1:9" x14ac:dyDescent="0.25">
      <c r="A3040" s="1" t="str">
        <f>HYPERLINK("https://lynxcrm-apac--c.eu19.visual.force.com/0011i000001xon2AAA","Lo, Andy")</f>
        <v>Lo, Andy</v>
      </c>
      <c r="B3040" t="s">
        <v>6245</v>
      </c>
      <c r="C3040" t="s">
        <v>28</v>
      </c>
      <c r="D3040" t="s">
        <v>6246</v>
      </c>
      <c r="E3040" t="s">
        <v>8</v>
      </c>
      <c r="F3040" t="s">
        <v>6247</v>
      </c>
      <c r="G3040" t="s">
        <v>80</v>
      </c>
      <c r="H3040" t="s">
        <v>80</v>
      </c>
      <c r="I3040" t="s">
        <v>81</v>
      </c>
    </row>
    <row r="3041" spans="1:9" x14ac:dyDescent="0.25">
      <c r="A3041" s="1" t="str">
        <f>HYPERLINK("https://lynxcrm-apac--c.eu19.visual.force.com/0011i000001xoBrAAI","Lo, Cher Kuan")</f>
        <v>Lo, Cher Kuan</v>
      </c>
      <c r="B3041" t="s">
        <v>6248</v>
      </c>
      <c r="C3041" t="s">
        <v>28</v>
      </c>
      <c r="D3041" t="s">
        <v>163</v>
      </c>
      <c r="E3041" t="s">
        <v>8</v>
      </c>
      <c r="F3041" t="s">
        <v>163</v>
      </c>
      <c r="G3041" t="s">
        <v>164</v>
      </c>
      <c r="H3041" t="s">
        <v>164</v>
      </c>
      <c r="I3041" t="s">
        <v>165</v>
      </c>
    </row>
    <row r="3042" spans="1:9" x14ac:dyDescent="0.25">
      <c r="A3042" s="1" t="str">
        <f>HYPERLINK("https://lynxcrm-apac--c.eu19.visual.force.com/0011i000001xoZ9AAI","Lo, Fei Ling")</f>
        <v>Lo, Fei Ling</v>
      </c>
      <c r="B3042" t="s">
        <v>6249</v>
      </c>
      <c r="C3042" t="s">
        <v>28</v>
      </c>
      <c r="D3042" t="s">
        <v>752</v>
      </c>
      <c r="E3042" t="s">
        <v>8</v>
      </c>
      <c r="F3042" t="s">
        <v>753</v>
      </c>
      <c r="G3042" t="s">
        <v>753</v>
      </c>
      <c r="H3042" t="s">
        <v>8</v>
      </c>
      <c r="I3042" t="s">
        <v>137</v>
      </c>
    </row>
    <row r="3043" spans="1:9" x14ac:dyDescent="0.25">
      <c r="A3043" s="1" t="str">
        <f>HYPERLINK("https://lynxcrm-apac--c.eu19.visual.force.com/0011i000001xoZ9AAI","Lo, Fei Ling")</f>
        <v>Lo, Fei Ling</v>
      </c>
      <c r="B3043" t="s">
        <v>6249</v>
      </c>
      <c r="C3043" t="s">
        <v>28</v>
      </c>
      <c r="D3043" t="s">
        <v>6250</v>
      </c>
      <c r="E3043" t="s">
        <v>8</v>
      </c>
      <c r="F3043" t="s">
        <v>753</v>
      </c>
      <c r="G3043" t="s">
        <v>6251</v>
      </c>
      <c r="H3043" t="s">
        <v>6251</v>
      </c>
      <c r="I3043" t="s">
        <v>137</v>
      </c>
    </row>
    <row r="3044" spans="1:9" x14ac:dyDescent="0.25">
      <c r="A3044" s="1" t="str">
        <f>HYPERLINK("https://lynxcrm-apac--c.eu19.visual.force.com/0011i000001xnvbAAA","Lo, Hui Li Clare")</f>
        <v>Lo, Hui Li Clare</v>
      </c>
      <c r="B3044" t="s">
        <v>6252</v>
      </c>
      <c r="C3044" t="s">
        <v>28</v>
      </c>
      <c r="D3044" t="s">
        <v>545</v>
      </c>
      <c r="E3044" t="s">
        <v>8</v>
      </c>
      <c r="F3044" t="s">
        <v>844</v>
      </c>
      <c r="G3044" t="s">
        <v>845</v>
      </c>
      <c r="H3044" t="s">
        <v>846</v>
      </c>
      <c r="I3044" t="s">
        <v>847</v>
      </c>
    </row>
    <row r="3045" spans="1:9" x14ac:dyDescent="0.25">
      <c r="A3045" s="1" t="str">
        <f>HYPERLINK("https://lynxcrm-apac--c.eu19.visual.force.com/0011i000001xoBtAAI","Lo, Kit Leong")</f>
        <v>Lo, Kit Leong</v>
      </c>
      <c r="B3045" t="s">
        <v>6253</v>
      </c>
      <c r="C3045" t="s">
        <v>28</v>
      </c>
      <c r="D3045" t="s">
        <v>6254</v>
      </c>
      <c r="E3045" t="s">
        <v>8</v>
      </c>
      <c r="F3045" t="s">
        <v>6255</v>
      </c>
      <c r="G3045" t="s">
        <v>6255</v>
      </c>
      <c r="H3045" t="s">
        <v>8</v>
      </c>
      <c r="I3045" t="s">
        <v>6256</v>
      </c>
    </row>
    <row r="3046" spans="1:9" x14ac:dyDescent="0.25">
      <c r="A3046" s="1" t="str">
        <f>HYPERLINK("https://lynxcrm-apac--c.eu19.visual.force.com/0011i000001xnlAAAQ","Lo, Mun Kid")</f>
        <v>Lo, Mun Kid</v>
      </c>
      <c r="B3046" t="s">
        <v>6257</v>
      </c>
      <c r="C3046" t="s">
        <v>28</v>
      </c>
      <c r="D3046" t="s">
        <v>6258</v>
      </c>
      <c r="E3046" t="s">
        <v>8</v>
      </c>
      <c r="F3046" t="s">
        <v>6259</v>
      </c>
      <c r="G3046" t="s">
        <v>6260</v>
      </c>
      <c r="H3046" t="s">
        <v>6261</v>
      </c>
      <c r="I3046" t="s">
        <v>6262</v>
      </c>
    </row>
    <row r="3047" spans="1:9" x14ac:dyDescent="0.25">
      <c r="A3047" s="1" t="str">
        <f>HYPERLINK("https://lynxcrm-apac--c.eu19.visual.force.com/0011i000001xoK4AAI","Lo, Mun San")</f>
        <v>Lo, Mun San</v>
      </c>
      <c r="B3047" t="s">
        <v>6263</v>
      </c>
      <c r="C3047" t="s">
        <v>28</v>
      </c>
      <c r="D3047" t="s">
        <v>6264</v>
      </c>
      <c r="E3047" t="s">
        <v>8</v>
      </c>
      <c r="F3047" t="s">
        <v>5391</v>
      </c>
      <c r="G3047" t="s">
        <v>5392</v>
      </c>
      <c r="H3047" t="s">
        <v>5393</v>
      </c>
      <c r="I3047" t="s">
        <v>5394</v>
      </c>
    </row>
    <row r="3048" spans="1:9" x14ac:dyDescent="0.25">
      <c r="A3048" s="1" t="str">
        <f>HYPERLINK("https://lynxcrm-apac--c.eu19.visual.force.com/0011i000001xng0AAA","Lo, Terence")</f>
        <v>Lo, Terence</v>
      </c>
      <c r="B3048" t="s">
        <v>6265</v>
      </c>
      <c r="C3048" t="s">
        <v>28</v>
      </c>
      <c r="D3048" t="s">
        <v>1661</v>
      </c>
      <c r="E3048" t="s">
        <v>8</v>
      </c>
      <c r="F3048" t="s">
        <v>627</v>
      </c>
      <c r="G3048" t="s">
        <v>628</v>
      </c>
      <c r="H3048" t="s">
        <v>628</v>
      </c>
      <c r="I3048" t="s">
        <v>624</v>
      </c>
    </row>
    <row r="3049" spans="1:9" x14ac:dyDescent="0.25">
      <c r="A3049" s="1" t="str">
        <f>HYPERLINK("https://lynxcrm-apac--c.eu19.visual.force.com/0011i000001xocVAAQ","Lo, Ting Ling")</f>
        <v>Lo, Ting Ling</v>
      </c>
      <c r="B3049" t="s">
        <v>6266</v>
      </c>
      <c r="C3049" t="s">
        <v>28</v>
      </c>
      <c r="D3049" t="s">
        <v>1126</v>
      </c>
      <c r="E3049" t="s">
        <v>8</v>
      </c>
      <c r="F3049" t="s">
        <v>1127</v>
      </c>
      <c r="G3049" t="s">
        <v>1128</v>
      </c>
      <c r="H3049" t="s">
        <v>1128</v>
      </c>
      <c r="I3049" t="s">
        <v>996</v>
      </c>
    </row>
    <row r="3050" spans="1:9" x14ac:dyDescent="0.25">
      <c r="A3050" s="1" t="str">
        <f>HYPERLINK("https://lynxcrm-apac--c.eu19.visual.force.com/0011i00000pbXOfAAM","Lock, Seen Hang Smily")</f>
        <v>Lock, Seen Hang Smily</v>
      </c>
      <c r="B3050" t="s">
        <v>6267</v>
      </c>
      <c r="C3050" t="s">
        <v>28</v>
      </c>
      <c r="D3050" t="s">
        <v>589</v>
      </c>
      <c r="E3050" t="s">
        <v>8</v>
      </c>
      <c r="F3050" t="s">
        <v>590</v>
      </c>
      <c r="G3050" t="s">
        <v>591</v>
      </c>
      <c r="H3050" t="s">
        <v>8</v>
      </c>
      <c r="I3050" t="s">
        <v>592</v>
      </c>
    </row>
    <row r="3051" spans="1:9" x14ac:dyDescent="0.25">
      <c r="A3051" s="1" t="str">
        <f>HYPERLINK("https://lynxcrm-apac--c.eu19.visual.force.com/0011i00000uPQY4AAO","Loh, Amanda")</f>
        <v>Loh, Amanda</v>
      </c>
      <c r="B3051" t="s">
        <v>6268</v>
      </c>
      <c r="C3051" t="s">
        <v>28</v>
      </c>
      <c r="D3051" t="s">
        <v>8</v>
      </c>
      <c r="E3051" t="s">
        <v>8</v>
      </c>
      <c r="F3051" t="s">
        <v>1165</v>
      </c>
      <c r="G3051" t="s">
        <v>1165</v>
      </c>
      <c r="H3051" t="s">
        <v>3621</v>
      </c>
      <c r="I3051" t="s">
        <v>1167</v>
      </c>
    </row>
    <row r="3052" spans="1:9" x14ac:dyDescent="0.25">
      <c r="A3052" s="1" t="str">
        <f>HYPERLINK("https://lynxcrm-apac--c.eu19.visual.force.com/0011i00000uPQY4AAO","Loh, Amanda")</f>
        <v>Loh, Amanda</v>
      </c>
      <c r="B3052" t="s">
        <v>6268</v>
      </c>
      <c r="C3052" t="s">
        <v>28</v>
      </c>
      <c r="D3052" t="s">
        <v>1164</v>
      </c>
      <c r="E3052" t="s">
        <v>8</v>
      </c>
      <c r="F3052" t="s">
        <v>1165</v>
      </c>
      <c r="G3052" t="s">
        <v>1165</v>
      </c>
      <c r="H3052" t="s">
        <v>3621</v>
      </c>
      <c r="I3052" t="s">
        <v>1167</v>
      </c>
    </row>
    <row r="3053" spans="1:9" x14ac:dyDescent="0.25">
      <c r="A3053" s="1" t="str">
        <f>HYPERLINK("https://lynxcrm-apac--c.eu19.visual.force.com/0011i000001xnkAAAQ","Loh, Cai Feng Rachel")</f>
        <v>Loh, Cai Feng Rachel</v>
      </c>
      <c r="B3053" t="s">
        <v>6269</v>
      </c>
      <c r="C3053" t="s">
        <v>28</v>
      </c>
      <c r="D3053" t="s">
        <v>937</v>
      </c>
      <c r="E3053" t="s">
        <v>8</v>
      </c>
      <c r="F3053" t="s">
        <v>1334</v>
      </c>
      <c r="G3053" t="s">
        <v>1335</v>
      </c>
      <c r="H3053" t="s">
        <v>1335</v>
      </c>
      <c r="I3053" t="s">
        <v>1336</v>
      </c>
    </row>
    <row r="3054" spans="1:9" x14ac:dyDescent="0.25">
      <c r="A3054" s="1" t="str">
        <f>HYPERLINK("https://lynxcrm-apac--c.eu19.visual.force.com/0011i000001xoCtAAI","Loh, Cheryl")</f>
        <v>Loh, Cheryl</v>
      </c>
      <c r="B3054" t="s">
        <v>6270</v>
      </c>
      <c r="C3054" t="s">
        <v>28</v>
      </c>
      <c r="D3054" t="s">
        <v>583</v>
      </c>
      <c r="E3054" t="s">
        <v>8</v>
      </c>
      <c r="F3054" t="s">
        <v>583</v>
      </c>
      <c r="G3054" t="s">
        <v>584</v>
      </c>
      <c r="H3054" t="s">
        <v>584</v>
      </c>
      <c r="I3054" t="s">
        <v>585</v>
      </c>
    </row>
    <row r="3055" spans="1:9" x14ac:dyDescent="0.25">
      <c r="A3055" s="1" t="str">
        <f>HYPERLINK("https://lynxcrm-apac--c.eu19.visual.force.com/0011i00000pbjv4AAA","Loh, Elaine")</f>
        <v>Loh, Elaine</v>
      </c>
      <c r="B3055" t="s">
        <v>6271</v>
      </c>
      <c r="C3055" t="s">
        <v>28</v>
      </c>
      <c r="D3055" t="s">
        <v>6272</v>
      </c>
      <c r="E3055" t="s">
        <v>8</v>
      </c>
      <c r="F3055" t="s">
        <v>6273</v>
      </c>
      <c r="G3055" t="s">
        <v>4600</v>
      </c>
      <c r="H3055" t="s">
        <v>8</v>
      </c>
      <c r="I3055" t="s">
        <v>6274</v>
      </c>
    </row>
    <row r="3056" spans="1:9" x14ac:dyDescent="0.25">
      <c r="A3056" s="1" t="str">
        <f>HYPERLINK("https://lynxcrm-apac--c.eu19.visual.force.com/0011i000001xnlDAAQ","Loh, Gloria")</f>
        <v>Loh, Gloria</v>
      </c>
      <c r="B3056" t="s">
        <v>6275</v>
      </c>
      <c r="C3056" t="s">
        <v>28</v>
      </c>
      <c r="D3056" t="s">
        <v>6276</v>
      </c>
      <c r="E3056" t="s">
        <v>8</v>
      </c>
      <c r="F3056" t="s">
        <v>6277</v>
      </c>
      <c r="G3056" t="s">
        <v>6278</v>
      </c>
      <c r="H3056" t="s">
        <v>6279</v>
      </c>
      <c r="I3056" t="s">
        <v>4144</v>
      </c>
    </row>
    <row r="3057" spans="1:9" x14ac:dyDescent="0.25">
      <c r="A3057" s="1" t="str">
        <f>HYPERLINK("https://lynxcrm-apac--c.eu19.visual.force.com/0011i000001xoDWAAY","Loh, Hong Beay Judy")</f>
        <v>Loh, Hong Beay Judy</v>
      </c>
      <c r="B3057" t="s">
        <v>6280</v>
      </c>
      <c r="C3057" t="s">
        <v>28</v>
      </c>
      <c r="D3057" t="s">
        <v>6281</v>
      </c>
      <c r="E3057" t="s">
        <v>8</v>
      </c>
      <c r="F3057" t="s">
        <v>825</v>
      </c>
      <c r="G3057" t="s">
        <v>944</v>
      </c>
      <c r="H3057" t="s">
        <v>944</v>
      </c>
      <c r="I3057" t="s">
        <v>827</v>
      </c>
    </row>
    <row r="3058" spans="1:9" x14ac:dyDescent="0.25">
      <c r="A3058" s="1" t="str">
        <f>HYPERLINK("https://lynxcrm-apac--c.eu19.visual.force.com/0011i000001xnlFAAQ","Loh, Hung Ghee")</f>
        <v>Loh, Hung Ghee</v>
      </c>
      <c r="B3058" t="s">
        <v>6282</v>
      </c>
      <c r="C3058" t="s">
        <v>28</v>
      </c>
      <c r="D3058" t="s">
        <v>6283</v>
      </c>
      <c r="E3058" t="s">
        <v>8</v>
      </c>
      <c r="F3058" t="s">
        <v>6284</v>
      </c>
      <c r="G3058" t="s">
        <v>6278</v>
      </c>
      <c r="H3058" t="s">
        <v>6285</v>
      </c>
      <c r="I3058" t="s">
        <v>6286</v>
      </c>
    </row>
    <row r="3059" spans="1:9" x14ac:dyDescent="0.25">
      <c r="A3059" s="1" t="str">
        <f>HYPERLINK("https://lynxcrm-apac--c.eu19.visual.force.com/0011i000001xoROAAY","Loh, Jeffrey")</f>
        <v>Loh, Jeffrey</v>
      </c>
      <c r="B3059" t="s">
        <v>6287</v>
      </c>
      <c r="C3059" t="s">
        <v>28</v>
      </c>
      <c r="D3059" t="s">
        <v>5702</v>
      </c>
      <c r="E3059" t="s">
        <v>8</v>
      </c>
      <c r="F3059" t="s">
        <v>5703</v>
      </c>
      <c r="G3059" t="s">
        <v>313</v>
      </c>
      <c r="H3059" t="s">
        <v>313</v>
      </c>
      <c r="I3059" t="s">
        <v>5704</v>
      </c>
    </row>
    <row r="3060" spans="1:9" x14ac:dyDescent="0.25">
      <c r="A3060" s="1" t="str">
        <f>HYPERLINK("https://lynxcrm-apac--c.eu19.visual.force.com/0011i000001xod3AAA","Loh, Jennifer")</f>
        <v>Loh, Jennifer</v>
      </c>
      <c r="B3060" t="s">
        <v>6288</v>
      </c>
      <c r="C3060" t="s">
        <v>28</v>
      </c>
      <c r="D3060" t="s">
        <v>5455</v>
      </c>
      <c r="E3060" t="s">
        <v>8</v>
      </c>
      <c r="F3060" t="s">
        <v>6289</v>
      </c>
      <c r="G3060" t="s">
        <v>5457</v>
      </c>
      <c r="H3060" t="s">
        <v>5457</v>
      </c>
      <c r="I3060" t="s">
        <v>5459</v>
      </c>
    </row>
    <row r="3061" spans="1:9" x14ac:dyDescent="0.25">
      <c r="A3061" s="1" t="str">
        <f>HYPERLINK("https://lynxcrm-apac--c.eu19.visual.force.com/0011i000001xou4AAA","Loh, Julian")</f>
        <v>Loh, Julian</v>
      </c>
      <c r="B3061" t="s">
        <v>6290</v>
      </c>
      <c r="C3061" t="s">
        <v>28</v>
      </c>
      <c r="D3061" t="s">
        <v>449</v>
      </c>
      <c r="E3061" t="s">
        <v>8</v>
      </c>
      <c r="F3061" t="s">
        <v>450</v>
      </c>
      <c r="G3061" t="s">
        <v>449</v>
      </c>
      <c r="H3061" t="s">
        <v>449</v>
      </c>
      <c r="I3061" t="s">
        <v>451</v>
      </c>
    </row>
    <row r="3062" spans="1:9" x14ac:dyDescent="0.25">
      <c r="A3062" s="1" t="str">
        <f>HYPERLINK("https://lynxcrm-apac--c.eu19.visual.force.com/0011i000001xou4AAA","Loh, Julian")</f>
        <v>Loh, Julian</v>
      </c>
      <c r="B3062" t="s">
        <v>6290</v>
      </c>
      <c r="C3062" t="s">
        <v>28</v>
      </c>
      <c r="D3062" t="s">
        <v>449</v>
      </c>
      <c r="E3062" t="s">
        <v>8</v>
      </c>
      <c r="F3062" t="s">
        <v>234</v>
      </c>
      <c r="G3062" t="s">
        <v>452</v>
      </c>
      <c r="H3062" t="s">
        <v>453</v>
      </c>
      <c r="I3062" t="s">
        <v>454</v>
      </c>
    </row>
    <row r="3063" spans="1:9" x14ac:dyDescent="0.25">
      <c r="A3063" s="1" t="str">
        <f>HYPERLINK("https://lynxcrm-apac--c.eu19.visual.force.com/0011i000007DNJTAA4","Loh, Jun Hao")</f>
        <v>Loh, Jun Hao</v>
      </c>
      <c r="B3063" t="s">
        <v>6291</v>
      </c>
      <c r="C3063" t="s">
        <v>28</v>
      </c>
      <c r="D3063" t="s">
        <v>709</v>
      </c>
      <c r="E3063" t="s">
        <v>8</v>
      </c>
      <c r="F3063" t="s">
        <v>710</v>
      </c>
      <c r="G3063" t="s">
        <v>135</v>
      </c>
      <c r="H3063" t="s">
        <v>135</v>
      </c>
      <c r="I3063" t="s">
        <v>711</v>
      </c>
    </row>
    <row r="3064" spans="1:9" x14ac:dyDescent="0.25">
      <c r="A3064" s="1" t="str">
        <f>HYPERLINK("https://lynxcrm-apac--c.eu19.visual.force.com/0011i000001xo47AAA","Loh, Kia Ee Sheila")</f>
        <v>Loh, Kia Ee Sheila</v>
      </c>
      <c r="B3064" t="s">
        <v>6292</v>
      </c>
      <c r="C3064" t="s">
        <v>28</v>
      </c>
      <c r="D3064" t="s">
        <v>2244</v>
      </c>
      <c r="E3064" t="s">
        <v>8</v>
      </c>
      <c r="F3064" t="s">
        <v>163</v>
      </c>
      <c r="G3064" t="s">
        <v>164</v>
      </c>
      <c r="H3064" t="s">
        <v>164</v>
      </c>
      <c r="I3064" t="s">
        <v>2613</v>
      </c>
    </row>
    <row r="3065" spans="1:9" x14ac:dyDescent="0.25">
      <c r="A3065" s="1" t="str">
        <f>HYPERLINK("https://lynxcrm-apac--c.eu19.visual.force.com/0011i000001xnlIAAQ","Loh, Kok Chi")</f>
        <v>Loh, Kok Chi</v>
      </c>
      <c r="B3065" t="s">
        <v>6293</v>
      </c>
      <c r="C3065" t="s">
        <v>28</v>
      </c>
      <c r="D3065" t="s">
        <v>6294</v>
      </c>
      <c r="E3065" t="s">
        <v>8</v>
      </c>
      <c r="F3065" t="s">
        <v>3179</v>
      </c>
      <c r="G3065" t="s">
        <v>3180</v>
      </c>
      <c r="H3065" t="s">
        <v>3181</v>
      </c>
      <c r="I3065" t="s">
        <v>1824</v>
      </c>
    </row>
    <row r="3066" spans="1:9" x14ac:dyDescent="0.25">
      <c r="A3066" s="1" t="str">
        <f>HYPERLINK("https://lynxcrm-apac--c.eu19.visual.force.com/0011i000001xnyKAAQ","Loh, Kok Kit")</f>
        <v>Loh, Kok Kit</v>
      </c>
      <c r="B3066" t="s">
        <v>6295</v>
      </c>
      <c r="C3066" t="s">
        <v>28</v>
      </c>
      <c r="D3066" t="s">
        <v>6296</v>
      </c>
      <c r="E3066" t="s">
        <v>8</v>
      </c>
      <c r="F3066" t="s">
        <v>377</v>
      </c>
      <c r="G3066" t="s">
        <v>6297</v>
      </c>
      <c r="H3066" t="s">
        <v>6298</v>
      </c>
      <c r="I3066" t="s">
        <v>123</v>
      </c>
    </row>
    <row r="3067" spans="1:9" x14ac:dyDescent="0.25">
      <c r="A3067" s="1" t="str">
        <f>HYPERLINK("https://lynxcrm-apac--c.eu19.visual.force.com/0011i000001xoHCAAY","Loh, Lih Ming")</f>
        <v>Loh, Lih Ming</v>
      </c>
      <c r="B3067" t="s">
        <v>6299</v>
      </c>
      <c r="C3067" t="s">
        <v>28</v>
      </c>
      <c r="D3067" t="s">
        <v>251</v>
      </c>
      <c r="E3067" t="s">
        <v>8</v>
      </c>
      <c r="F3067" t="s">
        <v>246</v>
      </c>
      <c r="G3067" t="s">
        <v>252</v>
      </c>
      <c r="H3067" t="s">
        <v>252</v>
      </c>
      <c r="I3067" t="s">
        <v>253</v>
      </c>
    </row>
    <row r="3068" spans="1:9" x14ac:dyDescent="0.25">
      <c r="A3068" s="1" t="str">
        <f>HYPERLINK("https://lynxcrm-apac--c.eu19.visual.force.com/0011i000001xo48AAA","Loh, Ngai Kun")</f>
        <v>Loh, Ngai Kun</v>
      </c>
      <c r="B3068" t="s">
        <v>6300</v>
      </c>
      <c r="C3068" t="s">
        <v>28</v>
      </c>
      <c r="D3068" t="s">
        <v>474</v>
      </c>
      <c r="E3068" t="s">
        <v>8</v>
      </c>
      <c r="F3068" t="s">
        <v>1263</v>
      </c>
      <c r="G3068" t="s">
        <v>258</v>
      </c>
      <c r="H3068" t="s">
        <v>259</v>
      </c>
      <c r="I3068" t="s">
        <v>260</v>
      </c>
    </row>
    <row r="3069" spans="1:9" x14ac:dyDescent="0.25">
      <c r="A3069" s="1" t="str">
        <f>HYPERLINK("https://lynxcrm-apac--c.eu19.visual.force.com/0011i000001xnlRAAQ","Loh, Peng Yam Michael")</f>
        <v>Loh, Peng Yam Michael</v>
      </c>
      <c r="B3069" t="s">
        <v>6301</v>
      </c>
      <c r="C3069" t="s">
        <v>28</v>
      </c>
      <c r="D3069" t="s">
        <v>6302</v>
      </c>
      <c r="E3069" t="s">
        <v>8</v>
      </c>
      <c r="F3069" t="s">
        <v>6303</v>
      </c>
      <c r="G3069" t="s">
        <v>6304</v>
      </c>
      <c r="H3069" t="s">
        <v>6304</v>
      </c>
      <c r="I3069" t="s">
        <v>6030</v>
      </c>
    </row>
    <row r="3070" spans="1:9" x14ac:dyDescent="0.25">
      <c r="A3070" s="1" t="str">
        <f>HYPERLINK("https://lynxcrm-apac--c.eu19.visual.force.com/0011i000001xotQAAQ","Loh, Ping Tyug")</f>
        <v>Loh, Ping Tyug</v>
      </c>
      <c r="B3070" t="s">
        <v>6305</v>
      </c>
      <c r="C3070" t="s">
        <v>28</v>
      </c>
      <c r="D3070" t="s">
        <v>6306</v>
      </c>
      <c r="E3070" t="s">
        <v>8</v>
      </c>
      <c r="F3070" t="s">
        <v>6307</v>
      </c>
      <c r="G3070" t="s">
        <v>121</v>
      </c>
      <c r="H3070" t="s">
        <v>121</v>
      </c>
      <c r="I3070" t="s">
        <v>123</v>
      </c>
    </row>
    <row r="3071" spans="1:9" x14ac:dyDescent="0.25">
      <c r="A3071" s="1" t="str">
        <f>HYPERLINK("https://lynxcrm-apac--c.eu19.visual.force.com/0011i000001xoJdAAI","Loh, Seet Yoong")</f>
        <v>Loh, Seet Yoong</v>
      </c>
      <c r="B3071" t="s">
        <v>6308</v>
      </c>
      <c r="C3071" t="s">
        <v>28</v>
      </c>
      <c r="D3071" t="s">
        <v>261</v>
      </c>
      <c r="E3071" t="s">
        <v>8</v>
      </c>
      <c r="F3071" t="s">
        <v>258</v>
      </c>
      <c r="G3071" t="s">
        <v>258</v>
      </c>
      <c r="H3071" t="s">
        <v>8</v>
      </c>
      <c r="I3071" t="s">
        <v>415</v>
      </c>
    </row>
    <row r="3072" spans="1:9" x14ac:dyDescent="0.25">
      <c r="A3072" s="1" t="str">
        <f>HYPERLINK("https://lynxcrm-apac--c.eu19.visual.force.com/0011i000001xoJdAAI","Loh, Seet Yoong")</f>
        <v>Loh, Seet Yoong</v>
      </c>
      <c r="B3072" t="s">
        <v>6308</v>
      </c>
      <c r="C3072" t="s">
        <v>28</v>
      </c>
      <c r="D3072" t="s">
        <v>261</v>
      </c>
      <c r="E3072" t="s">
        <v>8</v>
      </c>
      <c r="F3072" t="s">
        <v>261</v>
      </c>
      <c r="G3072" t="s">
        <v>347</v>
      </c>
      <c r="H3072" t="s">
        <v>347</v>
      </c>
      <c r="I3072" t="s">
        <v>260</v>
      </c>
    </row>
    <row r="3073" spans="1:9" x14ac:dyDescent="0.25">
      <c r="A3073" s="1" t="str">
        <f>HYPERLINK("https://lynxcrm-apac--c.eu19.visual.force.com/0011i000001xoM2AAI","Loh, Shyeng Wei")</f>
        <v>Loh, Shyeng Wei</v>
      </c>
      <c r="B3073" t="s">
        <v>6309</v>
      </c>
      <c r="C3073" t="s">
        <v>28</v>
      </c>
      <c r="D3073" t="s">
        <v>261</v>
      </c>
      <c r="E3073" t="s">
        <v>8</v>
      </c>
      <c r="F3073" t="s">
        <v>261</v>
      </c>
      <c r="G3073" t="s">
        <v>347</v>
      </c>
      <c r="H3073" t="s">
        <v>347</v>
      </c>
      <c r="I3073" t="s">
        <v>260</v>
      </c>
    </row>
    <row r="3074" spans="1:9" x14ac:dyDescent="0.25">
      <c r="A3074" s="1" t="str">
        <f>HYPERLINK("https://lynxcrm-apac--c.eu19.visual.force.com/0011i000001xoM2AAI","Loh, Shyeng Wei")</f>
        <v>Loh, Shyeng Wei</v>
      </c>
      <c r="B3074" t="s">
        <v>6309</v>
      </c>
      <c r="C3074" t="s">
        <v>28</v>
      </c>
      <c r="D3074" t="s">
        <v>261</v>
      </c>
      <c r="E3074" t="s">
        <v>8</v>
      </c>
      <c r="F3074" t="s">
        <v>514</v>
      </c>
      <c r="G3074" t="s">
        <v>258</v>
      </c>
      <c r="H3074" t="s">
        <v>259</v>
      </c>
      <c r="I3074" t="s">
        <v>260</v>
      </c>
    </row>
    <row r="3075" spans="1:9" x14ac:dyDescent="0.25">
      <c r="A3075" s="1" t="str">
        <f>HYPERLINK("https://lynxcrm-apac--c.eu19.visual.force.com/0011i000001xoDZAAY","Loh, Sook Heng")</f>
        <v>Loh, Sook Heng</v>
      </c>
      <c r="B3075" t="s">
        <v>6310</v>
      </c>
      <c r="C3075" t="s">
        <v>28</v>
      </c>
      <c r="D3075" t="s">
        <v>4693</v>
      </c>
      <c r="E3075" t="s">
        <v>8</v>
      </c>
      <c r="F3075" t="s">
        <v>3256</v>
      </c>
      <c r="G3075" t="s">
        <v>4102</v>
      </c>
      <c r="H3075" t="s">
        <v>4102</v>
      </c>
      <c r="I3075" t="s">
        <v>2266</v>
      </c>
    </row>
    <row r="3076" spans="1:9" x14ac:dyDescent="0.25">
      <c r="A3076" s="1" t="str">
        <f>HYPERLINK("https://lynxcrm-apac--c.eu19.visual.force.com/0011i000001xoZYAAY","Loh, Stella")</f>
        <v>Loh, Stella</v>
      </c>
      <c r="B3076" t="s">
        <v>6311</v>
      </c>
      <c r="C3076" t="s">
        <v>28</v>
      </c>
      <c r="D3076" t="s">
        <v>164</v>
      </c>
      <c r="E3076" t="s">
        <v>8</v>
      </c>
      <c r="F3076" t="s">
        <v>6312</v>
      </c>
      <c r="G3076" t="s">
        <v>163</v>
      </c>
      <c r="H3076" t="s">
        <v>163</v>
      </c>
      <c r="I3076" t="s">
        <v>165</v>
      </c>
    </row>
    <row r="3077" spans="1:9" x14ac:dyDescent="0.25">
      <c r="A3077" s="1" t="str">
        <f>HYPERLINK("https://lynxcrm-apac--c.eu19.visual.force.com/0011i000001xooCAAQ","Loh, Wann Jia")</f>
        <v>Loh, Wann Jia</v>
      </c>
      <c r="B3077" t="s">
        <v>6313</v>
      </c>
      <c r="C3077" t="s">
        <v>28</v>
      </c>
      <c r="D3077" t="s">
        <v>583</v>
      </c>
      <c r="E3077" t="s">
        <v>8</v>
      </c>
      <c r="F3077" t="s">
        <v>583</v>
      </c>
      <c r="G3077" t="s">
        <v>584</v>
      </c>
      <c r="H3077" t="s">
        <v>584</v>
      </c>
      <c r="I3077" t="s">
        <v>585</v>
      </c>
    </row>
    <row r="3078" spans="1:9" x14ac:dyDescent="0.25">
      <c r="A3078" s="1" t="str">
        <f>HYPERLINK("https://lynxcrm-apac--c.eu19.visual.force.com/0011i000001xnlWAAQ","Loh, Wee Tiong Alfred")</f>
        <v>Loh, Wee Tiong Alfred</v>
      </c>
      <c r="B3078" t="s">
        <v>6314</v>
      </c>
      <c r="C3078" t="s">
        <v>28</v>
      </c>
      <c r="D3078" t="s">
        <v>164</v>
      </c>
      <c r="E3078" t="s">
        <v>8</v>
      </c>
      <c r="F3078" t="s">
        <v>651</v>
      </c>
      <c r="G3078" t="s">
        <v>163</v>
      </c>
      <c r="H3078" t="s">
        <v>242</v>
      </c>
      <c r="I3078" t="s">
        <v>165</v>
      </c>
    </row>
    <row r="3079" spans="1:9" x14ac:dyDescent="0.25">
      <c r="A3079" s="1" t="str">
        <f>HYPERLINK("https://lynxcrm-apac--c.eu19.visual.force.com/0011i000001xoixAAA","Loh, Weng Chee")</f>
        <v>Loh, Weng Chee</v>
      </c>
      <c r="B3079" t="s">
        <v>6315</v>
      </c>
      <c r="C3079" t="s">
        <v>28</v>
      </c>
      <c r="D3079" t="s">
        <v>520</v>
      </c>
      <c r="E3079" t="s">
        <v>8</v>
      </c>
      <c r="F3079" t="s">
        <v>90</v>
      </c>
      <c r="G3079" t="s">
        <v>521</v>
      </c>
      <c r="H3079" t="s">
        <v>521</v>
      </c>
      <c r="I3079" t="s">
        <v>92</v>
      </c>
    </row>
    <row r="3080" spans="1:9" x14ac:dyDescent="0.25">
      <c r="A3080" s="1" t="str">
        <f>HYPERLINK("https://lynxcrm-apac--c.eu19.visual.force.com/0011i000001xnlZAAQ","Loh, Yin Leng Carolyn")</f>
        <v>Loh, Yin Leng Carolyn</v>
      </c>
      <c r="B3080" t="s">
        <v>6316</v>
      </c>
      <c r="C3080" t="s">
        <v>28</v>
      </c>
      <c r="D3080" t="s">
        <v>6317</v>
      </c>
      <c r="E3080" t="s">
        <v>8</v>
      </c>
      <c r="F3080" t="s">
        <v>2869</v>
      </c>
      <c r="G3080" t="s">
        <v>2870</v>
      </c>
      <c r="H3080" t="s">
        <v>2871</v>
      </c>
      <c r="I3080" t="s">
        <v>2872</v>
      </c>
    </row>
    <row r="3081" spans="1:9" x14ac:dyDescent="0.25">
      <c r="A3081" s="1" t="str">
        <f>HYPERLINK("https://lynxcrm-apac--c.eu19.visual.force.com/0011i000001xoU5AAI","Loh, York King")</f>
        <v>Loh, York King</v>
      </c>
      <c r="B3081" t="s">
        <v>6318</v>
      </c>
      <c r="C3081" t="s">
        <v>28</v>
      </c>
      <c r="D3081" t="s">
        <v>701</v>
      </c>
      <c r="E3081" t="s">
        <v>8</v>
      </c>
      <c r="F3081" t="s">
        <v>1123</v>
      </c>
      <c r="G3081" t="s">
        <v>1123</v>
      </c>
      <c r="H3081" t="s">
        <v>8</v>
      </c>
      <c r="I3081" t="s">
        <v>703</v>
      </c>
    </row>
    <row r="3082" spans="1:9" x14ac:dyDescent="0.25">
      <c r="A3082" s="1" t="str">
        <f>HYPERLINK("https://lynxcrm-apac--c.eu19.visual.force.com/0011i000001xoNSAAY","Loh, Zhi Ming")</f>
        <v>Loh, Zhi Ming</v>
      </c>
      <c r="B3082" t="s">
        <v>6319</v>
      </c>
      <c r="C3082" t="s">
        <v>28</v>
      </c>
      <c r="D3082" t="s">
        <v>701</v>
      </c>
      <c r="E3082" t="s">
        <v>8</v>
      </c>
      <c r="F3082" t="s">
        <v>1123</v>
      </c>
      <c r="G3082" t="s">
        <v>1123</v>
      </c>
      <c r="H3082" t="s">
        <v>1124</v>
      </c>
      <c r="I3082" t="s">
        <v>703</v>
      </c>
    </row>
    <row r="3083" spans="1:9" x14ac:dyDescent="0.25">
      <c r="A3083" s="1" t="str">
        <f>HYPERLINK("https://lynxcrm-apac--c.eu19.visual.force.com/0011i000001xoNSAAY","Loh, Zhi Ming")</f>
        <v>Loh, Zhi Ming</v>
      </c>
      <c r="B3083" t="s">
        <v>6319</v>
      </c>
      <c r="C3083" t="s">
        <v>28</v>
      </c>
      <c r="D3083" t="s">
        <v>701</v>
      </c>
      <c r="E3083" t="s">
        <v>8</v>
      </c>
      <c r="F3083" t="s">
        <v>1123</v>
      </c>
      <c r="G3083" t="s">
        <v>1123</v>
      </c>
      <c r="H3083" t="s">
        <v>8</v>
      </c>
      <c r="I3083" t="s">
        <v>703</v>
      </c>
    </row>
    <row r="3084" spans="1:9" x14ac:dyDescent="0.25">
      <c r="A3084" s="1" t="str">
        <f>HYPERLINK("https://lynxcrm-apac--c.eu19.visual.force.com/0011i00000jv1kEAAQ","Loh, Zhi Wen")</f>
        <v>Loh, Zhi Wen</v>
      </c>
      <c r="B3084" t="s">
        <v>6320</v>
      </c>
      <c r="C3084" t="s">
        <v>28</v>
      </c>
      <c r="D3084" t="s">
        <v>8</v>
      </c>
      <c r="E3084" t="s">
        <v>8</v>
      </c>
      <c r="F3084" t="s">
        <v>8</v>
      </c>
      <c r="G3084" t="s">
        <v>8</v>
      </c>
      <c r="H3084" t="s">
        <v>8</v>
      </c>
      <c r="I3084" t="s">
        <v>8</v>
      </c>
    </row>
    <row r="3085" spans="1:9" x14ac:dyDescent="0.25">
      <c r="A3085" s="1" t="str">
        <f>HYPERLINK("https://lynxcrm-apac--c.eu19.visual.force.com/0011i000001xnZxAAI","Loh's Clinic")</f>
        <v>Loh's Clinic</v>
      </c>
      <c r="B3085" t="s">
        <v>6321</v>
      </c>
      <c r="C3085" t="s">
        <v>10</v>
      </c>
      <c r="D3085" t="s">
        <v>8</v>
      </c>
      <c r="E3085" t="s">
        <v>8</v>
      </c>
      <c r="F3085" t="s">
        <v>6284</v>
      </c>
      <c r="G3085" t="s">
        <v>6278</v>
      </c>
      <c r="H3085" t="s">
        <v>6285</v>
      </c>
      <c r="I3085" t="s">
        <v>6286</v>
      </c>
    </row>
    <row r="3086" spans="1:9" x14ac:dyDescent="0.25">
      <c r="A3086" s="1" t="str">
        <f>HYPERLINK("https://lynxcrm-apac--c.eu19.visual.force.com/0011i000001xmpGAAQ","Loh Keh Chuan Diabetes, Thyroid &amp; Horomone Clinic")</f>
        <v>Loh Keh Chuan Diabetes, Thyroid &amp; Horomone Clinic</v>
      </c>
      <c r="B3086" t="s">
        <v>6322</v>
      </c>
      <c r="C3086" t="s">
        <v>10</v>
      </c>
      <c r="D3086" t="s">
        <v>8</v>
      </c>
      <c r="E3086" t="s">
        <v>8</v>
      </c>
      <c r="F3086" t="s">
        <v>373</v>
      </c>
      <c r="G3086" t="s">
        <v>6323</v>
      </c>
      <c r="H3086" t="s">
        <v>6324</v>
      </c>
      <c r="I3086" t="s">
        <v>123</v>
      </c>
    </row>
    <row r="3087" spans="1:9" x14ac:dyDescent="0.25">
      <c r="A3087" s="1" t="str">
        <f>HYPERLINK("https://lynxcrm-apac--c.eu19.visual.force.com/0011i000001xnlcAAA","Loi, Kuan Loong")</f>
        <v>Loi, Kuan Loong</v>
      </c>
      <c r="B3087" t="s">
        <v>6325</v>
      </c>
      <c r="C3087" t="s">
        <v>28</v>
      </c>
      <c r="D3087" t="s">
        <v>6326</v>
      </c>
      <c r="E3087" t="s">
        <v>8</v>
      </c>
      <c r="F3087" t="s">
        <v>6327</v>
      </c>
      <c r="G3087" t="s">
        <v>2431</v>
      </c>
      <c r="H3087" t="s">
        <v>6328</v>
      </c>
      <c r="I3087" t="s">
        <v>2974</v>
      </c>
    </row>
    <row r="3088" spans="1:9" x14ac:dyDescent="0.25">
      <c r="A3088" s="1" t="str">
        <f>HYPERLINK("https://lynxcrm-apac--c.eu19.visual.force.com/0011i000001xnleAAA","Lok, Teen Hong")</f>
        <v>Lok, Teen Hong</v>
      </c>
      <c r="B3088" t="s">
        <v>6329</v>
      </c>
      <c r="C3088" t="s">
        <v>28</v>
      </c>
      <c r="D3088" t="s">
        <v>6330</v>
      </c>
      <c r="E3088" t="s">
        <v>8</v>
      </c>
      <c r="F3088" t="s">
        <v>6331</v>
      </c>
      <c r="G3088" t="s">
        <v>6052</v>
      </c>
      <c r="H3088" t="s">
        <v>6052</v>
      </c>
      <c r="I3088" t="s">
        <v>904</v>
      </c>
    </row>
    <row r="3089" spans="1:9" x14ac:dyDescent="0.25">
      <c r="A3089" s="1" t="str">
        <f>HYPERLINK("https://lynxcrm-apac--c.eu19.visual.force.com/0011i000001xnliAAA","Lok, Ying Fang")</f>
        <v>Lok, Ying Fang</v>
      </c>
      <c r="B3089" t="s">
        <v>6332</v>
      </c>
      <c r="C3089" t="s">
        <v>28</v>
      </c>
      <c r="D3089" t="s">
        <v>6333</v>
      </c>
      <c r="E3089" t="s">
        <v>8</v>
      </c>
      <c r="F3089" t="s">
        <v>6334</v>
      </c>
      <c r="G3089" t="s">
        <v>2431</v>
      </c>
      <c r="H3089" t="s">
        <v>2431</v>
      </c>
      <c r="I3089" t="s">
        <v>6335</v>
      </c>
    </row>
    <row r="3090" spans="1:9" x14ac:dyDescent="0.25">
      <c r="A3090" s="1" t="str">
        <f>HYPERLINK("https://lynxcrm-apac--c.eu19.visual.force.com/0011i000001xob4AAA","Loke, Mun Choy Eugene")</f>
        <v>Loke, Mun Choy Eugene</v>
      </c>
      <c r="B3090" t="s">
        <v>6336</v>
      </c>
      <c r="C3090" t="s">
        <v>28</v>
      </c>
      <c r="D3090" t="s">
        <v>6337</v>
      </c>
      <c r="E3090" t="s">
        <v>8</v>
      </c>
      <c r="F3090" t="s">
        <v>6338</v>
      </c>
      <c r="G3090" t="s">
        <v>6338</v>
      </c>
      <c r="H3090" t="s">
        <v>6339</v>
      </c>
      <c r="I3090" t="s">
        <v>3599</v>
      </c>
    </row>
    <row r="3091" spans="1:9" x14ac:dyDescent="0.25">
      <c r="A3091" s="1" t="str">
        <f>HYPERLINK("https://lynxcrm-apac--c.eu19.visual.force.com/0011i000001xmf7AAA","London (MH) Clinic &amp; Surgery")</f>
        <v>London (MH) Clinic &amp; Surgery</v>
      </c>
      <c r="B3091" t="s">
        <v>6340</v>
      </c>
      <c r="C3091" t="s">
        <v>10</v>
      </c>
      <c r="D3091" t="s">
        <v>8</v>
      </c>
      <c r="E3091" t="s">
        <v>8</v>
      </c>
      <c r="F3091" t="s">
        <v>6341</v>
      </c>
      <c r="G3091" t="s">
        <v>6342</v>
      </c>
      <c r="H3091" t="s">
        <v>6343</v>
      </c>
      <c r="I3091" t="s">
        <v>4998</v>
      </c>
    </row>
    <row r="3092" spans="1:9" x14ac:dyDescent="0.25">
      <c r="A3092" s="1" t="str">
        <f>HYPERLINK("https://lynxcrm-apac--c.eu19.visual.force.com/0011i000001xnlrAAA","Loo, Andrew")</f>
        <v>Loo, Andrew</v>
      </c>
      <c r="B3092" t="s">
        <v>6344</v>
      </c>
      <c r="C3092" t="s">
        <v>28</v>
      </c>
      <c r="D3092" t="s">
        <v>6345</v>
      </c>
      <c r="E3092" t="s">
        <v>8</v>
      </c>
      <c r="F3092" t="s">
        <v>609</v>
      </c>
      <c r="G3092" t="s">
        <v>1307</v>
      </c>
      <c r="H3092" t="s">
        <v>1307</v>
      </c>
      <c r="I3092" t="s">
        <v>610</v>
      </c>
    </row>
    <row r="3093" spans="1:9" x14ac:dyDescent="0.25">
      <c r="A3093" s="1" t="str">
        <f>HYPERLINK("https://lynxcrm-apac--c.eu19.visual.force.com/0011i000001xo4CAAQ","Loo, Chian Min")</f>
        <v>Loo, Chian Min</v>
      </c>
      <c r="B3093" t="s">
        <v>6346</v>
      </c>
      <c r="C3093" t="s">
        <v>28</v>
      </c>
      <c r="D3093" t="s">
        <v>251</v>
      </c>
      <c r="E3093" t="s">
        <v>8</v>
      </c>
      <c r="F3093" t="s">
        <v>251</v>
      </c>
      <c r="G3093" t="s">
        <v>252</v>
      </c>
      <c r="H3093" t="s">
        <v>252</v>
      </c>
      <c r="I3093" t="s">
        <v>253</v>
      </c>
    </row>
    <row r="3094" spans="1:9" x14ac:dyDescent="0.25">
      <c r="A3094" s="1" t="str">
        <f>HYPERLINK("https://lynxcrm-apac--c.eu19.visual.force.com/0011i000001xo4CAAQ","Loo, Chian Min")</f>
        <v>Loo, Chian Min</v>
      </c>
      <c r="B3094" t="s">
        <v>6346</v>
      </c>
      <c r="C3094" t="s">
        <v>28</v>
      </c>
      <c r="D3094" t="s">
        <v>251</v>
      </c>
      <c r="E3094" t="s">
        <v>8</v>
      </c>
      <c r="F3094" t="s">
        <v>239</v>
      </c>
      <c r="G3094" t="s">
        <v>252</v>
      </c>
      <c r="H3094" t="s">
        <v>252</v>
      </c>
      <c r="I3094" t="s">
        <v>253</v>
      </c>
    </row>
    <row r="3095" spans="1:9" x14ac:dyDescent="0.25">
      <c r="A3095" s="1" t="str">
        <f>HYPERLINK("https://lynxcrm-apac--c.eu19.visual.force.com/0011i000001xnlxAAA","Loo, Choon Yong")</f>
        <v>Loo, Choon Yong</v>
      </c>
      <c r="B3095" t="s">
        <v>6347</v>
      </c>
      <c r="C3095" t="s">
        <v>28</v>
      </c>
      <c r="D3095" t="s">
        <v>164</v>
      </c>
      <c r="E3095" t="s">
        <v>8</v>
      </c>
      <c r="F3095" t="s">
        <v>368</v>
      </c>
      <c r="G3095" t="s">
        <v>163</v>
      </c>
      <c r="H3095" t="s">
        <v>163</v>
      </c>
      <c r="I3095" t="s">
        <v>165</v>
      </c>
    </row>
    <row r="3096" spans="1:9" x14ac:dyDescent="0.25">
      <c r="A3096" s="1" t="str">
        <f>HYPERLINK("https://lynxcrm-apac--c.eu19.visual.force.com/0011i000001xnlvAAA","Loo, Choo Woon Daniel")</f>
        <v>Loo, Choo Woon Daniel</v>
      </c>
      <c r="B3096" t="s">
        <v>6348</v>
      </c>
      <c r="C3096" t="s">
        <v>28</v>
      </c>
      <c r="D3096" t="s">
        <v>5963</v>
      </c>
      <c r="E3096" t="s">
        <v>8</v>
      </c>
      <c r="F3096" t="s">
        <v>3665</v>
      </c>
      <c r="G3096" t="s">
        <v>1335</v>
      </c>
      <c r="H3096" t="s">
        <v>3666</v>
      </c>
      <c r="I3096" t="s">
        <v>3667</v>
      </c>
    </row>
    <row r="3097" spans="1:9" x14ac:dyDescent="0.25">
      <c r="A3097" s="1" t="str">
        <f>HYPERLINK("https://lynxcrm-apac--c.eu19.visual.force.com/0011i000001xoOkAAI","Loo, Chun Hao")</f>
        <v>Loo, Chun Hao</v>
      </c>
      <c r="B3097" t="s">
        <v>6349</v>
      </c>
      <c r="C3097" t="s">
        <v>28</v>
      </c>
      <c r="D3097" t="s">
        <v>701</v>
      </c>
      <c r="E3097" t="s">
        <v>8</v>
      </c>
      <c r="F3097" t="s">
        <v>1123</v>
      </c>
      <c r="G3097" t="s">
        <v>1123</v>
      </c>
      <c r="H3097" t="s">
        <v>8</v>
      </c>
      <c r="I3097" t="s">
        <v>703</v>
      </c>
    </row>
    <row r="3098" spans="1:9" x14ac:dyDescent="0.25">
      <c r="A3098" s="1" t="str">
        <f>HYPERLINK("https://lynxcrm-apac--c.eu19.visual.force.com/0011i000001xos4AAA","Loo, Hui Voon")</f>
        <v>Loo, Hui Voon</v>
      </c>
      <c r="B3098" t="s">
        <v>6350</v>
      </c>
      <c r="C3098" t="s">
        <v>28</v>
      </c>
      <c r="D3098" t="s">
        <v>58</v>
      </c>
      <c r="E3098" t="s">
        <v>8</v>
      </c>
      <c r="F3098" t="s">
        <v>57</v>
      </c>
      <c r="G3098" t="s">
        <v>57</v>
      </c>
      <c r="H3098" t="s">
        <v>8</v>
      </c>
      <c r="I3098" t="s">
        <v>59</v>
      </c>
    </row>
    <row r="3099" spans="1:9" x14ac:dyDescent="0.25">
      <c r="A3099" s="1" t="str">
        <f>HYPERLINK("https://lynxcrm-apac--c.eu19.visual.force.com/0011i000001xos4AAA","Loo, Hui Voon")</f>
        <v>Loo, Hui Voon</v>
      </c>
      <c r="B3099" t="s">
        <v>6350</v>
      </c>
      <c r="C3099" t="s">
        <v>28</v>
      </c>
      <c r="D3099" t="s">
        <v>58</v>
      </c>
      <c r="E3099" t="s">
        <v>8</v>
      </c>
      <c r="F3099" t="s">
        <v>57</v>
      </c>
      <c r="G3099" t="s">
        <v>57</v>
      </c>
      <c r="H3099" t="s">
        <v>1275</v>
      </c>
      <c r="I3099" t="s">
        <v>59</v>
      </c>
    </row>
    <row r="3100" spans="1:9" x14ac:dyDescent="0.25">
      <c r="A3100" s="1" t="str">
        <f>HYPERLINK("https://lynxcrm-apac--c.eu19.visual.force.com/0011i000001xni5AAA","Loo, Swee Chin")</f>
        <v>Loo, Swee Chin</v>
      </c>
      <c r="B3100" t="s">
        <v>6351</v>
      </c>
      <c r="C3100" t="s">
        <v>28</v>
      </c>
      <c r="D3100" t="s">
        <v>429</v>
      </c>
      <c r="E3100" t="s">
        <v>8</v>
      </c>
      <c r="F3100" t="s">
        <v>429</v>
      </c>
      <c r="G3100" t="s">
        <v>428</v>
      </c>
      <c r="H3100" t="s">
        <v>428</v>
      </c>
      <c r="I3100" t="s">
        <v>430</v>
      </c>
    </row>
    <row r="3101" spans="1:9" x14ac:dyDescent="0.25">
      <c r="A3101" s="1" t="str">
        <f>HYPERLINK("https://lynxcrm-apac--c.eu19.visual.force.com/0011i000001xni5AAA","Loo, Swee Chin")</f>
        <v>Loo, Swee Chin</v>
      </c>
      <c r="B3101" t="s">
        <v>6351</v>
      </c>
      <c r="C3101" t="s">
        <v>28</v>
      </c>
      <c r="D3101" t="s">
        <v>429</v>
      </c>
      <c r="E3101" t="s">
        <v>8</v>
      </c>
      <c r="F3101" t="s">
        <v>444</v>
      </c>
      <c r="G3101" t="s">
        <v>444</v>
      </c>
      <c r="H3101" t="s">
        <v>8</v>
      </c>
      <c r="I3101" t="s">
        <v>430</v>
      </c>
    </row>
    <row r="3102" spans="1:9" x14ac:dyDescent="0.25">
      <c r="A3102" s="1" t="str">
        <f>HYPERLINK("https://lynxcrm-apac--c.eu19.visual.force.com/0011i000001xni5AAA","Loo, Swee Chin")</f>
        <v>Loo, Swee Chin</v>
      </c>
      <c r="B3102" t="s">
        <v>6351</v>
      </c>
      <c r="C3102" t="s">
        <v>28</v>
      </c>
      <c r="D3102" t="s">
        <v>429</v>
      </c>
      <c r="E3102" t="s">
        <v>8</v>
      </c>
      <c r="F3102" t="s">
        <v>445</v>
      </c>
      <c r="G3102" t="s">
        <v>428</v>
      </c>
      <c r="H3102" t="s">
        <v>428</v>
      </c>
      <c r="I3102" t="s">
        <v>430</v>
      </c>
    </row>
    <row r="3103" spans="1:9" x14ac:dyDescent="0.25">
      <c r="A3103" s="1" t="str">
        <f>HYPERLINK("https://lynxcrm-apac--c.eu19.visual.force.com/0011i000001xni5AAA","Loo, Swee Chin")</f>
        <v>Loo, Swee Chin</v>
      </c>
      <c r="B3103" t="s">
        <v>6351</v>
      </c>
      <c r="C3103" t="s">
        <v>28</v>
      </c>
      <c r="D3103" t="s">
        <v>429</v>
      </c>
      <c r="E3103" t="s">
        <v>8</v>
      </c>
      <c r="F3103" t="s">
        <v>444</v>
      </c>
      <c r="G3103" t="s">
        <v>444</v>
      </c>
      <c r="H3103" t="s">
        <v>8</v>
      </c>
      <c r="I3103" t="s">
        <v>8</v>
      </c>
    </row>
    <row r="3104" spans="1:9" x14ac:dyDescent="0.25">
      <c r="A3104" s="1" t="str">
        <f>HYPERLINK("https://lynxcrm-apac--c.eu19.visual.force.com/0011i00000uRlpxAAC","Loo, Ying Yi")</f>
        <v>Loo, Ying Yi</v>
      </c>
      <c r="B3104" t="s">
        <v>6352</v>
      </c>
      <c r="C3104" t="s">
        <v>28</v>
      </c>
      <c r="D3104" t="s">
        <v>21</v>
      </c>
      <c r="E3104" t="s">
        <v>8</v>
      </c>
      <c r="F3104" t="s">
        <v>699</v>
      </c>
      <c r="G3104" t="s">
        <v>699</v>
      </c>
      <c r="H3104" t="s">
        <v>8</v>
      </c>
      <c r="I3104" t="s">
        <v>22</v>
      </c>
    </row>
    <row r="3105" spans="1:9" x14ac:dyDescent="0.25">
      <c r="A3105" s="1" t="str">
        <f>HYPERLINK("https://lynxcrm-apac--c.eu19.visual.force.com/0011i000001xobSAAQ","Loo, Yu Xian")</f>
        <v>Loo, Yu Xian</v>
      </c>
      <c r="B3105" t="s">
        <v>6353</v>
      </c>
      <c r="C3105" t="s">
        <v>28</v>
      </c>
      <c r="D3105" t="s">
        <v>392</v>
      </c>
      <c r="E3105" t="s">
        <v>8</v>
      </c>
      <c r="F3105" t="s">
        <v>393</v>
      </c>
      <c r="G3105" t="s">
        <v>393</v>
      </c>
      <c r="H3105" t="s">
        <v>8</v>
      </c>
      <c r="I3105" t="s">
        <v>396</v>
      </c>
    </row>
    <row r="3106" spans="1:9" x14ac:dyDescent="0.25">
      <c r="A3106" s="1" t="str">
        <f>HYPERLINK("https://lynxcrm-apac--c.eu19.visual.force.com/0011i000001xnm2AAA","Looi, Cheng Sin Robert")</f>
        <v>Looi, Cheng Sin Robert</v>
      </c>
      <c r="B3106" t="s">
        <v>6354</v>
      </c>
      <c r="C3106" t="s">
        <v>28</v>
      </c>
      <c r="D3106" t="s">
        <v>6355</v>
      </c>
      <c r="E3106" t="s">
        <v>8</v>
      </c>
      <c r="F3106" t="s">
        <v>5932</v>
      </c>
      <c r="G3106" t="s">
        <v>6356</v>
      </c>
      <c r="H3106" t="s">
        <v>6356</v>
      </c>
      <c r="I3106" t="s">
        <v>5933</v>
      </c>
    </row>
    <row r="3107" spans="1:9" x14ac:dyDescent="0.25">
      <c r="A3107" s="1" t="str">
        <f>HYPERLINK("https://lynxcrm-apac--c.eu19.visual.force.com/0011i000001xmpVAAQ","Looi Surgery")</f>
        <v>Looi Surgery</v>
      </c>
      <c r="B3107" t="s">
        <v>6357</v>
      </c>
      <c r="C3107" t="s">
        <v>10</v>
      </c>
      <c r="D3107" t="s">
        <v>8</v>
      </c>
      <c r="E3107" t="s">
        <v>8</v>
      </c>
      <c r="F3107" t="s">
        <v>6358</v>
      </c>
      <c r="G3107" t="s">
        <v>6356</v>
      </c>
      <c r="H3107" t="s">
        <v>6356</v>
      </c>
      <c r="I3107" t="s">
        <v>5933</v>
      </c>
    </row>
    <row r="3108" spans="1:9" x14ac:dyDescent="0.25">
      <c r="A3108" s="1" t="str">
        <f>HYPERLINK("https://lynxcrm-apac--c.eu19.visual.force.com/0011i000001xoXqAAI","Loong, Tze Wey")</f>
        <v>Loong, Tze Wey</v>
      </c>
      <c r="B3108" t="s">
        <v>6359</v>
      </c>
      <c r="C3108" t="s">
        <v>28</v>
      </c>
      <c r="D3108" t="s">
        <v>6360</v>
      </c>
      <c r="E3108" t="s">
        <v>8</v>
      </c>
      <c r="F3108" t="s">
        <v>4912</v>
      </c>
      <c r="G3108" t="s">
        <v>478</v>
      </c>
      <c r="H3108" t="s">
        <v>4913</v>
      </c>
      <c r="I3108" t="s">
        <v>4914</v>
      </c>
    </row>
    <row r="3109" spans="1:9" x14ac:dyDescent="0.25">
      <c r="A3109" s="1" t="str">
        <f>HYPERLINK("https://lynxcrm-apac--c.eu19.visual.force.com/0011i000001xoZAAAY","Louise")</f>
        <v>Louise</v>
      </c>
      <c r="B3109" t="s">
        <v>6361</v>
      </c>
      <c r="C3109" t="s">
        <v>28</v>
      </c>
      <c r="D3109" t="s">
        <v>1274</v>
      </c>
      <c r="E3109" t="s">
        <v>8</v>
      </c>
      <c r="F3109" t="s">
        <v>6362</v>
      </c>
      <c r="G3109" t="s">
        <v>6363</v>
      </c>
      <c r="H3109" t="s">
        <v>6363</v>
      </c>
      <c r="I3109" t="s">
        <v>260</v>
      </c>
    </row>
    <row r="3110" spans="1:9" x14ac:dyDescent="0.25">
      <c r="A3110" s="1" t="str">
        <f>HYPERLINK("https://lynxcrm-apac--c.eu19.visual.force.com/0011i000001xoZAAAY","Louise")</f>
        <v>Louise</v>
      </c>
      <c r="B3110" t="s">
        <v>6361</v>
      </c>
      <c r="C3110" t="s">
        <v>28</v>
      </c>
      <c r="D3110" t="s">
        <v>261</v>
      </c>
      <c r="E3110" t="s">
        <v>8</v>
      </c>
      <c r="F3110" t="s">
        <v>261</v>
      </c>
      <c r="G3110" t="s">
        <v>347</v>
      </c>
      <c r="H3110" t="s">
        <v>347</v>
      </c>
      <c r="I3110" t="s">
        <v>260</v>
      </c>
    </row>
    <row r="3111" spans="1:9" x14ac:dyDescent="0.25">
      <c r="A3111" s="1" t="str">
        <f>HYPERLINK("https://lynxcrm-apac--c.eu19.visual.force.com/0011i000001xo4FAAQ","Low, Boon Yong")</f>
        <v>Low, Boon Yong</v>
      </c>
      <c r="B3111" t="s">
        <v>6364</v>
      </c>
      <c r="C3111" t="s">
        <v>28</v>
      </c>
      <c r="D3111" t="s">
        <v>583</v>
      </c>
      <c r="E3111" t="s">
        <v>8</v>
      </c>
      <c r="F3111" t="s">
        <v>1352</v>
      </c>
      <c r="G3111" t="s">
        <v>584</v>
      </c>
      <c r="H3111" t="s">
        <v>584</v>
      </c>
      <c r="I3111" t="s">
        <v>585</v>
      </c>
    </row>
    <row r="3112" spans="1:9" x14ac:dyDescent="0.25">
      <c r="A3112" s="1" t="str">
        <f>HYPERLINK("https://lynxcrm-apac--c.eu19.visual.force.com/0011i000001xoD0AAI","Low, Chai Ling")</f>
        <v>Low, Chai Ling</v>
      </c>
      <c r="B3112" t="s">
        <v>6365</v>
      </c>
      <c r="C3112" t="s">
        <v>28</v>
      </c>
      <c r="D3112" t="s">
        <v>6366</v>
      </c>
      <c r="E3112" t="s">
        <v>8</v>
      </c>
      <c r="F3112" t="s">
        <v>6367</v>
      </c>
      <c r="G3112" t="s">
        <v>6368</v>
      </c>
      <c r="H3112" t="s">
        <v>6369</v>
      </c>
      <c r="I3112" t="s">
        <v>6370</v>
      </c>
    </row>
    <row r="3113" spans="1:9" x14ac:dyDescent="0.25">
      <c r="A3113" s="1" t="str">
        <f>HYPERLINK("https://lynxcrm-apac--c.eu19.visual.force.com/0011i000001xo8FAAQ","Low, Cheng Hock")</f>
        <v>Low, Cheng Hock</v>
      </c>
      <c r="B3113" t="s">
        <v>6371</v>
      </c>
      <c r="C3113" t="s">
        <v>28</v>
      </c>
      <c r="D3113" t="s">
        <v>1242</v>
      </c>
      <c r="E3113" t="s">
        <v>8</v>
      </c>
      <c r="F3113" t="s">
        <v>258</v>
      </c>
      <c r="G3113" t="s">
        <v>261</v>
      </c>
      <c r="H3113" t="s">
        <v>261</v>
      </c>
      <c r="I3113" t="s">
        <v>260</v>
      </c>
    </row>
    <row r="3114" spans="1:9" x14ac:dyDescent="0.25">
      <c r="A3114" s="1" t="str">
        <f>HYPERLINK("https://lynxcrm-apac--c.eu19.visual.force.com/0011i000001xo8FAAQ","Low, Cheng Hock")</f>
        <v>Low, Cheng Hock</v>
      </c>
      <c r="B3114" t="s">
        <v>6371</v>
      </c>
      <c r="C3114" t="s">
        <v>28</v>
      </c>
      <c r="D3114" t="s">
        <v>261</v>
      </c>
      <c r="E3114" t="s">
        <v>8</v>
      </c>
      <c r="F3114" t="s">
        <v>261</v>
      </c>
      <c r="G3114" t="s">
        <v>347</v>
      </c>
      <c r="H3114" t="s">
        <v>347</v>
      </c>
      <c r="I3114" t="s">
        <v>260</v>
      </c>
    </row>
    <row r="3115" spans="1:9" x14ac:dyDescent="0.25">
      <c r="A3115" s="1" t="str">
        <f>HYPERLINK("https://lynxcrm-apac--c.eu19.visual.force.com/0011i000001xo4GAAQ","Low, Cheng Ooi")</f>
        <v>Low, Cheng Ooi</v>
      </c>
      <c r="B3115" t="s">
        <v>6372</v>
      </c>
      <c r="C3115" t="s">
        <v>28</v>
      </c>
      <c r="D3115" t="s">
        <v>583</v>
      </c>
      <c r="E3115" t="s">
        <v>8</v>
      </c>
      <c r="F3115" t="s">
        <v>1352</v>
      </c>
      <c r="G3115" t="s">
        <v>584</v>
      </c>
      <c r="H3115" t="s">
        <v>584</v>
      </c>
      <c r="I3115" t="s">
        <v>585</v>
      </c>
    </row>
    <row r="3116" spans="1:9" x14ac:dyDescent="0.25">
      <c r="A3116" s="1" t="str">
        <f>HYPERLINK("https://lynxcrm-apac--c.eu19.visual.force.com/0011i000001xoIcAAI","Low, Chin Yong")</f>
        <v>Low, Chin Yong</v>
      </c>
      <c r="B3116" t="s">
        <v>6373</v>
      </c>
      <c r="C3116" t="s">
        <v>28</v>
      </c>
      <c r="D3116" t="s">
        <v>6374</v>
      </c>
      <c r="E3116" t="s">
        <v>8</v>
      </c>
      <c r="F3116" t="s">
        <v>6375</v>
      </c>
      <c r="G3116" t="s">
        <v>6376</v>
      </c>
      <c r="H3116" t="s">
        <v>6376</v>
      </c>
      <c r="I3116" t="s">
        <v>6377</v>
      </c>
    </row>
    <row r="3117" spans="1:9" x14ac:dyDescent="0.25">
      <c r="A3117" s="1" t="str">
        <f>HYPERLINK("https://lynxcrm-apac--c.eu19.visual.force.com/0011i000001xo0jAAA","Low, Christina")</f>
        <v>Low, Christina</v>
      </c>
      <c r="B3117" t="s">
        <v>6378</v>
      </c>
      <c r="C3117" t="s">
        <v>28</v>
      </c>
      <c r="D3117" t="s">
        <v>578</v>
      </c>
      <c r="E3117" t="s">
        <v>8</v>
      </c>
      <c r="F3117" t="s">
        <v>1874</v>
      </c>
      <c r="G3117" t="s">
        <v>1875</v>
      </c>
      <c r="H3117" t="s">
        <v>1875</v>
      </c>
      <c r="I3117" t="s">
        <v>1876</v>
      </c>
    </row>
    <row r="3118" spans="1:9" x14ac:dyDescent="0.25">
      <c r="A3118" s="1" t="str">
        <f>HYPERLINK("https://lynxcrm-apac--c.eu19.visual.force.com/0011i000001xoTBAAY","Low, Chyi Yen David")</f>
        <v>Low, Chyi Yen David</v>
      </c>
      <c r="B3118" t="s">
        <v>6379</v>
      </c>
      <c r="C3118" t="s">
        <v>28</v>
      </c>
      <c r="D3118" t="s">
        <v>1242</v>
      </c>
      <c r="E3118" t="s">
        <v>8</v>
      </c>
      <c r="F3118" t="s">
        <v>252</v>
      </c>
      <c r="G3118" t="s">
        <v>251</v>
      </c>
      <c r="H3118" t="s">
        <v>251</v>
      </c>
      <c r="I3118" t="s">
        <v>253</v>
      </c>
    </row>
    <row r="3119" spans="1:9" x14ac:dyDescent="0.25">
      <c r="A3119" s="1" t="str">
        <f>HYPERLINK("https://lynxcrm-apac--c.eu19.visual.force.com/0011i000001xoTBAAY","Low, Chyi Yen David")</f>
        <v>Low, Chyi Yen David</v>
      </c>
      <c r="B3119" t="s">
        <v>6379</v>
      </c>
      <c r="C3119" t="s">
        <v>28</v>
      </c>
      <c r="D3119" t="s">
        <v>251</v>
      </c>
      <c r="E3119" t="s">
        <v>8</v>
      </c>
      <c r="F3119" t="s">
        <v>251</v>
      </c>
      <c r="G3119" t="s">
        <v>252</v>
      </c>
      <c r="H3119" t="s">
        <v>252</v>
      </c>
      <c r="I3119" t="s">
        <v>253</v>
      </c>
    </row>
    <row r="3120" spans="1:9" x14ac:dyDescent="0.25">
      <c r="A3120" s="1" t="str">
        <f>HYPERLINK("https://lynxcrm-apac--c.eu19.visual.force.com/0011i000001xnm9AAA","Low, Cze Hong")</f>
        <v>Low, Cze Hong</v>
      </c>
      <c r="B3120" t="s">
        <v>6380</v>
      </c>
      <c r="C3120" t="s">
        <v>28</v>
      </c>
      <c r="D3120" t="s">
        <v>6381</v>
      </c>
      <c r="E3120" t="s">
        <v>8</v>
      </c>
      <c r="F3120" t="s">
        <v>679</v>
      </c>
      <c r="G3120" t="s">
        <v>113</v>
      </c>
      <c r="H3120" t="s">
        <v>680</v>
      </c>
      <c r="I3120" t="s">
        <v>115</v>
      </c>
    </row>
    <row r="3121" spans="1:9" x14ac:dyDescent="0.25">
      <c r="A3121" s="1" t="str">
        <f>HYPERLINK("https://lynxcrm-apac--c.eu19.visual.force.com/0011i000001xnmDAAQ","Low, How Cheong")</f>
        <v>Low, How Cheong</v>
      </c>
      <c r="B3121" t="s">
        <v>6382</v>
      </c>
      <c r="C3121" t="s">
        <v>28</v>
      </c>
      <c r="D3121" t="s">
        <v>6383</v>
      </c>
      <c r="E3121" t="s">
        <v>8</v>
      </c>
      <c r="F3121" t="s">
        <v>4114</v>
      </c>
      <c r="G3121" t="s">
        <v>2829</v>
      </c>
      <c r="H3121" t="s">
        <v>2829</v>
      </c>
      <c r="I3121" t="s">
        <v>4115</v>
      </c>
    </row>
    <row r="3122" spans="1:9" x14ac:dyDescent="0.25">
      <c r="A3122" s="1" t="str">
        <f>HYPERLINK("https://lynxcrm-apac--c.eu19.visual.force.com/0011i000001xoeHAAQ","Low, Hsiu Ling Andrea")</f>
        <v>Low, Hsiu Ling Andrea</v>
      </c>
      <c r="B3122" t="s">
        <v>6384</v>
      </c>
      <c r="C3122" t="s">
        <v>28</v>
      </c>
      <c r="D3122" t="s">
        <v>251</v>
      </c>
      <c r="E3122" t="s">
        <v>8</v>
      </c>
      <c r="F3122" t="s">
        <v>6385</v>
      </c>
      <c r="G3122" t="s">
        <v>6386</v>
      </c>
      <c r="H3122" t="s">
        <v>858</v>
      </c>
      <c r="I3122" t="s">
        <v>253</v>
      </c>
    </row>
    <row r="3123" spans="1:9" x14ac:dyDescent="0.25">
      <c r="A3123" s="1" t="str">
        <f>HYPERLINK("https://lynxcrm-apac--c.eu19.visual.force.com/0011i000001xnmGAAQ","Low, Huey Chin")</f>
        <v>Low, Huey Chin</v>
      </c>
      <c r="B3123" t="s">
        <v>6387</v>
      </c>
      <c r="C3123" t="s">
        <v>28</v>
      </c>
      <c r="D3123" t="s">
        <v>6388</v>
      </c>
      <c r="E3123" t="s">
        <v>8</v>
      </c>
      <c r="F3123" t="s">
        <v>6389</v>
      </c>
      <c r="G3123" t="s">
        <v>478</v>
      </c>
      <c r="H3123" t="s">
        <v>478</v>
      </c>
      <c r="I3123" t="s">
        <v>6390</v>
      </c>
    </row>
    <row r="3124" spans="1:9" x14ac:dyDescent="0.25">
      <c r="A3124" s="1" t="str">
        <f>HYPERLINK("https://lynxcrm-apac--c.eu19.visual.force.com/0011i000001xo2SAAQ","Low, Kang Yih")</f>
        <v>Low, Kang Yih</v>
      </c>
      <c r="B3124" t="s">
        <v>6391</v>
      </c>
      <c r="C3124" t="s">
        <v>28</v>
      </c>
      <c r="D3124" t="s">
        <v>1661</v>
      </c>
      <c r="E3124" t="s">
        <v>8</v>
      </c>
      <c r="F3124" t="s">
        <v>622</v>
      </c>
      <c r="G3124" t="s">
        <v>623</v>
      </c>
      <c r="H3124" t="s">
        <v>623</v>
      </c>
      <c r="I3124" t="s">
        <v>624</v>
      </c>
    </row>
    <row r="3125" spans="1:9" x14ac:dyDescent="0.25">
      <c r="A3125" s="1" t="str">
        <f>HYPERLINK("https://lynxcrm-apac--c.eu19.visual.force.com/0011i000001xnmMAAQ","Low, Kee Hwa")</f>
        <v>Low, Kee Hwa</v>
      </c>
      <c r="B3125" t="s">
        <v>6392</v>
      </c>
      <c r="C3125" t="s">
        <v>28</v>
      </c>
      <c r="D3125" t="s">
        <v>6393</v>
      </c>
      <c r="E3125" t="s">
        <v>8</v>
      </c>
      <c r="F3125" t="s">
        <v>6394</v>
      </c>
      <c r="G3125" t="s">
        <v>6395</v>
      </c>
      <c r="H3125" t="s">
        <v>6395</v>
      </c>
      <c r="I3125" t="s">
        <v>6396</v>
      </c>
    </row>
    <row r="3126" spans="1:9" x14ac:dyDescent="0.25">
      <c r="A3126" s="1" t="str">
        <f>HYPERLINK("https://lynxcrm-apac--c.eu19.visual.force.com/0011i000001xnmOAAQ","Low, Khee Herng")</f>
        <v>Low, Khee Herng</v>
      </c>
      <c r="B3126" t="s">
        <v>6397</v>
      </c>
      <c r="C3126" t="s">
        <v>28</v>
      </c>
      <c r="D3126" t="s">
        <v>6398</v>
      </c>
      <c r="E3126" t="s">
        <v>8</v>
      </c>
      <c r="F3126" t="s">
        <v>6399</v>
      </c>
      <c r="G3126" t="s">
        <v>6400</v>
      </c>
      <c r="H3126" t="s">
        <v>6401</v>
      </c>
      <c r="I3126" t="s">
        <v>6402</v>
      </c>
    </row>
    <row r="3127" spans="1:9" x14ac:dyDescent="0.25">
      <c r="A3127" s="1" t="str">
        <f>HYPERLINK("https://lynxcrm-apac--c.eu19.visual.force.com/0011i000001xnmQAAQ","Low, Kian Chuan David")</f>
        <v>Low, Kian Chuan David</v>
      </c>
      <c r="B3127" t="s">
        <v>6403</v>
      </c>
      <c r="C3127" t="s">
        <v>28</v>
      </c>
      <c r="D3127" t="s">
        <v>6404</v>
      </c>
      <c r="E3127" t="s">
        <v>8</v>
      </c>
      <c r="F3127" t="s">
        <v>6405</v>
      </c>
      <c r="G3127" t="s">
        <v>1034</v>
      </c>
      <c r="H3127" t="s">
        <v>1034</v>
      </c>
      <c r="I3127" t="s">
        <v>3148</v>
      </c>
    </row>
    <row r="3128" spans="1:9" x14ac:dyDescent="0.25">
      <c r="A3128" s="1" t="str">
        <f>HYPERLINK("https://lynxcrm-apac--c.eu19.visual.force.com/0011i00000uPQbXAAW","Low, Krystel")</f>
        <v>Low, Krystel</v>
      </c>
      <c r="B3128" t="s">
        <v>6406</v>
      </c>
      <c r="C3128" t="s">
        <v>28</v>
      </c>
      <c r="D3128" t="s">
        <v>8</v>
      </c>
      <c r="E3128" t="s">
        <v>8</v>
      </c>
      <c r="F3128" t="s">
        <v>1165</v>
      </c>
      <c r="G3128" t="s">
        <v>1165</v>
      </c>
      <c r="H3128" t="s">
        <v>3621</v>
      </c>
      <c r="I3128" t="s">
        <v>1167</v>
      </c>
    </row>
    <row r="3129" spans="1:9" x14ac:dyDescent="0.25">
      <c r="A3129" s="1" t="str">
        <f>HYPERLINK("https://lynxcrm-apac--c.eu19.visual.force.com/0011i00000uPQbXAAW","Low, Krystel")</f>
        <v>Low, Krystel</v>
      </c>
      <c r="B3129" t="s">
        <v>6406</v>
      </c>
      <c r="C3129" t="s">
        <v>28</v>
      </c>
      <c r="D3129" t="s">
        <v>1164</v>
      </c>
      <c r="E3129" t="s">
        <v>8</v>
      </c>
      <c r="F3129" t="s">
        <v>1165</v>
      </c>
      <c r="G3129" t="s">
        <v>1165</v>
      </c>
      <c r="H3129" t="s">
        <v>3621</v>
      </c>
      <c r="I3129" t="s">
        <v>1167</v>
      </c>
    </row>
    <row r="3130" spans="1:9" x14ac:dyDescent="0.25">
      <c r="A3130" s="1" t="str">
        <f>HYPERLINK("https://lynxcrm-apac--c.eu19.visual.force.com/0011i000001xojfAAA","Low, Lian")</f>
        <v>Low, Lian</v>
      </c>
      <c r="B3130" t="s">
        <v>6407</v>
      </c>
      <c r="C3130" t="s">
        <v>28</v>
      </c>
      <c r="D3130" t="s">
        <v>1126</v>
      </c>
      <c r="E3130" t="s">
        <v>8</v>
      </c>
      <c r="F3130" t="s">
        <v>1127</v>
      </c>
      <c r="G3130" t="s">
        <v>1128</v>
      </c>
      <c r="H3130" t="s">
        <v>1128</v>
      </c>
      <c r="I3130" t="s">
        <v>996</v>
      </c>
    </row>
    <row r="3131" spans="1:9" x14ac:dyDescent="0.25">
      <c r="A3131" s="1" t="str">
        <f>HYPERLINK("https://lynxcrm-apac--c.eu19.visual.force.com/0011i000001xnusAAA","Low, Mun How")</f>
        <v>Low, Mun How</v>
      </c>
      <c r="B3131" t="s">
        <v>6408</v>
      </c>
      <c r="C3131" t="s">
        <v>28</v>
      </c>
      <c r="D3131" t="s">
        <v>251</v>
      </c>
      <c r="E3131" t="s">
        <v>8</v>
      </c>
      <c r="F3131" t="s">
        <v>251</v>
      </c>
      <c r="G3131" t="s">
        <v>252</v>
      </c>
      <c r="H3131" t="s">
        <v>252</v>
      </c>
      <c r="I3131" t="s">
        <v>253</v>
      </c>
    </row>
    <row r="3132" spans="1:9" x14ac:dyDescent="0.25">
      <c r="A3132" s="1" t="str">
        <f t="shared" ref="A3132:A3137" si="25">HYPERLINK("https://lynxcrm-apac--c.eu19.visual.force.com/0011i000007FG63AAG","Low, Serena Kiat Mun")</f>
        <v>Low, Serena Kiat Mun</v>
      </c>
      <c r="B3132" t="s">
        <v>6409</v>
      </c>
      <c r="C3132" t="s">
        <v>28</v>
      </c>
      <c r="D3132" t="s">
        <v>501</v>
      </c>
      <c r="E3132" t="s">
        <v>8</v>
      </c>
      <c r="F3132" t="s">
        <v>502</v>
      </c>
      <c r="G3132" t="s">
        <v>502</v>
      </c>
      <c r="H3132" t="s">
        <v>503</v>
      </c>
      <c r="I3132" t="s">
        <v>504</v>
      </c>
    </row>
    <row r="3133" spans="1:9" x14ac:dyDescent="0.25">
      <c r="A3133" s="1" t="str">
        <f t="shared" si="25"/>
        <v>Low, Serena Kiat Mun</v>
      </c>
      <c r="B3133" t="s">
        <v>6409</v>
      </c>
      <c r="C3133" t="s">
        <v>28</v>
      </c>
      <c r="D3133" t="s">
        <v>501</v>
      </c>
      <c r="E3133" t="s">
        <v>8</v>
      </c>
      <c r="F3133" t="s">
        <v>246</v>
      </c>
      <c r="G3133" t="s">
        <v>502</v>
      </c>
      <c r="H3133" t="s">
        <v>503</v>
      </c>
      <c r="I3133" t="s">
        <v>504</v>
      </c>
    </row>
    <row r="3134" spans="1:9" x14ac:dyDescent="0.25">
      <c r="A3134" s="1" t="str">
        <f t="shared" si="25"/>
        <v>Low, Serena Kiat Mun</v>
      </c>
      <c r="B3134" t="s">
        <v>6409</v>
      </c>
      <c r="C3134" t="s">
        <v>28</v>
      </c>
      <c r="D3134" t="s">
        <v>501</v>
      </c>
      <c r="E3134" t="s">
        <v>8</v>
      </c>
      <c r="F3134" t="s">
        <v>246</v>
      </c>
      <c r="G3134" t="s">
        <v>502</v>
      </c>
      <c r="H3134" t="s">
        <v>503</v>
      </c>
      <c r="I3134" t="s">
        <v>505</v>
      </c>
    </row>
    <row r="3135" spans="1:9" x14ac:dyDescent="0.25">
      <c r="A3135" s="1" t="str">
        <f t="shared" si="25"/>
        <v>Low, Serena Kiat Mun</v>
      </c>
      <c r="B3135" t="s">
        <v>6409</v>
      </c>
      <c r="C3135" t="s">
        <v>28</v>
      </c>
      <c r="D3135" t="s">
        <v>501</v>
      </c>
      <c r="E3135" t="s">
        <v>8</v>
      </c>
      <c r="F3135" t="s">
        <v>501</v>
      </c>
      <c r="G3135" t="s">
        <v>502</v>
      </c>
      <c r="H3135" t="s">
        <v>502</v>
      </c>
      <c r="I3135" t="s">
        <v>506</v>
      </c>
    </row>
    <row r="3136" spans="1:9" x14ac:dyDescent="0.25">
      <c r="A3136" s="1" t="str">
        <f t="shared" si="25"/>
        <v>Low, Serena Kiat Mun</v>
      </c>
      <c r="B3136" t="s">
        <v>6409</v>
      </c>
      <c r="C3136" t="s">
        <v>28</v>
      </c>
      <c r="D3136" t="s">
        <v>501</v>
      </c>
      <c r="E3136" t="s">
        <v>8</v>
      </c>
      <c r="F3136" t="s">
        <v>234</v>
      </c>
      <c r="G3136" t="s">
        <v>502</v>
      </c>
      <c r="H3136" t="s">
        <v>503</v>
      </c>
      <c r="I3136" t="s">
        <v>504</v>
      </c>
    </row>
    <row r="3137" spans="1:9" x14ac:dyDescent="0.25">
      <c r="A3137" s="1" t="str">
        <f t="shared" si="25"/>
        <v>Low, Serena Kiat Mun</v>
      </c>
      <c r="B3137" t="s">
        <v>6409</v>
      </c>
      <c r="C3137" t="s">
        <v>28</v>
      </c>
      <c r="D3137" t="s">
        <v>501</v>
      </c>
      <c r="E3137" t="s">
        <v>8</v>
      </c>
      <c r="F3137" t="s">
        <v>359</v>
      </c>
      <c r="G3137" t="s">
        <v>502</v>
      </c>
      <c r="H3137" t="s">
        <v>503</v>
      </c>
      <c r="I3137" t="s">
        <v>506</v>
      </c>
    </row>
    <row r="3138" spans="1:9" x14ac:dyDescent="0.25">
      <c r="A3138" s="1" t="str">
        <f>HYPERLINK("https://lynxcrm-apac--c.eu19.visual.force.com/0011i000001xnxlAAA","Low, Sheau Wen Wendy")</f>
        <v>Low, Sheau Wen Wendy</v>
      </c>
      <c r="B3138" t="s">
        <v>6410</v>
      </c>
      <c r="C3138" t="s">
        <v>28</v>
      </c>
      <c r="D3138" t="s">
        <v>4461</v>
      </c>
      <c r="E3138" t="s">
        <v>8</v>
      </c>
      <c r="F3138" t="s">
        <v>679</v>
      </c>
      <c r="G3138" t="s">
        <v>3490</v>
      </c>
      <c r="H3138" t="s">
        <v>3491</v>
      </c>
      <c r="I3138" t="s">
        <v>115</v>
      </c>
    </row>
    <row r="3139" spans="1:9" x14ac:dyDescent="0.25">
      <c r="A3139" s="1" t="str">
        <f>HYPERLINK("https://lynxcrm-apac--c.eu19.visual.force.com/0011i000001xojvAAA","Low, Sher Guan Luke")</f>
        <v>Low, Sher Guan Luke</v>
      </c>
      <c r="B3139" t="s">
        <v>6411</v>
      </c>
      <c r="C3139" t="s">
        <v>28</v>
      </c>
      <c r="D3139" t="s">
        <v>1126</v>
      </c>
      <c r="E3139" t="s">
        <v>8</v>
      </c>
      <c r="F3139" t="s">
        <v>1127</v>
      </c>
      <c r="G3139" t="s">
        <v>1128</v>
      </c>
      <c r="H3139" t="s">
        <v>1128</v>
      </c>
      <c r="I3139" t="s">
        <v>996</v>
      </c>
    </row>
    <row r="3140" spans="1:9" x14ac:dyDescent="0.25">
      <c r="A3140" s="1" t="str">
        <f>HYPERLINK("https://lynxcrm-apac--c.eu19.visual.force.com/0011i000001xoE8AAI","Low, Shou Lin")</f>
        <v>Low, Shou Lin</v>
      </c>
      <c r="B3140" t="s">
        <v>6412</v>
      </c>
      <c r="C3140" t="s">
        <v>28</v>
      </c>
      <c r="D3140" t="s">
        <v>583</v>
      </c>
      <c r="E3140" t="s">
        <v>8</v>
      </c>
      <c r="F3140" t="s">
        <v>583</v>
      </c>
      <c r="G3140" t="s">
        <v>584</v>
      </c>
      <c r="H3140" t="s">
        <v>584</v>
      </c>
      <c r="I3140" t="s">
        <v>585</v>
      </c>
    </row>
    <row r="3141" spans="1:9" x14ac:dyDescent="0.25">
      <c r="A3141" s="1" t="str">
        <f>HYPERLINK("https://lynxcrm-apac--c.eu19.visual.force.com/0011i000001xoE8AAI","Low, Shou Lin")</f>
        <v>Low, Shou Lin</v>
      </c>
      <c r="B3141" t="s">
        <v>6412</v>
      </c>
      <c r="C3141" t="s">
        <v>28</v>
      </c>
      <c r="D3141" t="s">
        <v>3202</v>
      </c>
      <c r="E3141" t="s">
        <v>8</v>
      </c>
      <c r="F3141" t="s">
        <v>584</v>
      </c>
      <c r="G3141" t="s">
        <v>583</v>
      </c>
      <c r="H3141" t="s">
        <v>583</v>
      </c>
      <c r="I3141" t="s">
        <v>585</v>
      </c>
    </row>
    <row r="3142" spans="1:9" x14ac:dyDescent="0.25">
      <c r="A3142" s="1" t="str">
        <f>HYPERLINK("https://lynxcrm-apac--c.eu19.visual.force.com/0011i000001xoHtAAI","Low, Siew Teong")</f>
        <v>Low, Siew Teong</v>
      </c>
      <c r="B3142" t="s">
        <v>6413</v>
      </c>
      <c r="C3142" t="s">
        <v>28</v>
      </c>
      <c r="D3142" t="s">
        <v>1558</v>
      </c>
      <c r="E3142" t="s">
        <v>8</v>
      </c>
      <c r="F3142" t="s">
        <v>1594</v>
      </c>
      <c r="G3142" t="s">
        <v>1595</v>
      </c>
      <c r="H3142" t="s">
        <v>1596</v>
      </c>
      <c r="I3142" t="s">
        <v>161</v>
      </c>
    </row>
    <row r="3143" spans="1:9" x14ac:dyDescent="0.25">
      <c r="A3143" s="1" t="str">
        <f>HYPERLINK("https://lynxcrm-apac--c.eu19.visual.force.com/0011i000001xoFyAAI","Low, Su Ying")</f>
        <v>Low, Su Ying</v>
      </c>
      <c r="B3143" t="s">
        <v>6414</v>
      </c>
      <c r="C3143" t="s">
        <v>28</v>
      </c>
      <c r="D3143" t="s">
        <v>251</v>
      </c>
      <c r="E3143" t="s">
        <v>8</v>
      </c>
      <c r="F3143" t="s">
        <v>251</v>
      </c>
      <c r="G3143" t="s">
        <v>252</v>
      </c>
      <c r="H3143" t="s">
        <v>252</v>
      </c>
      <c r="I3143" t="s">
        <v>253</v>
      </c>
    </row>
    <row r="3144" spans="1:9" x14ac:dyDescent="0.25">
      <c r="A3144" s="1" t="str">
        <f>HYPERLINK("https://lynxcrm-apac--c.eu19.visual.force.com/0011i000001xoFyAAI","Low, Su Ying")</f>
        <v>Low, Su Ying</v>
      </c>
      <c r="B3144" t="s">
        <v>6414</v>
      </c>
      <c r="C3144" t="s">
        <v>28</v>
      </c>
      <c r="D3144" t="s">
        <v>251</v>
      </c>
      <c r="E3144" t="s">
        <v>8</v>
      </c>
      <c r="F3144" t="s">
        <v>239</v>
      </c>
      <c r="G3144" t="s">
        <v>252</v>
      </c>
      <c r="H3144" t="s">
        <v>252</v>
      </c>
      <c r="I3144" t="s">
        <v>253</v>
      </c>
    </row>
    <row r="3145" spans="1:9" x14ac:dyDescent="0.25">
      <c r="A3145" s="1" t="str">
        <f>HYPERLINK("https://lynxcrm-apac--c.eu19.visual.force.com/0011i000001xoIMAAY","Low, Ting Ting")</f>
        <v>Low, Ting Ting</v>
      </c>
      <c r="B3145" t="s">
        <v>6415</v>
      </c>
      <c r="C3145" t="s">
        <v>28</v>
      </c>
      <c r="D3145" t="s">
        <v>429</v>
      </c>
      <c r="E3145" t="s">
        <v>8</v>
      </c>
      <c r="F3145" t="s">
        <v>429</v>
      </c>
      <c r="G3145" t="s">
        <v>428</v>
      </c>
      <c r="H3145" t="s">
        <v>428</v>
      </c>
      <c r="I3145" t="s">
        <v>430</v>
      </c>
    </row>
    <row r="3146" spans="1:9" x14ac:dyDescent="0.25">
      <c r="A3146" s="1" t="str">
        <f>HYPERLINK("https://lynxcrm-apac--c.eu19.visual.force.com/0011i000001xoIMAAY","Low, Ting Ting")</f>
        <v>Low, Ting Ting</v>
      </c>
      <c r="B3146" t="s">
        <v>6415</v>
      </c>
      <c r="C3146" t="s">
        <v>28</v>
      </c>
      <c r="D3146" t="s">
        <v>429</v>
      </c>
      <c r="E3146" t="s">
        <v>8</v>
      </c>
      <c r="F3146" t="s">
        <v>444</v>
      </c>
      <c r="G3146" t="s">
        <v>444</v>
      </c>
      <c r="H3146" t="s">
        <v>8</v>
      </c>
      <c r="I3146" t="s">
        <v>430</v>
      </c>
    </row>
    <row r="3147" spans="1:9" x14ac:dyDescent="0.25">
      <c r="A3147" s="1" t="str">
        <f>HYPERLINK("https://lynxcrm-apac--c.eu19.visual.force.com/0011i000001xoIMAAY","Low, Ting Ting")</f>
        <v>Low, Ting Ting</v>
      </c>
      <c r="B3147" t="s">
        <v>6415</v>
      </c>
      <c r="C3147" t="s">
        <v>28</v>
      </c>
      <c r="D3147" t="s">
        <v>429</v>
      </c>
      <c r="E3147" t="s">
        <v>8</v>
      </c>
      <c r="F3147" t="s">
        <v>445</v>
      </c>
      <c r="G3147" t="s">
        <v>428</v>
      </c>
      <c r="H3147" t="s">
        <v>428</v>
      </c>
      <c r="I3147" t="s">
        <v>430</v>
      </c>
    </row>
    <row r="3148" spans="1:9" x14ac:dyDescent="0.25">
      <c r="A3148" s="1" t="str">
        <f>HYPERLINK("https://lynxcrm-apac--c.eu19.visual.force.com/0011i000001xoIMAAY","Low, Ting Ting")</f>
        <v>Low, Ting Ting</v>
      </c>
      <c r="B3148" t="s">
        <v>6415</v>
      </c>
      <c r="C3148" t="s">
        <v>28</v>
      </c>
      <c r="D3148" t="s">
        <v>429</v>
      </c>
      <c r="E3148" t="s">
        <v>8</v>
      </c>
      <c r="F3148" t="s">
        <v>444</v>
      </c>
      <c r="G3148" t="s">
        <v>444</v>
      </c>
      <c r="H3148" t="s">
        <v>8</v>
      </c>
      <c r="I3148" t="s">
        <v>8</v>
      </c>
    </row>
    <row r="3149" spans="1:9" x14ac:dyDescent="0.25">
      <c r="A3149" s="1" t="str">
        <f>HYPERLINK("https://lynxcrm-apac--c.eu19.visual.force.com/0011i000001xnmdAAA","Low, Tze Choong")</f>
        <v>Low, Tze Choong</v>
      </c>
      <c r="B3149" t="s">
        <v>6416</v>
      </c>
      <c r="C3149" t="s">
        <v>28</v>
      </c>
      <c r="D3149" t="s">
        <v>6417</v>
      </c>
      <c r="E3149" t="s">
        <v>8</v>
      </c>
      <c r="F3149" t="s">
        <v>6418</v>
      </c>
      <c r="G3149" t="s">
        <v>6419</v>
      </c>
      <c r="H3149" t="s">
        <v>6420</v>
      </c>
      <c r="I3149" t="s">
        <v>6421</v>
      </c>
    </row>
    <row r="3150" spans="1:9" x14ac:dyDescent="0.25">
      <c r="A3150" s="1" t="str">
        <f>HYPERLINK("https://lynxcrm-apac--c.eu19.visual.force.com/0011i000001xoNMAAY","Low, Wen Yong Brenda")</f>
        <v>Low, Wen Yong Brenda</v>
      </c>
      <c r="B3150" t="s">
        <v>6422</v>
      </c>
      <c r="C3150" t="s">
        <v>28</v>
      </c>
      <c r="D3150" t="s">
        <v>6423</v>
      </c>
      <c r="E3150" t="s">
        <v>8</v>
      </c>
      <c r="F3150" t="s">
        <v>69</v>
      </c>
      <c r="G3150" t="s">
        <v>968</v>
      </c>
      <c r="H3150" t="s">
        <v>969</v>
      </c>
      <c r="I3150" t="s">
        <v>67</v>
      </c>
    </row>
    <row r="3151" spans="1:9" x14ac:dyDescent="0.25">
      <c r="A3151" s="1" t="str">
        <f>HYPERLINK("https://lynxcrm-apac--c.eu19.visual.force.com/0011i000001xo4IAAQ","Low, Wong Kein Christopher")</f>
        <v>Low, Wong Kein Christopher</v>
      </c>
      <c r="B3151" t="s">
        <v>6424</v>
      </c>
      <c r="C3151" t="s">
        <v>28</v>
      </c>
      <c r="D3151" t="s">
        <v>251</v>
      </c>
      <c r="E3151" t="s">
        <v>8</v>
      </c>
      <c r="F3151" t="s">
        <v>251</v>
      </c>
      <c r="G3151" t="s">
        <v>252</v>
      </c>
      <c r="H3151" t="s">
        <v>252</v>
      </c>
      <c r="I3151" t="s">
        <v>253</v>
      </c>
    </row>
    <row r="3152" spans="1:9" x14ac:dyDescent="0.25">
      <c r="A3152" s="1" t="str">
        <f>HYPERLINK("https://lynxcrm-apac--c.eu19.visual.force.com/0011i000001xo4IAAQ","Low, Wong Kein Christopher")</f>
        <v>Low, Wong Kein Christopher</v>
      </c>
      <c r="B3152" t="s">
        <v>6424</v>
      </c>
      <c r="C3152" t="s">
        <v>28</v>
      </c>
      <c r="D3152" t="s">
        <v>251</v>
      </c>
      <c r="E3152" t="s">
        <v>8</v>
      </c>
      <c r="F3152" t="s">
        <v>514</v>
      </c>
      <c r="G3152" t="s">
        <v>252</v>
      </c>
      <c r="H3152" t="s">
        <v>252</v>
      </c>
      <c r="I3152" t="s">
        <v>253</v>
      </c>
    </row>
    <row r="3153" spans="1:9" x14ac:dyDescent="0.25">
      <c r="A3153" s="1" t="str">
        <f>HYPERLINK("https://lynxcrm-apac--c.eu19.visual.force.com/0011i000001xnmgAAA","Low, Yee Shih")</f>
        <v>Low, Yee Shih</v>
      </c>
      <c r="B3153" t="s">
        <v>6425</v>
      </c>
      <c r="C3153" t="s">
        <v>28</v>
      </c>
      <c r="D3153" t="s">
        <v>6426</v>
      </c>
      <c r="E3153" t="s">
        <v>8</v>
      </c>
      <c r="F3153" t="s">
        <v>6427</v>
      </c>
      <c r="G3153" t="s">
        <v>6428</v>
      </c>
      <c r="H3153" t="s">
        <v>6429</v>
      </c>
      <c r="I3153" t="s">
        <v>2936</v>
      </c>
    </row>
    <row r="3154" spans="1:9" x14ac:dyDescent="0.25">
      <c r="A3154" s="1" t="str">
        <f>HYPERLINK("https://lynxcrm-apac--c.eu19.visual.force.com/0011i000001xoPfAAI","Low, Yin Mei")</f>
        <v>Low, Yin Mei</v>
      </c>
      <c r="B3154" t="s">
        <v>6430</v>
      </c>
      <c r="C3154" t="s">
        <v>28</v>
      </c>
      <c r="D3154" t="s">
        <v>251</v>
      </c>
      <c r="E3154" t="s">
        <v>8</v>
      </c>
      <c r="F3154" t="s">
        <v>251</v>
      </c>
      <c r="G3154" t="s">
        <v>252</v>
      </c>
      <c r="H3154" t="s">
        <v>252</v>
      </c>
      <c r="I3154" t="s">
        <v>253</v>
      </c>
    </row>
    <row r="3155" spans="1:9" x14ac:dyDescent="0.25">
      <c r="A3155" s="1" t="str">
        <f>HYPERLINK("https://lynxcrm-apac--c.eu19.visual.force.com/0011i000001xoPfAAI","Low, Yin Mei")</f>
        <v>Low, Yin Mei</v>
      </c>
      <c r="B3155" t="s">
        <v>6430</v>
      </c>
      <c r="C3155" t="s">
        <v>28</v>
      </c>
      <c r="D3155" t="s">
        <v>514</v>
      </c>
      <c r="E3155" t="s">
        <v>8</v>
      </c>
      <c r="F3155" t="s">
        <v>252</v>
      </c>
      <c r="G3155" t="s">
        <v>251</v>
      </c>
      <c r="H3155" t="s">
        <v>251</v>
      </c>
      <c r="I3155" t="s">
        <v>253</v>
      </c>
    </row>
    <row r="3156" spans="1:9" x14ac:dyDescent="0.25">
      <c r="A3156" s="1" t="str">
        <f>HYPERLINK("https://lynxcrm-apac--c.eu19.visual.force.com/0011i000001xo4KAAQ","Low, Yin Peng")</f>
        <v>Low, Yin Peng</v>
      </c>
      <c r="B3156" t="s">
        <v>6431</v>
      </c>
      <c r="C3156" t="s">
        <v>28</v>
      </c>
      <c r="D3156" t="s">
        <v>261</v>
      </c>
      <c r="E3156" t="s">
        <v>8</v>
      </c>
      <c r="F3156" t="s">
        <v>427</v>
      </c>
      <c r="G3156" t="s">
        <v>258</v>
      </c>
      <c r="H3156" t="s">
        <v>259</v>
      </c>
      <c r="I3156" t="s">
        <v>260</v>
      </c>
    </row>
    <row r="3157" spans="1:9" x14ac:dyDescent="0.25">
      <c r="A3157" s="1" t="str">
        <f>HYPERLINK("https://lynxcrm-apac--c.eu19.visual.force.com/0011i000001xncXAAQ","Low &amp; Lee Clinic &amp; Surgery")</f>
        <v>Low &amp; Lee Clinic &amp; Surgery</v>
      </c>
      <c r="B3157" t="s">
        <v>6432</v>
      </c>
      <c r="C3157" t="s">
        <v>10</v>
      </c>
      <c r="D3157" t="s">
        <v>8</v>
      </c>
      <c r="E3157" t="s">
        <v>8</v>
      </c>
      <c r="F3157" t="s">
        <v>6405</v>
      </c>
      <c r="G3157" t="s">
        <v>1034</v>
      </c>
      <c r="H3157" t="s">
        <v>1034</v>
      </c>
      <c r="I3157" t="s">
        <v>3148</v>
      </c>
    </row>
    <row r="3158" spans="1:9" x14ac:dyDescent="0.25">
      <c r="A3158" s="1" t="str">
        <f>HYPERLINK("https://lynxcrm-apac--c.eu19.visual.force.com/0011i000001xnckAAA","Low Cardiology Clinic")</f>
        <v>Low Cardiology Clinic</v>
      </c>
      <c r="B3158" t="s">
        <v>6433</v>
      </c>
      <c r="C3158" t="s">
        <v>10</v>
      </c>
      <c r="D3158" t="s">
        <v>8</v>
      </c>
      <c r="E3158" t="s">
        <v>8</v>
      </c>
      <c r="F3158" t="s">
        <v>373</v>
      </c>
      <c r="G3158" t="s">
        <v>6434</v>
      </c>
      <c r="H3158" t="s">
        <v>6435</v>
      </c>
      <c r="I3158" t="s">
        <v>123</v>
      </c>
    </row>
    <row r="3159" spans="1:9" x14ac:dyDescent="0.25">
      <c r="A3159" s="1" t="str">
        <f>HYPERLINK("https://lynxcrm-apac--c.eu19.visual.force.com/0011i000001xncjAAA","Low Medical Clinic")</f>
        <v>Low Medical Clinic</v>
      </c>
      <c r="B3159" t="s">
        <v>6436</v>
      </c>
      <c r="C3159" t="s">
        <v>10</v>
      </c>
      <c r="D3159" t="s">
        <v>8</v>
      </c>
      <c r="E3159" t="s">
        <v>8</v>
      </c>
      <c r="F3159" t="s">
        <v>6394</v>
      </c>
      <c r="G3159" t="s">
        <v>6395</v>
      </c>
      <c r="H3159" t="s">
        <v>6395</v>
      </c>
      <c r="I3159" t="s">
        <v>6396</v>
      </c>
    </row>
    <row r="3160" spans="1:9" x14ac:dyDescent="0.25">
      <c r="A3160" s="1" t="str">
        <f>HYPERLINK("https://lynxcrm-apac--c.eu19.visual.force.com/0011i000001xoLvAAI","Loy, Heng Chian Andrew")</f>
        <v>Loy, Heng Chian Andrew</v>
      </c>
      <c r="B3160" t="s">
        <v>6437</v>
      </c>
      <c r="C3160" t="s">
        <v>28</v>
      </c>
      <c r="D3160" t="s">
        <v>261</v>
      </c>
      <c r="E3160" t="s">
        <v>8</v>
      </c>
      <c r="F3160" t="s">
        <v>514</v>
      </c>
      <c r="G3160" t="s">
        <v>258</v>
      </c>
      <c r="H3160" t="s">
        <v>259</v>
      </c>
      <c r="I3160" t="s">
        <v>260</v>
      </c>
    </row>
    <row r="3161" spans="1:9" x14ac:dyDescent="0.25">
      <c r="A3161" s="1" t="str">
        <f>HYPERLINK("https://lynxcrm-apac--c.eu19.visual.force.com/0011i000001xoLvAAI","Loy, Heng Chian Andrew")</f>
        <v>Loy, Heng Chian Andrew</v>
      </c>
      <c r="B3161" t="s">
        <v>6437</v>
      </c>
      <c r="C3161" t="s">
        <v>28</v>
      </c>
      <c r="D3161" t="s">
        <v>261</v>
      </c>
      <c r="E3161" t="s">
        <v>8</v>
      </c>
      <c r="F3161" t="s">
        <v>261</v>
      </c>
      <c r="G3161" t="s">
        <v>347</v>
      </c>
      <c r="H3161" t="s">
        <v>347</v>
      </c>
      <c r="I3161" t="s">
        <v>260</v>
      </c>
    </row>
    <row r="3162" spans="1:9" x14ac:dyDescent="0.25">
      <c r="A3162" s="1" t="str">
        <f>HYPERLINK("https://lynxcrm-apac--c.eu19.visual.force.com/0011i000001xoV5AAI","Loy, Heng Juen Kevin")</f>
        <v>Loy, Heng Juen Kevin</v>
      </c>
      <c r="B3162" t="s">
        <v>6438</v>
      </c>
      <c r="C3162" t="s">
        <v>28</v>
      </c>
      <c r="D3162" t="s">
        <v>6439</v>
      </c>
      <c r="E3162" t="s">
        <v>8</v>
      </c>
      <c r="F3162" t="s">
        <v>2758</v>
      </c>
      <c r="G3162" t="s">
        <v>2759</v>
      </c>
      <c r="H3162" t="s">
        <v>2760</v>
      </c>
      <c r="I3162" t="s">
        <v>2761</v>
      </c>
    </row>
    <row r="3163" spans="1:9" x14ac:dyDescent="0.25">
      <c r="A3163" s="1" t="str">
        <f>HYPERLINK("https://lynxcrm-apac--c.eu19.visual.force.com/0011i000001xn1SAAQ","Loyang Medical Centre")</f>
        <v>Loyang Medical Centre</v>
      </c>
      <c r="B3163" t="s">
        <v>6440</v>
      </c>
      <c r="C3163" t="s">
        <v>10</v>
      </c>
      <c r="D3163" t="s">
        <v>8</v>
      </c>
      <c r="E3163" t="s">
        <v>8</v>
      </c>
      <c r="F3163" t="s">
        <v>6441</v>
      </c>
      <c r="G3163" t="s">
        <v>6442</v>
      </c>
      <c r="H3163" t="s">
        <v>6442</v>
      </c>
      <c r="I3163" t="s">
        <v>6443</v>
      </c>
    </row>
    <row r="3164" spans="1:9" x14ac:dyDescent="0.25">
      <c r="A3164" s="1" t="str">
        <f>HYPERLINK("https://lynxcrm-apac--c.eu19.visual.force.com/0011i000001xnXrAAI","Loyang Point Medical Clinic &amp; Surgery")</f>
        <v>Loyang Point Medical Clinic &amp; Surgery</v>
      </c>
      <c r="B3164" t="s">
        <v>6444</v>
      </c>
      <c r="C3164" t="s">
        <v>10</v>
      </c>
      <c r="D3164" t="s">
        <v>8</v>
      </c>
      <c r="E3164" t="s">
        <v>8</v>
      </c>
      <c r="F3164" t="s">
        <v>6445</v>
      </c>
      <c r="G3164" t="s">
        <v>6446</v>
      </c>
      <c r="H3164" t="s">
        <v>6447</v>
      </c>
      <c r="I3164" t="s">
        <v>6448</v>
      </c>
    </row>
    <row r="3165" spans="1:9" x14ac:dyDescent="0.25">
      <c r="A3165" s="1" t="str">
        <f>HYPERLINK("https://lynxcrm-apac--c.eu19.visual.force.com/0011i000001xnU9AAI","LP Clinic The Psychiatric Practice")</f>
        <v>LP Clinic The Psychiatric Practice</v>
      </c>
      <c r="B3165" t="s">
        <v>6449</v>
      </c>
      <c r="C3165" t="s">
        <v>10</v>
      </c>
      <c r="D3165" t="s">
        <v>8</v>
      </c>
      <c r="E3165" t="s">
        <v>8</v>
      </c>
      <c r="F3165" t="s">
        <v>377</v>
      </c>
      <c r="G3165" t="s">
        <v>6450</v>
      </c>
      <c r="H3165" t="s">
        <v>6450</v>
      </c>
      <c r="I3165" t="s">
        <v>123</v>
      </c>
    </row>
    <row r="3166" spans="1:9" x14ac:dyDescent="0.25">
      <c r="A3166" s="1" t="str">
        <f>HYPERLINK("https://lynxcrm-apac--c.eu19.visual.force.com/0011i000001xnU9AAI","LP Clinic The Psychiatric Practice")</f>
        <v>LP Clinic The Psychiatric Practice</v>
      </c>
      <c r="B3166" t="s">
        <v>6449</v>
      </c>
      <c r="C3166" t="s">
        <v>10</v>
      </c>
      <c r="D3166" t="s">
        <v>8</v>
      </c>
      <c r="E3166" t="s">
        <v>8</v>
      </c>
      <c r="F3166" t="s">
        <v>377</v>
      </c>
      <c r="G3166" t="s">
        <v>5858</v>
      </c>
      <c r="H3166" t="s">
        <v>5859</v>
      </c>
      <c r="I3166" t="s">
        <v>123</v>
      </c>
    </row>
    <row r="3167" spans="1:9" x14ac:dyDescent="0.25">
      <c r="A3167" s="1" t="str">
        <f>HYPERLINK("https://lynxcrm-apac--c.eu19.visual.force.com/0011i000001xmnWAAQ","LP Surgery")</f>
        <v>LP Surgery</v>
      </c>
      <c r="B3167" t="s">
        <v>6451</v>
      </c>
      <c r="C3167" t="s">
        <v>10</v>
      </c>
      <c r="D3167" t="s">
        <v>8</v>
      </c>
      <c r="E3167" t="s">
        <v>8</v>
      </c>
      <c r="F3167" t="s">
        <v>202</v>
      </c>
      <c r="G3167" t="s">
        <v>6452</v>
      </c>
      <c r="H3167" t="s">
        <v>6452</v>
      </c>
      <c r="I3167" t="s">
        <v>200</v>
      </c>
    </row>
    <row r="3168" spans="1:9" x14ac:dyDescent="0.25">
      <c r="A3168" s="1" t="str">
        <f>HYPERLINK("https://lynxcrm-apac--c.eu19.visual.force.com/0011i000001xnmhAAA","Lu, Kuo Fan Mark")</f>
        <v>Lu, Kuo Fan Mark</v>
      </c>
      <c r="B3168" t="s">
        <v>6453</v>
      </c>
      <c r="C3168" t="s">
        <v>28</v>
      </c>
      <c r="D3168" t="s">
        <v>6454</v>
      </c>
      <c r="E3168" t="s">
        <v>8</v>
      </c>
      <c r="F3168" t="s">
        <v>3352</v>
      </c>
      <c r="G3168" t="s">
        <v>706</v>
      </c>
      <c r="H3168" t="s">
        <v>3353</v>
      </c>
      <c r="I3168" t="s">
        <v>543</v>
      </c>
    </row>
    <row r="3169" spans="1:9" x14ac:dyDescent="0.25">
      <c r="A3169" s="1" t="str">
        <f>HYPERLINK("https://lynxcrm-apac--c.eu19.visual.force.com/0011i000001xnmiAAA","Lua, Cheong Tiong")</f>
        <v>Lua, Cheong Tiong</v>
      </c>
      <c r="B3169" t="s">
        <v>6455</v>
      </c>
      <c r="C3169" t="s">
        <v>28</v>
      </c>
      <c r="D3169" t="s">
        <v>6456</v>
      </c>
      <c r="E3169" t="s">
        <v>8</v>
      </c>
      <c r="F3169" t="s">
        <v>6457</v>
      </c>
      <c r="G3169" t="s">
        <v>6458</v>
      </c>
      <c r="H3169" t="s">
        <v>6459</v>
      </c>
      <c r="I3169" t="s">
        <v>6460</v>
      </c>
    </row>
    <row r="3170" spans="1:9" x14ac:dyDescent="0.25">
      <c r="A3170" s="1" t="str">
        <f>HYPERLINK("https://lynxcrm-apac--c.eu19.visual.force.com/0011i000001xoo8AAA","Lua, Jennifer")</f>
        <v>Lua, Jennifer</v>
      </c>
      <c r="B3170" t="s">
        <v>6461</v>
      </c>
      <c r="C3170" t="s">
        <v>28</v>
      </c>
      <c r="D3170" t="s">
        <v>1333</v>
      </c>
      <c r="E3170" t="s">
        <v>8</v>
      </c>
      <c r="F3170" t="s">
        <v>4015</v>
      </c>
      <c r="G3170" t="s">
        <v>1637</v>
      </c>
      <c r="H3170" t="s">
        <v>1637</v>
      </c>
      <c r="I3170" t="s">
        <v>4016</v>
      </c>
    </row>
    <row r="3171" spans="1:9" x14ac:dyDescent="0.25">
      <c r="A3171" s="1" t="str">
        <f>HYPERLINK("https://lynxcrm-apac--c.eu19.visual.force.com/0011i000001xoqEAAQ","Lua, Wen Sheng")</f>
        <v>Lua, Wen Sheng</v>
      </c>
      <c r="B3171" t="s">
        <v>6462</v>
      </c>
      <c r="C3171" t="s">
        <v>28</v>
      </c>
      <c r="D3171" t="s">
        <v>1333</v>
      </c>
      <c r="E3171" t="s">
        <v>8</v>
      </c>
      <c r="F3171" t="s">
        <v>4022</v>
      </c>
      <c r="G3171" t="s">
        <v>4023</v>
      </c>
      <c r="H3171" t="s">
        <v>4023</v>
      </c>
      <c r="I3171" t="s">
        <v>1649</v>
      </c>
    </row>
    <row r="3172" spans="1:9" x14ac:dyDescent="0.25">
      <c r="A3172" s="1" t="str">
        <f>HYPERLINK("https://lynxcrm-apac--c.eu19.visual.force.com/0011i000001xncnAAA","Lua Clinic &amp; Surgery")</f>
        <v>Lua Clinic &amp; Surgery</v>
      </c>
      <c r="B3172" t="s">
        <v>6463</v>
      </c>
      <c r="C3172" t="s">
        <v>10</v>
      </c>
      <c r="D3172" t="s">
        <v>8</v>
      </c>
      <c r="E3172" t="s">
        <v>8</v>
      </c>
      <c r="F3172" t="s">
        <v>6457</v>
      </c>
      <c r="G3172" t="s">
        <v>6458</v>
      </c>
      <c r="H3172" t="s">
        <v>6459</v>
      </c>
      <c r="I3172" t="s">
        <v>6460</v>
      </c>
    </row>
    <row r="3173" spans="1:9" x14ac:dyDescent="0.25">
      <c r="A3173" s="1" t="str">
        <f>HYPERLINK("https://lynxcrm-apac--c.eu19.visual.force.com/0011i00000Xf1HZAAZ","Lui, Pak Ling")</f>
        <v>Lui, Pak Ling</v>
      </c>
      <c r="B3173" t="s">
        <v>6464</v>
      </c>
      <c r="C3173" t="s">
        <v>28</v>
      </c>
      <c r="D3173" t="s">
        <v>429</v>
      </c>
      <c r="E3173" t="s">
        <v>8</v>
      </c>
      <c r="F3173" t="s">
        <v>594</v>
      </c>
      <c r="G3173" t="s">
        <v>595</v>
      </c>
      <c r="H3173" t="s">
        <v>8</v>
      </c>
      <c r="I3173" t="s">
        <v>596</v>
      </c>
    </row>
    <row r="3174" spans="1:9" x14ac:dyDescent="0.25">
      <c r="A3174" s="1" t="str">
        <f>HYPERLINK("https://lynxcrm-apac--c.eu19.visual.force.com/0011i000001xnmjAAA","Lui, Pao Shun")</f>
        <v>Lui, Pao Shun</v>
      </c>
      <c r="B3174" t="s">
        <v>6465</v>
      </c>
      <c r="C3174" t="s">
        <v>28</v>
      </c>
      <c r="D3174" t="s">
        <v>6466</v>
      </c>
      <c r="E3174" t="s">
        <v>8</v>
      </c>
      <c r="F3174" t="s">
        <v>215</v>
      </c>
      <c r="G3174" t="s">
        <v>6467</v>
      </c>
      <c r="H3174" t="s">
        <v>6468</v>
      </c>
      <c r="I3174" t="s">
        <v>216</v>
      </c>
    </row>
    <row r="3175" spans="1:9" x14ac:dyDescent="0.25">
      <c r="A3175" s="1" t="str">
        <f>HYPERLINK("https://lynxcrm-apac--c.eu19.visual.force.com/0011i000001xoqLAAQ","Lui, Weng Sun")</f>
        <v>Lui, Weng Sun</v>
      </c>
      <c r="B3175" t="s">
        <v>6469</v>
      </c>
      <c r="C3175" t="s">
        <v>28</v>
      </c>
      <c r="D3175" t="s">
        <v>6470</v>
      </c>
      <c r="E3175" t="s">
        <v>8</v>
      </c>
      <c r="F3175" t="s">
        <v>2550</v>
      </c>
      <c r="G3175" t="s">
        <v>1442</v>
      </c>
      <c r="H3175" t="s">
        <v>1442</v>
      </c>
      <c r="I3175" t="s">
        <v>2551</v>
      </c>
    </row>
    <row r="3176" spans="1:9" x14ac:dyDescent="0.25">
      <c r="A3176" s="1" t="str">
        <f>HYPERLINK("https://lynxcrm-apac--c.eu19.visual.force.com/0011i000001xodfAAA","Lui, Woei Sen")</f>
        <v>Lui, Woei Sen</v>
      </c>
      <c r="B3176" t="s">
        <v>6471</v>
      </c>
      <c r="C3176" t="s">
        <v>28</v>
      </c>
      <c r="D3176" t="s">
        <v>6472</v>
      </c>
      <c r="E3176" t="s">
        <v>8</v>
      </c>
      <c r="F3176" t="s">
        <v>6473</v>
      </c>
      <c r="G3176" t="s">
        <v>6474</v>
      </c>
      <c r="H3176" t="s">
        <v>6475</v>
      </c>
      <c r="I3176" t="s">
        <v>6476</v>
      </c>
    </row>
    <row r="3177" spans="1:9" x14ac:dyDescent="0.25">
      <c r="A3177" s="1" t="str">
        <f>HYPERLINK("https://lynxcrm-apac--c.eu19.visual.force.com/0011i000001xnmkAAA","Lui, Woon Teng Betty")</f>
        <v>Lui, Woon Teng Betty</v>
      </c>
      <c r="B3177" t="s">
        <v>6477</v>
      </c>
      <c r="C3177" t="s">
        <v>28</v>
      </c>
      <c r="D3177" t="s">
        <v>6478</v>
      </c>
      <c r="E3177" t="s">
        <v>8</v>
      </c>
      <c r="F3177" t="s">
        <v>1371</v>
      </c>
      <c r="G3177" t="s">
        <v>1372</v>
      </c>
      <c r="H3177" t="s">
        <v>1372</v>
      </c>
      <c r="I3177" t="s">
        <v>1373</v>
      </c>
    </row>
    <row r="3178" spans="1:9" x14ac:dyDescent="0.25">
      <c r="A3178" s="1" t="str">
        <f>HYPERLINK("https://lynxcrm-apac--c.eu19.visual.force.com/0011i000001xoKMAAY","Lui, Yit Shiang")</f>
        <v>Lui, Yit Shiang</v>
      </c>
      <c r="B3178" t="s">
        <v>6479</v>
      </c>
      <c r="C3178" t="s">
        <v>28</v>
      </c>
      <c r="D3178" t="s">
        <v>429</v>
      </c>
      <c r="E3178" t="s">
        <v>8</v>
      </c>
      <c r="F3178" t="s">
        <v>429</v>
      </c>
      <c r="G3178" t="s">
        <v>428</v>
      </c>
      <c r="H3178" t="s">
        <v>428</v>
      </c>
      <c r="I3178" t="s">
        <v>430</v>
      </c>
    </row>
    <row r="3179" spans="1:9" x14ac:dyDescent="0.25">
      <c r="A3179" s="1" t="str">
        <f>HYPERLINK("https://lynxcrm-apac--c.eu19.visual.force.com/0011i000001xoKMAAY","Lui, Yit Shiang")</f>
        <v>Lui, Yit Shiang</v>
      </c>
      <c r="B3179" t="s">
        <v>6479</v>
      </c>
      <c r="C3179" t="s">
        <v>28</v>
      </c>
      <c r="D3179" t="s">
        <v>429</v>
      </c>
      <c r="E3179" t="s">
        <v>8</v>
      </c>
      <c r="F3179" t="s">
        <v>444</v>
      </c>
      <c r="G3179" t="s">
        <v>444</v>
      </c>
      <c r="H3179" t="s">
        <v>8</v>
      </c>
      <c r="I3179" t="s">
        <v>430</v>
      </c>
    </row>
    <row r="3180" spans="1:9" x14ac:dyDescent="0.25">
      <c r="A3180" s="1" t="str">
        <f>HYPERLINK("https://lynxcrm-apac--c.eu19.visual.force.com/0011i000001xoKMAAY","Lui, Yit Shiang")</f>
        <v>Lui, Yit Shiang</v>
      </c>
      <c r="B3180" t="s">
        <v>6479</v>
      </c>
      <c r="C3180" t="s">
        <v>28</v>
      </c>
      <c r="D3180" t="s">
        <v>429</v>
      </c>
      <c r="E3180" t="s">
        <v>8</v>
      </c>
      <c r="F3180" t="s">
        <v>445</v>
      </c>
      <c r="G3180" t="s">
        <v>428</v>
      </c>
      <c r="H3180" t="s">
        <v>428</v>
      </c>
      <c r="I3180" t="s">
        <v>430</v>
      </c>
    </row>
    <row r="3181" spans="1:9" x14ac:dyDescent="0.25">
      <c r="A3181" s="1" t="str">
        <f>HYPERLINK("https://lynxcrm-apac--c.eu19.visual.force.com/0011i000001xoKMAAY","Lui, Yit Shiang")</f>
        <v>Lui, Yit Shiang</v>
      </c>
      <c r="B3181" t="s">
        <v>6479</v>
      </c>
      <c r="C3181" t="s">
        <v>28</v>
      </c>
      <c r="D3181" t="s">
        <v>429</v>
      </c>
      <c r="E3181" t="s">
        <v>8</v>
      </c>
      <c r="F3181" t="s">
        <v>444</v>
      </c>
      <c r="G3181" t="s">
        <v>444</v>
      </c>
      <c r="H3181" t="s">
        <v>8</v>
      </c>
      <c r="I3181" t="s">
        <v>8</v>
      </c>
    </row>
    <row r="3182" spans="1:9" x14ac:dyDescent="0.25">
      <c r="A3182" s="1" t="str">
        <f>HYPERLINK("https://lynxcrm-apac--c.eu19.visual.force.com/0011i000001xnmnAAA","Lum, Chun Fatt")</f>
        <v>Lum, Chun Fatt</v>
      </c>
      <c r="B3182" t="s">
        <v>6480</v>
      </c>
      <c r="C3182" t="s">
        <v>28</v>
      </c>
      <c r="D3182" t="s">
        <v>6481</v>
      </c>
      <c r="E3182" t="s">
        <v>8</v>
      </c>
      <c r="F3182" t="s">
        <v>1768</v>
      </c>
      <c r="G3182" t="s">
        <v>4513</v>
      </c>
      <c r="H3182" t="s">
        <v>4514</v>
      </c>
      <c r="I3182" t="s">
        <v>47</v>
      </c>
    </row>
    <row r="3183" spans="1:9" x14ac:dyDescent="0.25">
      <c r="A3183" s="1" t="str">
        <f>HYPERLINK("https://lynxcrm-apac--c.eu19.visual.force.com/0011i000001xnmpAAA","Lum, Khai Wah")</f>
        <v>Lum, Khai Wah</v>
      </c>
      <c r="B3183" t="s">
        <v>6482</v>
      </c>
      <c r="C3183" t="s">
        <v>28</v>
      </c>
      <c r="D3183" t="s">
        <v>6483</v>
      </c>
      <c r="E3183" t="s">
        <v>8</v>
      </c>
      <c r="F3183" t="s">
        <v>6484</v>
      </c>
      <c r="G3183" t="s">
        <v>5538</v>
      </c>
      <c r="H3183" t="s">
        <v>6485</v>
      </c>
      <c r="I3183" t="s">
        <v>1654</v>
      </c>
    </row>
    <row r="3184" spans="1:9" x14ac:dyDescent="0.25">
      <c r="A3184" s="1" t="str">
        <f>HYPERLINK("https://lynxcrm-apac--c.eu19.visual.force.com/0011i000001xmwRAAQ","Lum Clinic &amp; Surgery")</f>
        <v>Lum Clinic &amp; Surgery</v>
      </c>
      <c r="B3184" t="s">
        <v>6486</v>
      </c>
      <c r="C3184" t="s">
        <v>10</v>
      </c>
      <c r="D3184" t="s">
        <v>8</v>
      </c>
      <c r="E3184" t="s">
        <v>8</v>
      </c>
      <c r="F3184" t="s">
        <v>6484</v>
      </c>
      <c r="G3184" t="s">
        <v>5538</v>
      </c>
      <c r="H3184" t="s">
        <v>6485</v>
      </c>
      <c r="I3184" t="s">
        <v>1654</v>
      </c>
    </row>
    <row r="3185" spans="1:9" x14ac:dyDescent="0.25">
      <c r="A3185" s="1" t="str">
        <f>HYPERLINK("https://lynxcrm-apac--c.eu19.visual.force.com/0011i000001xoZxAAI","Lwin, Sann")</f>
        <v>Lwin, Sann</v>
      </c>
      <c r="B3185" t="s">
        <v>6487</v>
      </c>
      <c r="C3185" t="s">
        <v>28</v>
      </c>
      <c r="D3185" t="s">
        <v>6488</v>
      </c>
      <c r="E3185" t="s">
        <v>8</v>
      </c>
      <c r="F3185" t="s">
        <v>609</v>
      </c>
      <c r="G3185" t="s">
        <v>1307</v>
      </c>
      <c r="H3185" t="s">
        <v>1307</v>
      </c>
      <c r="I3185" t="s">
        <v>610</v>
      </c>
    </row>
    <row r="3186" spans="1:9" x14ac:dyDescent="0.25">
      <c r="A3186" s="1" t="str">
        <f>HYPERLINK("https://lynxcrm-apac--c.eu19.visual.force.com/0011i000001xo2zAAA","Lye, Tin Fong")</f>
        <v>Lye, Tin Fong</v>
      </c>
      <c r="B3186" t="s">
        <v>6489</v>
      </c>
      <c r="C3186" t="s">
        <v>28</v>
      </c>
      <c r="D3186" t="s">
        <v>6490</v>
      </c>
      <c r="E3186" t="s">
        <v>8</v>
      </c>
      <c r="F3186" t="s">
        <v>1156</v>
      </c>
      <c r="G3186" t="s">
        <v>3119</v>
      </c>
      <c r="H3186" t="s">
        <v>3119</v>
      </c>
      <c r="I3186" t="s">
        <v>1158</v>
      </c>
    </row>
    <row r="3187" spans="1:9" x14ac:dyDescent="0.25">
      <c r="A3187" s="1" t="str">
        <f>HYPERLINK("https://lynxcrm-apac--c.eu19.visual.force.com/0011i000001xodBAAQ","Lye, Tong Fong")</f>
        <v>Lye, Tong Fong</v>
      </c>
      <c r="B3187" t="s">
        <v>6491</v>
      </c>
      <c r="C3187" t="s">
        <v>28</v>
      </c>
      <c r="D3187" t="s">
        <v>6492</v>
      </c>
      <c r="E3187" t="s">
        <v>8</v>
      </c>
      <c r="F3187" t="s">
        <v>6493</v>
      </c>
      <c r="G3187" t="s">
        <v>6494</v>
      </c>
      <c r="H3187" t="s">
        <v>6495</v>
      </c>
      <c r="I3187" t="s">
        <v>6496</v>
      </c>
    </row>
    <row r="3188" spans="1:9" x14ac:dyDescent="0.25">
      <c r="A3188" s="1" t="str">
        <f>HYPERLINK("https://lynxcrm-apac--c.eu19.visual.force.com/0011i000001xnmrAAA","Lye, Wai Choong")</f>
        <v>Lye, Wai Choong</v>
      </c>
      <c r="B3188" t="s">
        <v>6497</v>
      </c>
      <c r="C3188" t="s">
        <v>28</v>
      </c>
      <c r="D3188" t="s">
        <v>6498</v>
      </c>
      <c r="E3188" t="s">
        <v>8</v>
      </c>
      <c r="F3188" t="s">
        <v>1094</v>
      </c>
      <c r="G3188" t="s">
        <v>1095</v>
      </c>
      <c r="H3188" t="s">
        <v>1097</v>
      </c>
      <c r="I3188" t="s">
        <v>677</v>
      </c>
    </row>
    <row r="3189" spans="1:9" x14ac:dyDescent="0.25">
      <c r="A3189" s="1" t="str">
        <f>HYPERLINK("https://lynxcrm-apac--c.eu19.visual.force.com/0011i00000w07YmAAI","Ma, Yueyun")</f>
        <v>Ma, Yueyun</v>
      </c>
      <c r="B3189" t="s">
        <v>6499</v>
      </c>
      <c r="C3189" t="s">
        <v>28</v>
      </c>
      <c r="D3189" t="s">
        <v>8</v>
      </c>
      <c r="E3189" t="s">
        <v>8</v>
      </c>
      <c r="F3189" t="s">
        <v>710</v>
      </c>
      <c r="G3189" t="s">
        <v>710</v>
      </c>
      <c r="H3189" t="s">
        <v>1474</v>
      </c>
      <c r="I3189" t="s">
        <v>711</v>
      </c>
    </row>
    <row r="3190" spans="1:9" x14ac:dyDescent="0.25">
      <c r="A3190" s="1" t="str">
        <f>HYPERLINK("https://lynxcrm-apac--c.eu19.visual.force.com/0011i00000NqfZcAAJ","MacDonald, Micheal Ross")</f>
        <v>MacDonald, Micheal Ross</v>
      </c>
      <c r="B3190" t="s">
        <v>6500</v>
      </c>
      <c r="C3190" t="s">
        <v>28</v>
      </c>
      <c r="D3190" t="s">
        <v>6501</v>
      </c>
      <c r="E3190" t="s">
        <v>8</v>
      </c>
      <c r="F3190" t="s">
        <v>6502</v>
      </c>
      <c r="G3190" t="s">
        <v>6503</v>
      </c>
      <c r="H3190" t="s">
        <v>8</v>
      </c>
      <c r="I3190" t="s">
        <v>123</v>
      </c>
    </row>
    <row r="3191" spans="1:9" x14ac:dyDescent="0.25">
      <c r="A3191" s="1" t="str">
        <f>HYPERLINK("https://lynxcrm-apac--c.eu19.visual.force.com/0011i000001xo4PAAQ","Mack, On Pui Peter")</f>
        <v>Mack, On Pui Peter</v>
      </c>
      <c r="B3191" t="s">
        <v>6504</v>
      </c>
      <c r="C3191" t="s">
        <v>28</v>
      </c>
      <c r="D3191" t="s">
        <v>251</v>
      </c>
      <c r="E3191" t="s">
        <v>8</v>
      </c>
      <c r="F3191" t="s">
        <v>251</v>
      </c>
      <c r="G3191" t="s">
        <v>252</v>
      </c>
      <c r="H3191" t="s">
        <v>252</v>
      </c>
      <c r="I3191" t="s">
        <v>253</v>
      </c>
    </row>
    <row r="3192" spans="1:9" x14ac:dyDescent="0.25">
      <c r="A3192" s="1" t="str">
        <f>HYPERLINK("https://lynxcrm-apac--c.eu19.visual.force.com/0011i000001xo4PAAQ","Mack, On Pui Peter")</f>
        <v>Mack, On Pui Peter</v>
      </c>
      <c r="B3192" t="s">
        <v>6504</v>
      </c>
      <c r="C3192" t="s">
        <v>28</v>
      </c>
      <c r="D3192" t="s">
        <v>1242</v>
      </c>
      <c r="E3192" t="s">
        <v>8</v>
      </c>
      <c r="F3192" t="s">
        <v>252</v>
      </c>
      <c r="G3192" t="s">
        <v>251</v>
      </c>
      <c r="H3192" t="s">
        <v>251</v>
      </c>
      <c r="I3192" t="s">
        <v>253</v>
      </c>
    </row>
    <row r="3193" spans="1:9" x14ac:dyDescent="0.25">
      <c r="A3193" s="1" t="str">
        <f>HYPERLINK("https://lynxcrm-apac--c.eu19.visual.force.com/0011i000001xndXAAQ","Macpherson Medical Clinic")</f>
        <v>Macpherson Medical Clinic</v>
      </c>
      <c r="B3193" t="s">
        <v>6505</v>
      </c>
      <c r="C3193" t="s">
        <v>10</v>
      </c>
      <c r="D3193" t="s">
        <v>8</v>
      </c>
      <c r="E3193" t="s">
        <v>8</v>
      </c>
      <c r="F3193" t="s">
        <v>6506</v>
      </c>
      <c r="G3193" t="s">
        <v>6507</v>
      </c>
      <c r="H3193" t="s">
        <v>6507</v>
      </c>
      <c r="I3193" t="s">
        <v>6508</v>
      </c>
    </row>
    <row r="3194" spans="1:9" x14ac:dyDescent="0.25">
      <c r="A3194" s="1" t="str">
        <f>HYPERLINK("https://lynxcrm-apac--c.eu19.visual.force.com/0011i000001xoJUAAY","Madhukumar, Preetha")</f>
        <v>Madhukumar, Preetha</v>
      </c>
      <c r="B3194" t="s">
        <v>6509</v>
      </c>
      <c r="C3194" t="s">
        <v>28</v>
      </c>
      <c r="D3194" t="s">
        <v>251</v>
      </c>
      <c r="E3194" t="s">
        <v>8</v>
      </c>
      <c r="F3194" t="s">
        <v>251</v>
      </c>
      <c r="G3194" t="s">
        <v>252</v>
      </c>
      <c r="H3194" t="s">
        <v>252</v>
      </c>
      <c r="I3194" t="s">
        <v>253</v>
      </c>
    </row>
    <row r="3195" spans="1:9" x14ac:dyDescent="0.25">
      <c r="A3195" s="1" t="str">
        <f>HYPERLINK("https://lynxcrm-apac--c.eu19.visual.force.com/0011i000001xoJUAAY","Madhukumar, Preetha")</f>
        <v>Madhukumar, Preetha</v>
      </c>
      <c r="B3195" t="s">
        <v>6509</v>
      </c>
      <c r="C3195" t="s">
        <v>28</v>
      </c>
      <c r="D3195" t="s">
        <v>1242</v>
      </c>
      <c r="E3195" t="s">
        <v>8</v>
      </c>
      <c r="F3195" t="s">
        <v>252</v>
      </c>
      <c r="G3195" t="s">
        <v>251</v>
      </c>
      <c r="H3195" t="s">
        <v>251</v>
      </c>
      <c r="I3195" t="s">
        <v>253</v>
      </c>
    </row>
    <row r="3196" spans="1:9" x14ac:dyDescent="0.25">
      <c r="A3196" s="1" t="str">
        <f>HYPERLINK("https://lynxcrm-apac--c.eu19.visual.force.com/0011i000001xnmsAAA","Mah, Li T'ing Adelina")</f>
        <v>Mah, Li T'ing Adelina</v>
      </c>
      <c r="B3196" t="s">
        <v>6510</v>
      </c>
      <c r="C3196" t="s">
        <v>28</v>
      </c>
      <c r="D3196" t="s">
        <v>6511</v>
      </c>
      <c r="E3196" t="s">
        <v>8</v>
      </c>
      <c r="F3196" t="s">
        <v>6512</v>
      </c>
      <c r="G3196" t="s">
        <v>749</v>
      </c>
      <c r="H3196" t="s">
        <v>749</v>
      </c>
      <c r="I3196" t="s">
        <v>6513</v>
      </c>
    </row>
    <row r="3197" spans="1:9" x14ac:dyDescent="0.25">
      <c r="A3197" s="1" t="str">
        <f>HYPERLINK("https://lynxcrm-apac--c.eu19.visual.force.com/0011i000001xnmvAAA","Mah, Tuck Cheong")</f>
        <v>Mah, Tuck Cheong</v>
      </c>
      <c r="B3197" t="s">
        <v>6514</v>
      </c>
      <c r="C3197" t="s">
        <v>28</v>
      </c>
      <c r="D3197" t="s">
        <v>516</v>
      </c>
      <c r="E3197" t="s">
        <v>8</v>
      </c>
      <c r="F3197" t="s">
        <v>517</v>
      </c>
      <c r="G3197" t="s">
        <v>517</v>
      </c>
      <c r="H3197" t="s">
        <v>8</v>
      </c>
      <c r="I3197" t="s">
        <v>518</v>
      </c>
    </row>
    <row r="3198" spans="1:9" x14ac:dyDescent="0.25">
      <c r="A3198" s="1" t="str">
        <f t="shared" ref="A3198:A3203" si="26">HYPERLINK("https://lynxcrm-apac--c.eu19.visual.force.com/0011i00000nIBI4AAO","Mahendran, Dinesh")</f>
        <v>Mahendran, Dinesh</v>
      </c>
      <c r="B3198" t="s">
        <v>6515</v>
      </c>
      <c r="C3198" t="s">
        <v>28</v>
      </c>
      <c r="D3198" t="s">
        <v>501</v>
      </c>
      <c r="E3198" t="s">
        <v>8</v>
      </c>
      <c r="F3198" t="s">
        <v>502</v>
      </c>
      <c r="G3198" t="s">
        <v>502</v>
      </c>
      <c r="H3198" t="s">
        <v>503</v>
      </c>
      <c r="I3198" t="s">
        <v>504</v>
      </c>
    </row>
    <row r="3199" spans="1:9" x14ac:dyDescent="0.25">
      <c r="A3199" s="1" t="str">
        <f t="shared" si="26"/>
        <v>Mahendran, Dinesh</v>
      </c>
      <c r="B3199" t="s">
        <v>6515</v>
      </c>
      <c r="C3199" t="s">
        <v>28</v>
      </c>
      <c r="D3199" t="s">
        <v>501</v>
      </c>
      <c r="E3199" t="s">
        <v>8</v>
      </c>
      <c r="F3199" t="s">
        <v>246</v>
      </c>
      <c r="G3199" t="s">
        <v>502</v>
      </c>
      <c r="H3199" t="s">
        <v>503</v>
      </c>
      <c r="I3199" t="s">
        <v>504</v>
      </c>
    </row>
    <row r="3200" spans="1:9" x14ac:dyDescent="0.25">
      <c r="A3200" s="1" t="str">
        <f t="shared" si="26"/>
        <v>Mahendran, Dinesh</v>
      </c>
      <c r="B3200" t="s">
        <v>6515</v>
      </c>
      <c r="C3200" t="s">
        <v>28</v>
      </c>
      <c r="D3200" t="s">
        <v>501</v>
      </c>
      <c r="E3200" t="s">
        <v>8</v>
      </c>
      <c r="F3200" t="s">
        <v>246</v>
      </c>
      <c r="G3200" t="s">
        <v>502</v>
      </c>
      <c r="H3200" t="s">
        <v>503</v>
      </c>
      <c r="I3200" t="s">
        <v>505</v>
      </c>
    </row>
    <row r="3201" spans="1:9" x14ac:dyDescent="0.25">
      <c r="A3201" s="1" t="str">
        <f t="shared" si="26"/>
        <v>Mahendran, Dinesh</v>
      </c>
      <c r="B3201" t="s">
        <v>6515</v>
      </c>
      <c r="C3201" t="s">
        <v>28</v>
      </c>
      <c r="D3201" t="s">
        <v>501</v>
      </c>
      <c r="E3201" t="s">
        <v>8</v>
      </c>
      <c r="F3201" t="s">
        <v>501</v>
      </c>
      <c r="G3201" t="s">
        <v>502</v>
      </c>
      <c r="H3201" t="s">
        <v>502</v>
      </c>
      <c r="I3201" t="s">
        <v>506</v>
      </c>
    </row>
    <row r="3202" spans="1:9" x14ac:dyDescent="0.25">
      <c r="A3202" s="1" t="str">
        <f t="shared" si="26"/>
        <v>Mahendran, Dinesh</v>
      </c>
      <c r="B3202" t="s">
        <v>6515</v>
      </c>
      <c r="C3202" t="s">
        <v>28</v>
      </c>
      <c r="D3202" t="s">
        <v>501</v>
      </c>
      <c r="E3202" t="s">
        <v>8</v>
      </c>
      <c r="F3202" t="s">
        <v>234</v>
      </c>
      <c r="G3202" t="s">
        <v>502</v>
      </c>
      <c r="H3202" t="s">
        <v>503</v>
      </c>
      <c r="I3202" t="s">
        <v>504</v>
      </c>
    </row>
    <row r="3203" spans="1:9" x14ac:dyDescent="0.25">
      <c r="A3203" s="1" t="str">
        <f t="shared" si="26"/>
        <v>Mahendran, Dinesh</v>
      </c>
      <c r="B3203" t="s">
        <v>6515</v>
      </c>
      <c r="C3203" t="s">
        <v>28</v>
      </c>
      <c r="D3203" t="s">
        <v>501</v>
      </c>
      <c r="E3203" t="s">
        <v>8</v>
      </c>
      <c r="F3203" t="s">
        <v>359</v>
      </c>
      <c r="G3203" t="s">
        <v>502</v>
      </c>
      <c r="H3203" t="s">
        <v>503</v>
      </c>
      <c r="I3203" t="s">
        <v>506</v>
      </c>
    </row>
    <row r="3204" spans="1:9" x14ac:dyDescent="0.25">
      <c r="A3204" s="1" t="str">
        <f>HYPERLINK("https://lynxcrm-apac--c.eu19.visual.force.com/0011i000001xo4QAAQ","Mahendran, Rathi")</f>
        <v>Mahendran, Rathi</v>
      </c>
      <c r="B3204" t="s">
        <v>6516</v>
      </c>
      <c r="C3204" t="s">
        <v>28</v>
      </c>
      <c r="D3204" t="s">
        <v>429</v>
      </c>
      <c r="E3204" t="s">
        <v>8</v>
      </c>
      <c r="F3204" t="s">
        <v>1887</v>
      </c>
      <c r="G3204" t="s">
        <v>444</v>
      </c>
      <c r="H3204" t="s">
        <v>444</v>
      </c>
      <c r="I3204" t="s">
        <v>430</v>
      </c>
    </row>
    <row r="3205" spans="1:9" x14ac:dyDescent="0.25">
      <c r="A3205" s="1" t="str">
        <f>HYPERLINK("https://lynxcrm-apac--c.eu19.visual.force.com/0011i000001xo4RAAQ","Mak, Koon Hou")</f>
        <v>Mak, Koon Hou</v>
      </c>
      <c r="B3205" t="s">
        <v>6517</v>
      </c>
      <c r="C3205" t="s">
        <v>28</v>
      </c>
      <c r="D3205" t="s">
        <v>6518</v>
      </c>
      <c r="E3205" t="s">
        <v>8</v>
      </c>
      <c r="F3205" t="s">
        <v>69</v>
      </c>
      <c r="G3205" t="s">
        <v>1314</v>
      </c>
      <c r="H3205" t="s">
        <v>4804</v>
      </c>
      <c r="I3205" t="s">
        <v>67</v>
      </c>
    </row>
    <row r="3206" spans="1:9" x14ac:dyDescent="0.25">
      <c r="A3206" s="1" t="str">
        <f>HYPERLINK("https://lynxcrm-apac--c.eu19.visual.force.com/0011i000001xmbnAAA","Make-Well Family Clinic &amp; Surgery")</f>
        <v>Make-Well Family Clinic &amp; Surgery</v>
      </c>
      <c r="B3206" t="s">
        <v>6519</v>
      </c>
      <c r="C3206" t="s">
        <v>10</v>
      </c>
      <c r="D3206" t="s">
        <v>8</v>
      </c>
      <c r="E3206" t="s">
        <v>8</v>
      </c>
      <c r="F3206" t="s">
        <v>4578</v>
      </c>
      <c r="G3206" t="s">
        <v>2436</v>
      </c>
      <c r="H3206" t="s">
        <v>6520</v>
      </c>
      <c r="I3206" t="s">
        <v>4580</v>
      </c>
    </row>
    <row r="3207" spans="1:9" x14ac:dyDescent="0.25">
      <c r="A3207" s="1" t="str">
        <f>HYPERLINK("https://lynxcrm-apac--c.eu19.visual.force.com/0011i000001xnl8AAA","Malaldi")</f>
        <v>Malaldi</v>
      </c>
      <c r="B3207" t="s">
        <v>6521</v>
      </c>
      <c r="C3207" t="s">
        <v>28</v>
      </c>
      <c r="D3207" t="s">
        <v>815</v>
      </c>
      <c r="E3207" t="s">
        <v>8</v>
      </c>
      <c r="F3207" t="s">
        <v>816</v>
      </c>
      <c r="G3207" t="s">
        <v>815</v>
      </c>
      <c r="H3207" t="s">
        <v>815</v>
      </c>
      <c r="I3207" t="s">
        <v>817</v>
      </c>
    </row>
    <row r="3208" spans="1:9" x14ac:dyDescent="0.25">
      <c r="A3208" s="1" t="str">
        <f>HYPERLINK("https://lynxcrm-apac--c.eu19.visual.force.com/0011i000001xoqtAAA","Malini, Krishnan")</f>
        <v>Malini, Krishnan</v>
      </c>
      <c r="B3208" t="s">
        <v>6522</v>
      </c>
      <c r="C3208" t="s">
        <v>28</v>
      </c>
      <c r="D3208" t="s">
        <v>58</v>
      </c>
      <c r="E3208" t="s">
        <v>8</v>
      </c>
      <c r="F3208" t="s">
        <v>57</v>
      </c>
      <c r="G3208" t="s">
        <v>57</v>
      </c>
      <c r="H3208" t="s">
        <v>1275</v>
      </c>
      <c r="I3208" t="s">
        <v>59</v>
      </c>
    </row>
    <row r="3209" spans="1:9" x14ac:dyDescent="0.25">
      <c r="A3209" s="1" t="str">
        <f>HYPERLINK("https://lynxcrm-apac--c.eu19.visual.force.com/0011i000001xnIGAAY","Mandarin Medical &amp; Dental Centre")</f>
        <v>Mandarin Medical &amp; Dental Centre</v>
      </c>
      <c r="B3209" t="s">
        <v>6523</v>
      </c>
      <c r="C3209" t="s">
        <v>10</v>
      </c>
      <c r="D3209" t="s">
        <v>8</v>
      </c>
      <c r="E3209" t="s">
        <v>8</v>
      </c>
      <c r="F3209" t="s">
        <v>4239</v>
      </c>
      <c r="G3209" t="s">
        <v>4239</v>
      </c>
      <c r="H3209" t="s">
        <v>4240</v>
      </c>
      <c r="I3209" t="s">
        <v>4241</v>
      </c>
    </row>
    <row r="3210" spans="1:9" x14ac:dyDescent="0.25">
      <c r="A3210" s="1" t="str">
        <f>HYPERLINK("https://lynxcrm-apac--c.eu19.visual.force.com/0011i000001xnB4AAI","Manhattan Medical Centre")</f>
        <v>Manhattan Medical Centre</v>
      </c>
      <c r="B3210" t="s">
        <v>6524</v>
      </c>
      <c r="C3210" t="s">
        <v>10</v>
      </c>
      <c r="D3210" t="s">
        <v>8</v>
      </c>
      <c r="E3210" t="s">
        <v>8</v>
      </c>
      <c r="F3210" t="s">
        <v>6525</v>
      </c>
      <c r="G3210" t="s">
        <v>6526</v>
      </c>
      <c r="H3210" t="s">
        <v>6527</v>
      </c>
      <c r="I3210" t="s">
        <v>6528</v>
      </c>
    </row>
    <row r="3211" spans="1:9" x14ac:dyDescent="0.25">
      <c r="A3211" s="1" t="str">
        <f>HYPERLINK("https://lynxcrm-apac--c.eu19.visual.force.com/0011i000001xnIIAAY","Manhattan Medical Centre")</f>
        <v>Manhattan Medical Centre</v>
      </c>
      <c r="B3211" t="s">
        <v>6529</v>
      </c>
      <c r="C3211" t="s">
        <v>10</v>
      </c>
      <c r="D3211" t="s">
        <v>8</v>
      </c>
      <c r="E3211" t="s">
        <v>8</v>
      </c>
      <c r="F3211" t="s">
        <v>6525</v>
      </c>
      <c r="G3211" t="s">
        <v>6526</v>
      </c>
      <c r="H3211" t="s">
        <v>6526</v>
      </c>
      <c r="I3211" t="s">
        <v>6528</v>
      </c>
    </row>
    <row r="3212" spans="1:9" x14ac:dyDescent="0.25">
      <c r="A3212" s="1" t="str">
        <f>HYPERLINK("https://lynxcrm-apac--c.eu19.visual.force.com/0011i000001xntNAAQ","Manish, Kaushik")</f>
        <v>Manish, Kaushik</v>
      </c>
      <c r="B3212" t="s">
        <v>6530</v>
      </c>
      <c r="C3212" t="s">
        <v>28</v>
      </c>
      <c r="D3212" t="s">
        <v>251</v>
      </c>
      <c r="E3212" t="s">
        <v>8</v>
      </c>
      <c r="F3212" t="s">
        <v>241</v>
      </c>
      <c r="G3212" t="s">
        <v>252</v>
      </c>
      <c r="H3212" t="s">
        <v>858</v>
      </c>
      <c r="I3212" t="s">
        <v>253</v>
      </c>
    </row>
    <row r="3213" spans="1:9" x14ac:dyDescent="0.25">
      <c r="A3213" s="1" t="str">
        <f>HYPERLINK("https://lynxcrm-apac--c.eu19.visual.force.com/0011i000001xogRAAQ","Manju, Chandran")</f>
        <v>Manju, Chandran</v>
      </c>
      <c r="B3213" t="s">
        <v>6531</v>
      </c>
      <c r="C3213" t="s">
        <v>28</v>
      </c>
      <c r="D3213" t="s">
        <v>251</v>
      </c>
      <c r="E3213" t="s">
        <v>8</v>
      </c>
      <c r="F3213" t="s">
        <v>246</v>
      </c>
      <c r="G3213" t="s">
        <v>252</v>
      </c>
      <c r="H3213" t="s">
        <v>858</v>
      </c>
      <c r="I3213" t="s">
        <v>253</v>
      </c>
    </row>
    <row r="3214" spans="1:9" x14ac:dyDescent="0.25">
      <c r="A3214" s="1" t="str">
        <f>HYPERLINK("https://lynxcrm-apac--c.eu19.visual.force.com/0011i000001xncqAAA","Mao Medical Centre &amp; Surgery")</f>
        <v>Mao Medical Centre &amp; Surgery</v>
      </c>
      <c r="B3214" t="s">
        <v>6532</v>
      </c>
      <c r="C3214" t="s">
        <v>10</v>
      </c>
      <c r="D3214" t="s">
        <v>8</v>
      </c>
      <c r="E3214" t="s">
        <v>8</v>
      </c>
      <c r="F3214" t="s">
        <v>6533</v>
      </c>
      <c r="G3214" t="s">
        <v>6534</v>
      </c>
      <c r="H3214" t="s">
        <v>6535</v>
      </c>
      <c r="I3214" t="s">
        <v>6536</v>
      </c>
    </row>
    <row r="3215" spans="1:9" x14ac:dyDescent="0.25">
      <c r="A3215" s="1" t="str">
        <f>HYPERLINK("https://lynxcrm-apac--c.eu19.visual.force.com/0011i000001xnaHAAQ","Margaret Drive")</f>
        <v>Margaret Drive</v>
      </c>
      <c r="B3215" t="s">
        <v>6537</v>
      </c>
      <c r="C3215" t="s">
        <v>10</v>
      </c>
      <c r="D3215" t="s">
        <v>8</v>
      </c>
      <c r="E3215" t="s">
        <v>8</v>
      </c>
      <c r="F3215" t="s">
        <v>2219</v>
      </c>
      <c r="G3215" t="s">
        <v>1164</v>
      </c>
      <c r="H3215" t="s">
        <v>1164</v>
      </c>
      <c r="I3215" t="s">
        <v>2220</v>
      </c>
    </row>
    <row r="3216" spans="1:9" x14ac:dyDescent="0.25">
      <c r="A3216" s="1" t="str">
        <f>HYPERLINK("https://lynxcrm-apac--c.eu19.visual.force.com/0011i000001xnNgAAI","Margaret Drive")</f>
        <v>Margaret Drive</v>
      </c>
      <c r="B3216" t="s">
        <v>6538</v>
      </c>
      <c r="C3216" t="s">
        <v>10</v>
      </c>
      <c r="D3216" t="s">
        <v>8</v>
      </c>
      <c r="E3216" t="s">
        <v>8</v>
      </c>
      <c r="F3216" t="s">
        <v>2219</v>
      </c>
      <c r="G3216" t="s">
        <v>1164</v>
      </c>
      <c r="H3216" t="s">
        <v>1164</v>
      </c>
      <c r="I3216" t="s">
        <v>2220</v>
      </c>
    </row>
    <row r="3217" spans="1:9" x14ac:dyDescent="0.25">
      <c r="A3217" s="1" t="str">
        <f>HYPERLINK("https://lynxcrm-apac--c.eu19.visual.force.com/0011i000001xnUfAAI","Margaret Drive")</f>
        <v>Margaret Drive</v>
      </c>
      <c r="B3217" t="s">
        <v>6539</v>
      </c>
      <c r="C3217" t="s">
        <v>10</v>
      </c>
      <c r="D3217" t="s">
        <v>8</v>
      </c>
      <c r="E3217" t="s">
        <v>8</v>
      </c>
      <c r="F3217" t="s">
        <v>2219</v>
      </c>
      <c r="G3217" t="s">
        <v>1164</v>
      </c>
      <c r="H3217" t="s">
        <v>1164</v>
      </c>
      <c r="I3217" t="s">
        <v>2220</v>
      </c>
    </row>
    <row r="3218" spans="1:9" x14ac:dyDescent="0.25">
      <c r="A3218" s="1" t="str">
        <f>HYPERLINK("https://lynxcrm-apac--c.eu19.visual.force.com/0011i000001xo4gAAA","Marimuthu, Kalisvar")</f>
        <v>Marimuthu, Kalisvar</v>
      </c>
      <c r="B3218" t="s">
        <v>6540</v>
      </c>
      <c r="C3218" t="s">
        <v>28</v>
      </c>
      <c r="D3218" t="s">
        <v>261</v>
      </c>
      <c r="E3218" t="s">
        <v>8</v>
      </c>
      <c r="F3218" t="s">
        <v>261</v>
      </c>
      <c r="G3218" t="s">
        <v>347</v>
      </c>
      <c r="H3218" t="s">
        <v>347</v>
      </c>
      <c r="I3218" t="s">
        <v>260</v>
      </c>
    </row>
    <row r="3219" spans="1:9" x14ac:dyDescent="0.25">
      <c r="A3219" s="1" t="str">
        <f>HYPERLINK("https://lynxcrm-apac--c.eu19.visual.force.com/0011i000001xo4gAAA","Marimuthu, Kalisvar")</f>
        <v>Marimuthu, Kalisvar</v>
      </c>
      <c r="B3219" t="s">
        <v>6540</v>
      </c>
      <c r="C3219" t="s">
        <v>28</v>
      </c>
      <c r="D3219" t="s">
        <v>261</v>
      </c>
      <c r="E3219" t="s">
        <v>8</v>
      </c>
      <c r="F3219" t="s">
        <v>6541</v>
      </c>
      <c r="G3219" t="s">
        <v>347</v>
      </c>
      <c r="H3219" t="s">
        <v>259</v>
      </c>
      <c r="I3219" t="s">
        <v>260</v>
      </c>
    </row>
    <row r="3220" spans="1:9" x14ac:dyDescent="0.25">
      <c r="A3220" s="1" t="str">
        <f>HYPERLINK("https://lynxcrm-apac--c.eu19.visual.force.com/0011i000001xnU1AAI","Marina Medical Centre (Tiong Bahru)")</f>
        <v>Marina Medical Centre (Tiong Bahru)</v>
      </c>
      <c r="B3220" t="s">
        <v>6542</v>
      </c>
      <c r="C3220" t="s">
        <v>10</v>
      </c>
      <c r="D3220" t="s">
        <v>8</v>
      </c>
      <c r="E3220" t="s">
        <v>8</v>
      </c>
      <c r="F3220" t="s">
        <v>6543</v>
      </c>
      <c r="G3220" t="s">
        <v>659</v>
      </c>
      <c r="H3220" t="s">
        <v>659</v>
      </c>
      <c r="I3220" t="s">
        <v>6544</v>
      </c>
    </row>
    <row r="3221" spans="1:9" x14ac:dyDescent="0.25">
      <c r="A3221" s="1" t="str">
        <f>HYPERLINK("https://lynxcrm-apac--c.eu19.visual.force.com/0011i000001xnc2AAA","Marine Parade Clinic")</f>
        <v>Marine Parade Clinic</v>
      </c>
      <c r="B3221" t="s">
        <v>6545</v>
      </c>
      <c r="C3221" t="s">
        <v>10</v>
      </c>
      <c r="D3221" t="s">
        <v>8</v>
      </c>
      <c r="E3221" t="s">
        <v>8</v>
      </c>
      <c r="F3221" t="s">
        <v>6546</v>
      </c>
      <c r="G3221" t="s">
        <v>6547</v>
      </c>
      <c r="H3221" t="s">
        <v>6547</v>
      </c>
      <c r="I3221" t="s">
        <v>6548</v>
      </c>
    </row>
    <row r="3222" spans="1:9" x14ac:dyDescent="0.25">
      <c r="A3222" s="1" t="str">
        <f>HYPERLINK("https://lynxcrm-apac--c.eu19.visual.force.com/0011i000001xnMwAAI","Marine Parade Polyclinic")</f>
        <v>Marine Parade Polyclinic</v>
      </c>
      <c r="B3222" t="s">
        <v>6549</v>
      </c>
      <c r="C3222" t="s">
        <v>10</v>
      </c>
      <c r="D3222" t="s">
        <v>8</v>
      </c>
      <c r="E3222" t="s">
        <v>8</v>
      </c>
      <c r="F3222" t="s">
        <v>551</v>
      </c>
      <c r="G3222" t="s">
        <v>552</v>
      </c>
      <c r="H3222" t="s">
        <v>552</v>
      </c>
      <c r="I3222" t="s">
        <v>554</v>
      </c>
    </row>
    <row r="3223" spans="1:9" x14ac:dyDescent="0.25">
      <c r="A3223" s="1" t="str">
        <f>HYPERLINK("https://lynxcrm-apac--c.eu19.visual.force.com/0011i000001xnJbAAI","Marine Parade Polyclinic")</f>
        <v>Marine Parade Polyclinic</v>
      </c>
      <c r="B3223" t="s">
        <v>6550</v>
      </c>
      <c r="C3223" t="s">
        <v>10</v>
      </c>
      <c r="D3223" t="s">
        <v>8</v>
      </c>
      <c r="E3223" t="s">
        <v>8</v>
      </c>
      <c r="F3223" t="s">
        <v>551</v>
      </c>
      <c r="G3223" t="s">
        <v>552</v>
      </c>
      <c r="H3223" t="s">
        <v>553</v>
      </c>
      <c r="I3223" t="s">
        <v>554</v>
      </c>
    </row>
    <row r="3224" spans="1:9" x14ac:dyDescent="0.25">
      <c r="A3224" s="1" t="str">
        <f>HYPERLINK("https://lynxcrm-apac--c.eu19.visual.force.com/0011i000001xnKKAAY","Marine Parade Polyclinic")</f>
        <v>Marine Parade Polyclinic</v>
      </c>
      <c r="B3224" t="s">
        <v>6551</v>
      </c>
      <c r="C3224" t="s">
        <v>10</v>
      </c>
      <c r="D3224" t="s">
        <v>8</v>
      </c>
      <c r="E3224" t="s">
        <v>8</v>
      </c>
      <c r="F3224" t="s">
        <v>551</v>
      </c>
      <c r="G3224" t="s">
        <v>552</v>
      </c>
      <c r="H3224" t="s">
        <v>553</v>
      </c>
      <c r="I3224" t="s">
        <v>554</v>
      </c>
    </row>
    <row r="3225" spans="1:9" x14ac:dyDescent="0.25">
      <c r="A3225" s="1" t="str">
        <f>HYPERLINK("https://lynxcrm-apac--c.eu19.visual.force.com/0011i000001xnYVAAY","Marine Parade Polyclinic")</f>
        <v>Marine Parade Polyclinic</v>
      </c>
      <c r="B3225" t="s">
        <v>6552</v>
      </c>
      <c r="C3225" t="s">
        <v>10</v>
      </c>
      <c r="D3225" t="s">
        <v>8</v>
      </c>
      <c r="E3225" t="s">
        <v>8</v>
      </c>
      <c r="F3225" t="s">
        <v>551</v>
      </c>
      <c r="G3225" t="s">
        <v>552</v>
      </c>
      <c r="H3225" t="s">
        <v>553</v>
      </c>
      <c r="I3225" t="s">
        <v>554</v>
      </c>
    </row>
    <row r="3226" spans="1:9" x14ac:dyDescent="0.25">
      <c r="A3226" s="1" t="str">
        <f>HYPERLINK("https://lynxcrm-apac--c.eu19.visual.force.com/0011i000001xmztAAA","Marine Parade Polyclinic")</f>
        <v>Marine Parade Polyclinic</v>
      </c>
      <c r="B3226" t="s">
        <v>6553</v>
      </c>
      <c r="C3226" t="s">
        <v>10</v>
      </c>
      <c r="D3226" t="s">
        <v>8</v>
      </c>
      <c r="E3226" t="s">
        <v>8</v>
      </c>
      <c r="F3226" t="s">
        <v>551</v>
      </c>
      <c r="G3226" t="s">
        <v>552</v>
      </c>
      <c r="H3226" t="s">
        <v>553</v>
      </c>
      <c r="I3226" t="s">
        <v>554</v>
      </c>
    </row>
    <row r="3227" spans="1:9" x14ac:dyDescent="0.25">
      <c r="A3227" s="1" t="str">
        <f>HYPERLINK("https://lynxcrm-apac--c.eu19.visual.force.com/0011i000001xnKHAAY","Marine Parade Polyclinic")</f>
        <v>Marine Parade Polyclinic</v>
      </c>
      <c r="B3227" t="s">
        <v>6554</v>
      </c>
      <c r="C3227" t="s">
        <v>10</v>
      </c>
      <c r="D3227" t="s">
        <v>8</v>
      </c>
      <c r="E3227" t="s">
        <v>8</v>
      </c>
      <c r="F3227" t="s">
        <v>551</v>
      </c>
      <c r="G3227" t="s">
        <v>552</v>
      </c>
      <c r="H3227" t="s">
        <v>553</v>
      </c>
      <c r="I3227" t="s">
        <v>554</v>
      </c>
    </row>
    <row r="3228" spans="1:9" x14ac:dyDescent="0.25">
      <c r="A3228" s="1" t="str">
        <f>HYPERLINK("https://lynxcrm-apac--c.eu19.visual.force.com/0011i000001xn2ZAAQ","Marine Terrace Family Clinic")</f>
        <v>Marine Terrace Family Clinic</v>
      </c>
      <c r="B3228" t="s">
        <v>6555</v>
      </c>
      <c r="C3228" t="s">
        <v>10</v>
      </c>
      <c r="D3228" t="s">
        <v>8</v>
      </c>
      <c r="E3228" t="s">
        <v>8</v>
      </c>
      <c r="F3228" t="s">
        <v>6556</v>
      </c>
      <c r="G3228" t="s">
        <v>4012</v>
      </c>
      <c r="H3228" t="s">
        <v>4012</v>
      </c>
      <c r="I3228" t="s">
        <v>6557</v>
      </c>
    </row>
    <row r="3229" spans="1:9" x14ac:dyDescent="0.25">
      <c r="A3229" s="1" t="str">
        <f>HYPERLINK("https://lynxcrm-apac--c.eu19.visual.force.com/0011i000001xn9cAAA","Maritime Medeical Centre")</f>
        <v>Maritime Medeical Centre</v>
      </c>
      <c r="B3229" t="s">
        <v>6558</v>
      </c>
      <c r="C3229" t="s">
        <v>10</v>
      </c>
      <c r="D3229" t="s">
        <v>8</v>
      </c>
      <c r="E3229" t="s">
        <v>8</v>
      </c>
      <c r="F3229" t="s">
        <v>6559</v>
      </c>
      <c r="G3229" t="s">
        <v>6560</v>
      </c>
      <c r="H3229" t="s">
        <v>6560</v>
      </c>
      <c r="I3229" t="s">
        <v>6561</v>
      </c>
    </row>
    <row r="3230" spans="1:9" x14ac:dyDescent="0.25">
      <c r="A3230" s="1" t="str">
        <f>HYPERLINK("https://lynxcrm-apac--c.eu19.visual.force.com/0011i000001xoMRAAY","Mark, HW Ignatius")</f>
        <v>Mark, HW Ignatius</v>
      </c>
      <c r="B3230" t="s">
        <v>6562</v>
      </c>
      <c r="C3230" t="s">
        <v>28</v>
      </c>
      <c r="D3230" t="s">
        <v>251</v>
      </c>
      <c r="E3230" t="s">
        <v>8</v>
      </c>
      <c r="F3230" t="s">
        <v>251</v>
      </c>
      <c r="G3230" t="s">
        <v>252</v>
      </c>
      <c r="H3230" t="s">
        <v>252</v>
      </c>
      <c r="I3230" t="s">
        <v>253</v>
      </c>
    </row>
    <row r="3231" spans="1:9" x14ac:dyDescent="0.25">
      <c r="A3231" s="1" t="str">
        <f>HYPERLINK("https://lynxcrm-apac--c.eu19.visual.force.com/0011i000001xoMRAAY","Mark, HW Ignatius")</f>
        <v>Mark, HW Ignatius</v>
      </c>
      <c r="B3231" t="s">
        <v>6562</v>
      </c>
      <c r="C3231" t="s">
        <v>28</v>
      </c>
      <c r="D3231" t="s">
        <v>251</v>
      </c>
      <c r="E3231" t="s">
        <v>8</v>
      </c>
      <c r="F3231" t="s">
        <v>514</v>
      </c>
      <c r="G3231" t="s">
        <v>252</v>
      </c>
      <c r="H3231" t="s">
        <v>252</v>
      </c>
      <c r="I3231" t="s">
        <v>253</v>
      </c>
    </row>
    <row r="3232" spans="1:9" x14ac:dyDescent="0.25">
      <c r="A3232" s="1" t="str">
        <f>HYPERLINK("https://lynxcrm-apac--c.eu19.visual.force.com/0011i000002IdABAA0","Mark, Nicholson")</f>
        <v>Mark, Nicholson</v>
      </c>
      <c r="B3232" t="s">
        <v>6563</v>
      </c>
      <c r="C3232" t="s">
        <v>28</v>
      </c>
      <c r="D3232" t="s">
        <v>12</v>
      </c>
      <c r="E3232" t="s">
        <v>8</v>
      </c>
      <c r="F3232" t="s">
        <v>11</v>
      </c>
      <c r="G3232" t="s">
        <v>11</v>
      </c>
      <c r="H3232" t="s">
        <v>8</v>
      </c>
      <c r="I3232" t="s">
        <v>13</v>
      </c>
    </row>
    <row r="3233" spans="1:9" x14ac:dyDescent="0.25">
      <c r="A3233" s="1" t="str">
        <f>HYPERLINK("https://lynxcrm-apac--c.eu19.visual.force.com/0011i000001xnDoAAI","Marsiling Clinic &amp; Surgery")</f>
        <v>Marsiling Clinic &amp; Surgery</v>
      </c>
      <c r="B3233" t="s">
        <v>6564</v>
      </c>
      <c r="C3233" t="s">
        <v>10</v>
      </c>
      <c r="D3233" t="s">
        <v>8</v>
      </c>
      <c r="E3233" t="s">
        <v>8</v>
      </c>
      <c r="F3233" t="s">
        <v>6565</v>
      </c>
      <c r="G3233" t="s">
        <v>5310</v>
      </c>
      <c r="H3233" t="s">
        <v>6566</v>
      </c>
      <c r="I3233" t="s">
        <v>6567</v>
      </c>
    </row>
    <row r="3234" spans="1:9" x14ac:dyDescent="0.25">
      <c r="A3234" s="1" t="str">
        <f>HYPERLINK("https://lynxcrm-apac--c.eu19.visual.force.com/0011i000001xncsAAA","Martin Medical Centre")</f>
        <v>Martin Medical Centre</v>
      </c>
      <c r="B3234" t="s">
        <v>6568</v>
      </c>
      <c r="C3234" t="s">
        <v>10</v>
      </c>
      <c r="D3234" t="s">
        <v>8</v>
      </c>
      <c r="E3234" t="s">
        <v>8</v>
      </c>
      <c r="F3234" t="s">
        <v>6569</v>
      </c>
      <c r="G3234" t="s">
        <v>4595</v>
      </c>
      <c r="H3234" t="s">
        <v>6570</v>
      </c>
      <c r="I3234" t="s">
        <v>6571</v>
      </c>
    </row>
    <row r="3235" spans="1:9" x14ac:dyDescent="0.25">
      <c r="A3235" s="1" t="str">
        <f>HYPERLINK("https://lynxcrm-apac--c.eu19.visual.force.com/0011i000001xnWTAAY","Mary Medical Clinic &amp; Surgery")</f>
        <v>Mary Medical Clinic &amp; Surgery</v>
      </c>
      <c r="B3235" t="s">
        <v>6572</v>
      </c>
      <c r="C3235" t="s">
        <v>10</v>
      </c>
      <c r="D3235" t="s">
        <v>8</v>
      </c>
      <c r="E3235" t="s">
        <v>8</v>
      </c>
      <c r="F3235" t="s">
        <v>6573</v>
      </c>
      <c r="G3235" t="s">
        <v>4221</v>
      </c>
      <c r="H3235" t="s">
        <v>4221</v>
      </c>
      <c r="I3235" t="s">
        <v>977</v>
      </c>
    </row>
    <row r="3236" spans="1:9" x14ac:dyDescent="0.25">
      <c r="A3236" s="1" t="str">
        <f>HYPERLINK("https://lynxcrm-apac--c.eu19.visual.force.com/0011i000001xnWTAAY","Mary Medical Clinic &amp; Surgery")</f>
        <v>Mary Medical Clinic &amp; Surgery</v>
      </c>
      <c r="B3236" t="s">
        <v>6572</v>
      </c>
      <c r="C3236" t="s">
        <v>10</v>
      </c>
      <c r="D3236" t="s">
        <v>8</v>
      </c>
      <c r="E3236" t="s">
        <v>8</v>
      </c>
      <c r="F3236" t="s">
        <v>974</v>
      </c>
      <c r="G3236" t="s">
        <v>4221</v>
      </c>
      <c r="H3236" t="s">
        <v>4221</v>
      </c>
      <c r="I3236" t="s">
        <v>977</v>
      </c>
    </row>
    <row r="3237" spans="1:9" x14ac:dyDescent="0.25">
      <c r="A3237" s="1" t="str">
        <f>HYPERLINK("https://lynxcrm-apac--c.eu19.visual.force.com/0011i00000uPPcCAAW","Masood, Khairunnisa")</f>
        <v>Masood, Khairunnisa</v>
      </c>
      <c r="B3237" t="s">
        <v>6574</v>
      </c>
      <c r="C3237" t="s">
        <v>28</v>
      </c>
      <c r="D3237" t="s">
        <v>335</v>
      </c>
      <c r="E3237" t="s">
        <v>8</v>
      </c>
      <c r="F3237" t="s">
        <v>336</v>
      </c>
      <c r="G3237" t="s">
        <v>337</v>
      </c>
      <c r="H3237" t="s">
        <v>337</v>
      </c>
      <c r="I3237" t="s">
        <v>338</v>
      </c>
    </row>
    <row r="3238" spans="1:9" x14ac:dyDescent="0.25">
      <c r="A3238" s="1" t="str">
        <f>HYPERLINK("https://lynxcrm-apac--c.eu19.visual.force.com/0011i000001xniTAAQ","Matsuo")</f>
        <v>Matsuo</v>
      </c>
      <c r="B3238" t="s">
        <v>6575</v>
      </c>
      <c r="C3238" t="s">
        <v>28</v>
      </c>
      <c r="D3238" t="s">
        <v>88</v>
      </c>
      <c r="E3238" t="s">
        <v>8</v>
      </c>
      <c r="F3238" t="s">
        <v>317</v>
      </c>
      <c r="G3238" t="s">
        <v>4548</v>
      </c>
      <c r="H3238" t="s">
        <v>4548</v>
      </c>
      <c r="I3238" t="s">
        <v>85</v>
      </c>
    </row>
    <row r="3239" spans="1:9" x14ac:dyDescent="0.25">
      <c r="A3239" s="1" t="str">
        <f>HYPERLINK("https://lynxcrm-apac--c.eu19.visual.force.com/0011i000001xoSaAAI","Maung, Aung Thein")</f>
        <v>Maung, Aung Thein</v>
      </c>
      <c r="B3239" t="s">
        <v>6576</v>
      </c>
      <c r="C3239" t="s">
        <v>28</v>
      </c>
      <c r="D3239" t="s">
        <v>709</v>
      </c>
      <c r="E3239" t="s">
        <v>8</v>
      </c>
      <c r="F3239" t="s">
        <v>710</v>
      </c>
      <c r="G3239" t="s">
        <v>135</v>
      </c>
      <c r="H3239" t="s">
        <v>135</v>
      </c>
      <c r="I3239" t="s">
        <v>711</v>
      </c>
    </row>
    <row r="3240" spans="1:9" x14ac:dyDescent="0.25">
      <c r="A3240" s="1" t="str">
        <f>HYPERLINK("https://lynxcrm-apac--c.eu19.visual.force.com/0011i000001xoSaAAI","Maung, Aung Thein")</f>
        <v>Maung, Aung Thein</v>
      </c>
      <c r="B3240" t="s">
        <v>6576</v>
      </c>
      <c r="C3240" t="s">
        <v>28</v>
      </c>
      <c r="D3240" t="s">
        <v>1867</v>
      </c>
      <c r="E3240" t="s">
        <v>8</v>
      </c>
      <c r="F3240" t="s">
        <v>135</v>
      </c>
      <c r="G3240" t="s">
        <v>709</v>
      </c>
      <c r="H3240" t="s">
        <v>709</v>
      </c>
      <c r="I3240" t="s">
        <v>711</v>
      </c>
    </row>
    <row r="3241" spans="1:9" x14ac:dyDescent="0.25">
      <c r="A3241" s="1" t="str">
        <f>HYPERLINK("https://lynxcrm-apac--c.eu19.visual.force.com/0011i000001xnFBAAY","Maurice Choo Clinic")</f>
        <v>Maurice Choo Clinic</v>
      </c>
      <c r="B3241" t="s">
        <v>6577</v>
      </c>
      <c r="C3241" t="s">
        <v>10</v>
      </c>
      <c r="D3241" t="s">
        <v>8</v>
      </c>
      <c r="E3241" t="s">
        <v>8</v>
      </c>
      <c r="F3241" t="s">
        <v>6578</v>
      </c>
      <c r="G3241" t="s">
        <v>6579</v>
      </c>
      <c r="H3241" t="s">
        <v>5187</v>
      </c>
      <c r="I3241" t="s">
        <v>1803</v>
      </c>
    </row>
    <row r="3242" spans="1:9" x14ac:dyDescent="0.25">
      <c r="A3242" s="1" t="str">
        <f>HYPERLINK("https://lynxcrm-apac--c.eu19.visual.force.com/0011i000001xn1tAAA","Maurine Tsakok Clinic")</f>
        <v>Maurine Tsakok Clinic</v>
      </c>
      <c r="B3242" t="s">
        <v>6580</v>
      </c>
      <c r="C3242" t="s">
        <v>10</v>
      </c>
      <c r="D3242" t="s">
        <v>8</v>
      </c>
      <c r="E3242" t="s">
        <v>8</v>
      </c>
      <c r="F3242" t="s">
        <v>1849</v>
      </c>
      <c r="G3242" t="s">
        <v>6581</v>
      </c>
      <c r="H3242" t="s">
        <v>6582</v>
      </c>
      <c r="I3242" t="s">
        <v>51</v>
      </c>
    </row>
    <row r="3243" spans="1:9" x14ac:dyDescent="0.25">
      <c r="A3243" s="1" t="str">
        <f>HYPERLINK("https://lynxcrm-apac--c.eu19.visual.force.com/0011i000001xncBAAQ","Maven Surgery")</f>
        <v>Maven Surgery</v>
      </c>
      <c r="B3243" t="s">
        <v>6583</v>
      </c>
      <c r="C3243" t="s">
        <v>10</v>
      </c>
      <c r="D3243" t="s">
        <v>8</v>
      </c>
      <c r="E3243" t="s">
        <v>8</v>
      </c>
      <c r="F3243" t="s">
        <v>2020</v>
      </c>
      <c r="G3243" t="s">
        <v>2021</v>
      </c>
      <c r="H3243" t="s">
        <v>2021</v>
      </c>
      <c r="I3243" t="s">
        <v>344</v>
      </c>
    </row>
    <row r="3244" spans="1:9" x14ac:dyDescent="0.25">
      <c r="A3244" s="1" t="str">
        <f>HYPERLINK("https://lynxcrm-apac--c.eu19.visual.force.com/0011i000001xndAAAQ","May Medical Clinic &amp; Surgery")</f>
        <v>May Medical Clinic &amp; Surgery</v>
      </c>
      <c r="B3244" t="s">
        <v>6584</v>
      </c>
      <c r="C3244" t="s">
        <v>10</v>
      </c>
      <c r="D3244" t="s">
        <v>8</v>
      </c>
      <c r="E3244" t="s">
        <v>8</v>
      </c>
      <c r="F3244" t="s">
        <v>6585</v>
      </c>
      <c r="G3244" t="s">
        <v>2350</v>
      </c>
      <c r="H3244" t="s">
        <v>6586</v>
      </c>
      <c r="I3244" t="s">
        <v>4061</v>
      </c>
    </row>
    <row r="3245" spans="1:9" x14ac:dyDescent="0.25">
      <c r="A3245" s="1" t="str">
        <f>HYPERLINK("https://lynxcrm-apac--c.eu19.visual.force.com/0011i000001xmffAAA","MC Tong Cardiothoracic Surgical Centre")</f>
        <v>MC Tong Cardiothoracic Surgical Centre</v>
      </c>
      <c r="B3245" t="s">
        <v>6587</v>
      </c>
      <c r="C3245" t="s">
        <v>10</v>
      </c>
      <c r="D3245" t="s">
        <v>8</v>
      </c>
      <c r="E3245" t="s">
        <v>8</v>
      </c>
      <c r="F3245" t="s">
        <v>377</v>
      </c>
      <c r="G3245" t="s">
        <v>6588</v>
      </c>
      <c r="H3245" t="s">
        <v>6588</v>
      </c>
      <c r="I3245" t="s">
        <v>123</v>
      </c>
    </row>
    <row r="3246" spans="1:9" x14ac:dyDescent="0.25">
      <c r="A3246" s="1" t="str">
        <f>HYPERLINK("https://lynxcrm-apac--c.eu19.visual.force.com/0011i000001xmnvAAA","Meden Clinic &amp; Surgery")</f>
        <v>Meden Clinic &amp; Surgery</v>
      </c>
      <c r="B3246" t="s">
        <v>6589</v>
      </c>
      <c r="C3246" t="s">
        <v>10</v>
      </c>
      <c r="D3246" t="s">
        <v>8</v>
      </c>
      <c r="E3246" t="s">
        <v>8</v>
      </c>
      <c r="F3246" t="s">
        <v>6590</v>
      </c>
      <c r="G3246" t="s">
        <v>6591</v>
      </c>
      <c r="H3246" t="s">
        <v>6592</v>
      </c>
      <c r="I3246" t="s">
        <v>6593</v>
      </c>
    </row>
    <row r="3247" spans="1:9" x14ac:dyDescent="0.25">
      <c r="A3247" s="1" t="str">
        <f>HYPERLINK("https://lynxcrm-apac--c.eu19.visual.force.com/0011i000001xn1ZAAQ","Meden Clinic &amp; Surgery")</f>
        <v>Meden Clinic &amp; Surgery</v>
      </c>
      <c r="B3247" t="s">
        <v>6594</v>
      </c>
      <c r="C3247" t="s">
        <v>10</v>
      </c>
      <c r="D3247" t="s">
        <v>8</v>
      </c>
      <c r="E3247" t="s">
        <v>8</v>
      </c>
      <c r="F3247" t="s">
        <v>6595</v>
      </c>
      <c r="G3247" t="s">
        <v>6596</v>
      </c>
      <c r="H3247" t="s">
        <v>6596</v>
      </c>
      <c r="I3247" t="s">
        <v>6597</v>
      </c>
    </row>
    <row r="3248" spans="1:9" x14ac:dyDescent="0.25">
      <c r="A3248" s="1" t="str">
        <f>HYPERLINK("https://lynxcrm-apac--c.eu19.visual.force.com/0011i000001xmheAAA","Meden Clinic &amp; Surgery")</f>
        <v>Meden Clinic &amp; Surgery</v>
      </c>
      <c r="B3248" t="s">
        <v>6598</v>
      </c>
      <c r="C3248" t="s">
        <v>10</v>
      </c>
      <c r="D3248" t="s">
        <v>8</v>
      </c>
      <c r="E3248" t="s">
        <v>8</v>
      </c>
      <c r="F3248" t="s">
        <v>6599</v>
      </c>
      <c r="G3248" t="s">
        <v>6596</v>
      </c>
      <c r="H3248" t="s">
        <v>6600</v>
      </c>
      <c r="I3248" t="s">
        <v>6597</v>
      </c>
    </row>
    <row r="3249" spans="1:9" x14ac:dyDescent="0.25">
      <c r="A3249" s="1" t="str">
        <f>HYPERLINK("https://lynxcrm-apac--c.eu19.visual.force.com/0011i000001xnD5AAI","Medica Clinic")</f>
        <v>Medica Clinic</v>
      </c>
      <c r="B3249" t="s">
        <v>6601</v>
      </c>
      <c r="C3249" t="s">
        <v>10</v>
      </c>
      <c r="D3249" t="s">
        <v>8</v>
      </c>
      <c r="E3249" t="s">
        <v>8</v>
      </c>
      <c r="F3249" t="s">
        <v>3498</v>
      </c>
      <c r="G3249" t="s">
        <v>6602</v>
      </c>
      <c r="H3249" t="s">
        <v>6603</v>
      </c>
      <c r="I3249" t="s">
        <v>3500</v>
      </c>
    </row>
    <row r="3250" spans="1:9" x14ac:dyDescent="0.25">
      <c r="A3250" s="1" t="str">
        <f>HYPERLINK("https://lynxcrm-apac--c.eu19.visual.force.com/0011i000001xmwiAAA","Medical &amp; G.E. Clinic")</f>
        <v>Medical &amp; G.E. Clinic</v>
      </c>
      <c r="B3250" t="s">
        <v>6604</v>
      </c>
      <c r="C3250" t="s">
        <v>10</v>
      </c>
      <c r="D3250" t="s">
        <v>8</v>
      </c>
      <c r="E3250" t="s">
        <v>8</v>
      </c>
      <c r="F3250" t="s">
        <v>373</v>
      </c>
      <c r="G3250" t="s">
        <v>5650</v>
      </c>
      <c r="H3250" t="s">
        <v>6605</v>
      </c>
      <c r="I3250" t="s">
        <v>123</v>
      </c>
    </row>
    <row r="3251" spans="1:9" x14ac:dyDescent="0.25">
      <c r="A3251" s="1" t="str">
        <f>HYPERLINK("https://lynxcrm-apac--c.eu19.visual.force.com/0011i000001xmwcAAA","Medical &amp; Haematology Clinic")</f>
        <v>Medical &amp; Haematology Clinic</v>
      </c>
      <c r="B3251" t="s">
        <v>6606</v>
      </c>
      <c r="C3251" t="s">
        <v>10</v>
      </c>
      <c r="D3251" t="s">
        <v>8</v>
      </c>
      <c r="E3251" t="s">
        <v>8</v>
      </c>
      <c r="F3251" t="s">
        <v>377</v>
      </c>
      <c r="G3251" t="s">
        <v>6607</v>
      </c>
      <c r="H3251" t="s">
        <v>6607</v>
      </c>
      <c r="I3251" t="s">
        <v>123</v>
      </c>
    </row>
    <row r="3252" spans="1:9" x14ac:dyDescent="0.25">
      <c r="A3252" s="1" t="str">
        <f>HYPERLINK("https://lynxcrm-apac--c.eu19.visual.force.com/0011i000001xmjVAAQ","Medical Clinic One")</f>
        <v>Medical Clinic One</v>
      </c>
      <c r="B3252" t="s">
        <v>6608</v>
      </c>
      <c r="C3252" t="s">
        <v>10</v>
      </c>
      <c r="D3252" t="s">
        <v>8</v>
      </c>
      <c r="E3252" t="s">
        <v>8</v>
      </c>
      <c r="F3252" t="s">
        <v>373</v>
      </c>
      <c r="G3252" t="s">
        <v>1296</v>
      </c>
      <c r="H3252" t="s">
        <v>1296</v>
      </c>
      <c r="I3252" t="s">
        <v>123</v>
      </c>
    </row>
    <row r="3253" spans="1:9" x14ac:dyDescent="0.25">
      <c r="A3253" s="1" t="str">
        <f>HYPERLINK("https://lynxcrm-apac--c.eu19.visual.force.com/0011i000001xndBAAQ","Medical Practice")</f>
        <v>Medical Practice</v>
      </c>
      <c r="B3253" t="s">
        <v>6609</v>
      </c>
      <c r="C3253" t="s">
        <v>10</v>
      </c>
      <c r="D3253" t="s">
        <v>8</v>
      </c>
      <c r="E3253" t="s">
        <v>8</v>
      </c>
      <c r="F3253" t="s">
        <v>6610</v>
      </c>
      <c r="G3253" t="s">
        <v>6611</v>
      </c>
      <c r="H3253" t="s">
        <v>6611</v>
      </c>
      <c r="I3253" t="s">
        <v>6612</v>
      </c>
    </row>
    <row r="3254" spans="1:9" x14ac:dyDescent="0.25">
      <c r="A3254" s="1" t="str">
        <f>HYPERLINK("https://lynxcrm-apac--c.eu19.visual.force.com/0011i000001xn1JAAQ","Medicare Associates Clinic &amp; Surgery")</f>
        <v>Medicare Associates Clinic &amp; Surgery</v>
      </c>
      <c r="B3254" t="s">
        <v>6613</v>
      </c>
      <c r="C3254" t="s">
        <v>10</v>
      </c>
      <c r="D3254" t="s">
        <v>8</v>
      </c>
      <c r="E3254" t="s">
        <v>8</v>
      </c>
      <c r="F3254" t="s">
        <v>5492</v>
      </c>
      <c r="G3254" t="s">
        <v>5493</v>
      </c>
      <c r="H3254" t="s">
        <v>5494</v>
      </c>
      <c r="I3254" t="s">
        <v>5495</v>
      </c>
    </row>
    <row r="3255" spans="1:9" x14ac:dyDescent="0.25">
      <c r="A3255" s="1" t="str">
        <f>HYPERLINK("https://lynxcrm-apac--c.eu19.visual.force.com/0011i000001xmurAAA","Medico Clinic &amp; Surgery")</f>
        <v>Medico Clinic &amp; Surgery</v>
      </c>
      <c r="B3255" t="s">
        <v>6614</v>
      </c>
      <c r="C3255" t="s">
        <v>10</v>
      </c>
      <c r="D3255" t="s">
        <v>8</v>
      </c>
      <c r="E3255" t="s">
        <v>8</v>
      </c>
      <c r="F3255" t="s">
        <v>6615</v>
      </c>
      <c r="G3255" t="s">
        <v>6616</v>
      </c>
      <c r="H3255" t="s">
        <v>6617</v>
      </c>
      <c r="I3255" t="s">
        <v>6618</v>
      </c>
    </row>
    <row r="3256" spans="1:9" x14ac:dyDescent="0.25">
      <c r="A3256" s="1" t="str">
        <f>HYPERLINK("https://lynxcrm-apac--c.eu19.visual.force.com/0011i000001xmjWAAQ","Medihealth Clinic &amp; Surgery")</f>
        <v>Medihealth Clinic &amp; Surgery</v>
      </c>
      <c r="B3256" t="s">
        <v>6619</v>
      </c>
      <c r="C3256" t="s">
        <v>10</v>
      </c>
      <c r="D3256" t="s">
        <v>8</v>
      </c>
      <c r="E3256" t="s">
        <v>8</v>
      </c>
      <c r="F3256" t="s">
        <v>6620</v>
      </c>
      <c r="G3256" t="s">
        <v>6621</v>
      </c>
      <c r="H3256" t="s">
        <v>6622</v>
      </c>
      <c r="I3256" t="s">
        <v>6623</v>
      </c>
    </row>
    <row r="3257" spans="1:9" x14ac:dyDescent="0.25">
      <c r="A3257" s="1" t="str">
        <f>HYPERLINK("https://lynxcrm-apac--c.eu19.visual.force.com/0011i000001xmjAAAQ","Medilife Clinic &amp; Surgery")</f>
        <v>Medilife Clinic &amp; Surgery</v>
      </c>
      <c r="B3257" t="s">
        <v>6624</v>
      </c>
      <c r="C3257" t="s">
        <v>10</v>
      </c>
      <c r="D3257" t="s">
        <v>8</v>
      </c>
      <c r="E3257" t="s">
        <v>8</v>
      </c>
      <c r="F3257" t="s">
        <v>6625</v>
      </c>
      <c r="G3257" t="s">
        <v>6626</v>
      </c>
      <c r="H3257" t="s">
        <v>6627</v>
      </c>
      <c r="I3257" t="s">
        <v>6628</v>
      </c>
    </row>
    <row r="3258" spans="1:9" x14ac:dyDescent="0.25">
      <c r="A3258" s="1" t="str">
        <f>HYPERLINK("https://lynxcrm-apac--c.eu19.visual.force.com/0011i000001xmhiAAA","Medilife Clinic &amp; Surgery")</f>
        <v>Medilife Clinic &amp; Surgery</v>
      </c>
      <c r="B3258" t="s">
        <v>6629</v>
      </c>
      <c r="C3258" t="s">
        <v>10</v>
      </c>
      <c r="D3258" t="s">
        <v>8</v>
      </c>
      <c r="E3258" t="s">
        <v>8</v>
      </c>
      <c r="F3258" t="s">
        <v>3281</v>
      </c>
      <c r="G3258" t="s">
        <v>3282</v>
      </c>
      <c r="H3258" t="s">
        <v>505</v>
      </c>
      <c r="I3258" t="s">
        <v>3283</v>
      </c>
    </row>
    <row r="3259" spans="1:9" x14ac:dyDescent="0.25">
      <c r="A3259" s="1" t="str">
        <f>HYPERLINK("https://lynxcrm-apac--c.eu19.visual.force.com/0011i000001xnPlAAI","Mediline Healthplus")</f>
        <v>Mediline Healthplus</v>
      </c>
      <c r="B3259" t="s">
        <v>6630</v>
      </c>
      <c r="C3259" t="s">
        <v>10</v>
      </c>
      <c r="D3259" t="s">
        <v>8</v>
      </c>
      <c r="E3259" t="s">
        <v>8</v>
      </c>
      <c r="F3259" t="s">
        <v>5349</v>
      </c>
      <c r="G3259" t="s">
        <v>5350</v>
      </c>
      <c r="H3259" t="s">
        <v>5350</v>
      </c>
      <c r="I3259" t="s">
        <v>5351</v>
      </c>
    </row>
    <row r="3260" spans="1:9" x14ac:dyDescent="0.25">
      <c r="A3260" s="1" t="str">
        <f>HYPERLINK("https://lynxcrm-apac--c.eu19.visual.force.com/0011i000001xnNrAAI","Mediline Wei Min Clinic")</f>
        <v>Mediline Wei Min Clinic</v>
      </c>
      <c r="B3260" t="s">
        <v>6631</v>
      </c>
      <c r="C3260" t="s">
        <v>10</v>
      </c>
      <c r="D3260" t="s">
        <v>8</v>
      </c>
      <c r="E3260" t="s">
        <v>8</v>
      </c>
      <c r="F3260" t="s">
        <v>6338</v>
      </c>
      <c r="G3260" t="s">
        <v>6338</v>
      </c>
      <c r="H3260" t="s">
        <v>6339</v>
      </c>
      <c r="I3260" t="s">
        <v>3599</v>
      </c>
    </row>
    <row r="3261" spans="1:9" x14ac:dyDescent="0.25">
      <c r="A3261" s="1" t="str">
        <f>HYPERLINK("https://lynxcrm-apac--c.eu19.visual.force.com/0011i000001xmh6AAA","Mediline Wei Min Clinic")</f>
        <v>Mediline Wei Min Clinic</v>
      </c>
      <c r="B3261" t="s">
        <v>6632</v>
      </c>
      <c r="C3261" t="s">
        <v>10</v>
      </c>
      <c r="D3261" t="s">
        <v>8</v>
      </c>
      <c r="E3261" t="s">
        <v>8</v>
      </c>
      <c r="F3261" t="s">
        <v>6338</v>
      </c>
      <c r="G3261" t="s">
        <v>6338</v>
      </c>
      <c r="H3261" t="s">
        <v>6339</v>
      </c>
      <c r="I3261" t="s">
        <v>3599</v>
      </c>
    </row>
    <row r="3262" spans="1:9" x14ac:dyDescent="0.25">
      <c r="A3262" s="1" t="str">
        <f>HYPERLINK("https://lynxcrm-apac--c.eu19.visual.force.com/0011i000001xnL3AAI","Medina Medical Centre")</f>
        <v>Medina Medical Centre</v>
      </c>
      <c r="B3262" t="s">
        <v>6633</v>
      </c>
      <c r="C3262" t="s">
        <v>10</v>
      </c>
      <c r="D3262" t="s">
        <v>8</v>
      </c>
      <c r="E3262" t="s">
        <v>8</v>
      </c>
      <c r="F3262" t="s">
        <v>6634</v>
      </c>
      <c r="G3262" t="s">
        <v>2226</v>
      </c>
      <c r="H3262" t="s">
        <v>6635</v>
      </c>
      <c r="I3262" t="s">
        <v>6636</v>
      </c>
    </row>
    <row r="3263" spans="1:9" x14ac:dyDescent="0.25">
      <c r="A3263" s="1" t="str">
        <f>HYPERLINK("https://lynxcrm-apac--c.eu19.visual.force.com/0011i000001xnQhAAI","Medipoint Family Clinic")</f>
        <v>Medipoint Family Clinic</v>
      </c>
      <c r="B3263" t="s">
        <v>6637</v>
      </c>
      <c r="C3263" t="s">
        <v>10</v>
      </c>
      <c r="D3263" t="s">
        <v>8</v>
      </c>
      <c r="E3263" t="s">
        <v>8</v>
      </c>
      <c r="F3263" t="s">
        <v>6638</v>
      </c>
      <c r="G3263" t="s">
        <v>6639</v>
      </c>
      <c r="H3263" t="s">
        <v>6640</v>
      </c>
      <c r="I3263" t="s">
        <v>6641</v>
      </c>
    </row>
    <row r="3264" spans="1:9" x14ac:dyDescent="0.25">
      <c r="A3264" s="1" t="str">
        <f>HYPERLINK("https://lynxcrm-apac--c.eu19.visual.force.com/0011i000001xmnpAAA","Medipoint Medical Centre")</f>
        <v>Medipoint Medical Centre</v>
      </c>
      <c r="B3264" t="s">
        <v>6642</v>
      </c>
      <c r="C3264" t="s">
        <v>10</v>
      </c>
      <c r="D3264" t="s">
        <v>8</v>
      </c>
      <c r="E3264" t="s">
        <v>8</v>
      </c>
      <c r="F3264" t="s">
        <v>1559</v>
      </c>
      <c r="G3264" t="s">
        <v>1734</v>
      </c>
      <c r="H3264" t="s">
        <v>1735</v>
      </c>
      <c r="I3264" t="s">
        <v>161</v>
      </c>
    </row>
    <row r="3265" spans="1:9" x14ac:dyDescent="0.25">
      <c r="A3265" s="1" t="str">
        <f>HYPERLINK("https://lynxcrm-apac--c.eu19.visual.force.com/0011i000001xmsxAAA","Medivale Medical Clinic")</f>
        <v>Medivale Medical Clinic</v>
      </c>
      <c r="B3265" t="s">
        <v>6643</v>
      </c>
      <c r="C3265" t="s">
        <v>10</v>
      </c>
      <c r="D3265" t="s">
        <v>8</v>
      </c>
      <c r="E3265" t="s">
        <v>8</v>
      </c>
      <c r="F3265" t="s">
        <v>6644</v>
      </c>
      <c r="G3265" t="s">
        <v>6645</v>
      </c>
      <c r="H3265" t="s">
        <v>6645</v>
      </c>
      <c r="I3265" t="s">
        <v>6646</v>
      </c>
    </row>
    <row r="3266" spans="1:9" x14ac:dyDescent="0.25">
      <c r="A3266" s="1" t="str">
        <f>HYPERLINK("https://lynxcrm-apac--c.eu19.visual.force.com/0011i000001xnHoAAI","Medivene Clinic &amp; Surgery")</f>
        <v>Medivene Clinic &amp; Surgery</v>
      </c>
      <c r="B3266" t="s">
        <v>6647</v>
      </c>
      <c r="C3266" t="s">
        <v>10</v>
      </c>
      <c r="D3266" t="s">
        <v>8</v>
      </c>
      <c r="E3266" t="s">
        <v>8</v>
      </c>
      <c r="F3266" t="s">
        <v>6648</v>
      </c>
      <c r="G3266" t="s">
        <v>944</v>
      </c>
      <c r="H3266" t="s">
        <v>944</v>
      </c>
      <c r="I3266" t="s">
        <v>6649</v>
      </c>
    </row>
    <row r="3267" spans="1:9" x14ac:dyDescent="0.25">
      <c r="A3267" s="1" t="str">
        <f>HYPERLINK("https://lynxcrm-apac--c.eu19.visual.force.com/0011i000001xmoTAAQ","Mediview Clinic &amp; Surgery")</f>
        <v>Mediview Clinic &amp; Surgery</v>
      </c>
      <c r="B3267" t="s">
        <v>6650</v>
      </c>
      <c r="C3267" t="s">
        <v>10</v>
      </c>
      <c r="D3267" t="s">
        <v>8</v>
      </c>
      <c r="E3267" t="s">
        <v>8</v>
      </c>
      <c r="F3267" t="s">
        <v>6651</v>
      </c>
      <c r="G3267" t="s">
        <v>6652</v>
      </c>
      <c r="H3267" t="s">
        <v>6652</v>
      </c>
      <c r="I3267" t="s">
        <v>6653</v>
      </c>
    </row>
    <row r="3268" spans="1:9" x14ac:dyDescent="0.25">
      <c r="A3268" s="1" t="str">
        <f>HYPERLINK("https://lynxcrm-apac--c.eu19.visual.force.com/0011i000001xnmzAAA","Medora, Zubin Firdos")</f>
        <v>Medora, Zubin Firdos</v>
      </c>
      <c r="B3268" t="s">
        <v>6654</v>
      </c>
      <c r="C3268" t="s">
        <v>28</v>
      </c>
      <c r="D3268" t="s">
        <v>6655</v>
      </c>
      <c r="E3268" t="s">
        <v>8</v>
      </c>
      <c r="F3268" t="s">
        <v>6656</v>
      </c>
      <c r="G3268" t="s">
        <v>6656</v>
      </c>
      <c r="H3268" t="s">
        <v>6657</v>
      </c>
      <c r="I3268" t="s">
        <v>6658</v>
      </c>
    </row>
    <row r="3269" spans="1:9" x14ac:dyDescent="0.25">
      <c r="A3269" s="1" t="str">
        <f>HYPERLINK("https://lynxcrm-apac--c.eu19.visual.force.com/0011i000001xn8wAAA","Medora Clinic &amp; Surgery")</f>
        <v>Medora Clinic &amp; Surgery</v>
      </c>
      <c r="B3269" t="s">
        <v>6659</v>
      </c>
      <c r="C3269" t="s">
        <v>10</v>
      </c>
      <c r="D3269" t="s">
        <v>8</v>
      </c>
      <c r="E3269" t="s">
        <v>8</v>
      </c>
      <c r="F3269" t="s">
        <v>6656</v>
      </c>
      <c r="G3269" t="s">
        <v>6656</v>
      </c>
      <c r="H3269" t="s">
        <v>6657</v>
      </c>
      <c r="I3269" t="s">
        <v>6658</v>
      </c>
    </row>
    <row r="3270" spans="1:9" x14ac:dyDescent="0.25">
      <c r="A3270" s="1" t="str">
        <f>HYPERLINK("https://lynxcrm-apac--c.eu19.visual.force.com/0011i000001xnn1AAA","Meenambikai, Arumugam")</f>
        <v>Meenambikai, Arumugam</v>
      </c>
      <c r="B3270" t="s">
        <v>6660</v>
      </c>
      <c r="C3270" t="s">
        <v>28</v>
      </c>
      <c r="D3270" t="s">
        <v>6661</v>
      </c>
      <c r="E3270" t="s">
        <v>8</v>
      </c>
      <c r="F3270" t="s">
        <v>6662</v>
      </c>
      <c r="G3270" t="s">
        <v>6663</v>
      </c>
      <c r="H3270" t="s">
        <v>6664</v>
      </c>
      <c r="I3270" t="s">
        <v>6665</v>
      </c>
    </row>
    <row r="3271" spans="1:9" x14ac:dyDescent="0.25">
      <c r="A3271" s="1" t="str">
        <f>HYPERLINK("https://lynxcrm-apac--c.eu19.visual.force.com/0011i000001xn8xAAA","Meenara Clinic")</f>
        <v>Meenara Clinic</v>
      </c>
      <c r="B3271" t="s">
        <v>6666</v>
      </c>
      <c r="C3271" t="s">
        <v>10</v>
      </c>
      <c r="D3271" t="s">
        <v>8</v>
      </c>
      <c r="E3271" t="s">
        <v>8</v>
      </c>
      <c r="F3271" t="s">
        <v>6662</v>
      </c>
      <c r="G3271" t="s">
        <v>6663</v>
      </c>
      <c r="H3271" t="s">
        <v>6664</v>
      </c>
      <c r="I3271" t="s">
        <v>6665</v>
      </c>
    </row>
    <row r="3272" spans="1:9" x14ac:dyDescent="0.25">
      <c r="A3272" s="1" t="str">
        <f>HYPERLINK("https://lynxcrm-apac--c.eu19.visual.force.com/0011i000001xoqGAAQ","Mehara, Kumi")</f>
        <v>Mehara, Kumi</v>
      </c>
      <c r="B3272" t="s">
        <v>6667</v>
      </c>
      <c r="C3272" t="s">
        <v>28</v>
      </c>
      <c r="D3272" t="s">
        <v>88</v>
      </c>
      <c r="E3272" t="s">
        <v>8</v>
      </c>
      <c r="F3272" t="s">
        <v>317</v>
      </c>
      <c r="G3272" t="s">
        <v>6668</v>
      </c>
      <c r="H3272" t="s">
        <v>6668</v>
      </c>
      <c r="I3272" t="s">
        <v>85</v>
      </c>
    </row>
    <row r="3273" spans="1:9" x14ac:dyDescent="0.25">
      <c r="A3273" s="1" t="str">
        <f>HYPERLINK("https://lynxcrm-apac--c.eu19.visual.force.com/0011i000001xoqGAAQ","Mehara, Kumi")</f>
        <v>Mehara, Kumi</v>
      </c>
      <c r="B3273" t="s">
        <v>6667</v>
      </c>
      <c r="C3273" t="s">
        <v>28</v>
      </c>
      <c r="D3273" t="s">
        <v>88</v>
      </c>
      <c r="E3273" t="s">
        <v>8</v>
      </c>
      <c r="F3273" t="s">
        <v>6669</v>
      </c>
      <c r="G3273" t="s">
        <v>4548</v>
      </c>
      <c r="H3273" t="s">
        <v>6670</v>
      </c>
      <c r="I3273" t="s">
        <v>85</v>
      </c>
    </row>
    <row r="3274" spans="1:9" x14ac:dyDescent="0.25">
      <c r="A3274" s="1" t="str">
        <f>HYPERLINK("https://lynxcrm-apac--c.eu19.visual.force.com/0011i000001xnKwAAI","Mei Ling Clinic")</f>
        <v>Mei Ling Clinic</v>
      </c>
      <c r="B3274" t="s">
        <v>6671</v>
      </c>
      <c r="C3274" t="s">
        <v>10</v>
      </c>
      <c r="D3274" t="s">
        <v>8</v>
      </c>
      <c r="E3274" t="s">
        <v>8</v>
      </c>
      <c r="F3274" t="s">
        <v>6672</v>
      </c>
      <c r="G3274" t="s">
        <v>4595</v>
      </c>
      <c r="H3274" t="s">
        <v>4595</v>
      </c>
      <c r="I3274" t="s">
        <v>6673</v>
      </c>
    </row>
    <row r="3275" spans="1:9" x14ac:dyDescent="0.25">
      <c r="A3275" s="1" t="str">
        <f>HYPERLINK("https://lynxcrm-apac--c.eu19.visual.force.com/0011i000001xnCIAAY","Mei Ling Clinic")</f>
        <v>Mei Ling Clinic</v>
      </c>
      <c r="B3275" t="s">
        <v>6674</v>
      </c>
      <c r="C3275" t="s">
        <v>10</v>
      </c>
      <c r="D3275" t="s">
        <v>8</v>
      </c>
      <c r="E3275" t="s">
        <v>8</v>
      </c>
      <c r="F3275" t="s">
        <v>6675</v>
      </c>
      <c r="G3275" t="s">
        <v>6676</v>
      </c>
      <c r="H3275" t="s">
        <v>6676</v>
      </c>
      <c r="I3275" t="s">
        <v>6677</v>
      </c>
    </row>
    <row r="3276" spans="1:9" x14ac:dyDescent="0.25">
      <c r="A3276" s="1" t="str">
        <f>HYPERLINK("https://lynxcrm-apac--c.eu19.visual.force.com/0011i000001xmufAAA","Mei Ling Clinic")</f>
        <v>Mei Ling Clinic</v>
      </c>
      <c r="B3276" t="s">
        <v>6678</v>
      </c>
      <c r="C3276" t="s">
        <v>10</v>
      </c>
      <c r="D3276" t="s">
        <v>8</v>
      </c>
      <c r="E3276" t="s">
        <v>8</v>
      </c>
      <c r="F3276" t="s">
        <v>6679</v>
      </c>
      <c r="G3276" t="s">
        <v>6680</v>
      </c>
      <c r="H3276" t="s">
        <v>6681</v>
      </c>
      <c r="I3276" t="s">
        <v>6677</v>
      </c>
    </row>
    <row r="3277" spans="1:9" x14ac:dyDescent="0.25">
      <c r="A3277" s="1" t="str">
        <f>HYPERLINK("https://lynxcrm-apac--c.eu19.visual.force.com/0011i000001xnMsAAI","Mei Ling CLinic")</f>
        <v>Mei Ling CLinic</v>
      </c>
      <c r="B3277" t="s">
        <v>6682</v>
      </c>
      <c r="C3277" t="s">
        <v>10</v>
      </c>
      <c r="D3277" t="s">
        <v>8</v>
      </c>
      <c r="E3277" t="s">
        <v>8</v>
      </c>
      <c r="F3277" t="s">
        <v>6675</v>
      </c>
      <c r="G3277" t="s">
        <v>6683</v>
      </c>
      <c r="H3277" t="s">
        <v>6683</v>
      </c>
      <c r="I3277" t="s">
        <v>6677</v>
      </c>
    </row>
    <row r="3278" spans="1:9" x14ac:dyDescent="0.25">
      <c r="A3278" s="1" t="str">
        <f>HYPERLINK("https://lynxcrm-apac--c.eu19.visual.force.com/0011i000001xnFGAAY","Mel &amp; Partners Drs")</f>
        <v>Mel &amp; Partners Drs</v>
      </c>
      <c r="B3278" t="s">
        <v>6684</v>
      </c>
      <c r="C3278" t="s">
        <v>10</v>
      </c>
      <c r="D3278" t="s">
        <v>8</v>
      </c>
      <c r="E3278" t="s">
        <v>8</v>
      </c>
      <c r="F3278" t="s">
        <v>679</v>
      </c>
      <c r="G3278" t="s">
        <v>3490</v>
      </c>
      <c r="H3278" t="s">
        <v>3491</v>
      </c>
      <c r="I3278" t="s">
        <v>115</v>
      </c>
    </row>
    <row r="3279" spans="1:9" x14ac:dyDescent="0.25">
      <c r="A3279" s="1" t="str">
        <f>HYPERLINK("https://lynxcrm-apac--c.eu19.visual.force.com/0011i000001xnabAAA","Mel &amp; Partners Drs Pte Ltd")</f>
        <v>Mel &amp; Partners Drs Pte Ltd</v>
      </c>
      <c r="B3279" t="s">
        <v>6685</v>
      </c>
      <c r="C3279" t="s">
        <v>10</v>
      </c>
      <c r="D3279" t="s">
        <v>8</v>
      </c>
      <c r="E3279" t="s">
        <v>8</v>
      </c>
      <c r="F3279" t="s">
        <v>679</v>
      </c>
      <c r="G3279" t="s">
        <v>3490</v>
      </c>
      <c r="H3279" t="s">
        <v>3490</v>
      </c>
      <c r="I3279" t="s">
        <v>115</v>
      </c>
    </row>
    <row r="3280" spans="1:9" x14ac:dyDescent="0.25">
      <c r="A3280" s="1" t="str">
        <f>HYPERLINK("https://lynxcrm-apac--c.eu19.visual.force.com/0011i000001xnTfAAI","Mel &amp; Partners Drs Pte Ltd")</f>
        <v>Mel &amp; Partners Drs Pte Ltd</v>
      </c>
      <c r="B3280" t="s">
        <v>6686</v>
      </c>
      <c r="C3280" t="s">
        <v>10</v>
      </c>
      <c r="D3280" t="s">
        <v>8</v>
      </c>
      <c r="E3280" t="s">
        <v>8</v>
      </c>
      <c r="F3280" t="s">
        <v>679</v>
      </c>
      <c r="G3280" t="s">
        <v>3490</v>
      </c>
      <c r="H3280" t="s">
        <v>3491</v>
      </c>
      <c r="I3280" t="s">
        <v>115</v>
      </c>
    </row>
    <row r="3281" spans="1:9" x14ac:dyDescent="0.25">
      <c r="A3281" s="1" t="str">
        <f>HYPERLINK("https://lynxcrm-apac--c.eu19.visual.force.com/0011i000001xomcAAA","Melbin, Emerson")</f>
        <v>Melbin, Emerson</v>
      </c>
      <c r="B3281" t="s">
        <v>6687</v>
      </c>
      <c r="C3281" t="s">
        <v>28</v>
      </c>
      <c r="D3281" t="s">
        <v>583</v>
      </c>
      <c r="E3281" t="s">
        <v>8</v>
      </c>
      <c r="F3281" t="s">
        <v>583</v>
      </c>
      <c r="G3281" t="s">
        <v>584</v>
      </c>
      <c r="H3281" t="s">
        <v>584</v>
      </c>
      <c r="I3281" t="s">
        <v>585</v>
      </c>
    </row>
    <row r="3282" spans="1:9" x14ac:dyDescent="0.25">
      <c r="A3282" s="1" t="str">
        <f>HYPERLINK("https://lynxcrm-apac--c.eu19.visual.force.com/0011i000001xnIzAAI","Meng's Clinic")</f>
        <v>Meng's Clinic</v>
      </c>
      <c r="B3282" t="s">
        <v>6688</v>
      </c>
      <c r="C3282" t="s">
        <v>10</v>
      </c>
      <c r="D3282" t="s">
        <v>8</v>
      </c>
      <c r="E3282" t="s">
        <v>8</v>
      </c>
      <c r="F3282" t="s">
        <v>1205</v>
      </c>
      <c r="G3282" t="s">
        <v>1206</v>
      </c>
      <c r="H3282" t="s">
        <v>1207</v>
      </c>
      <c r="I3282" t="s">
        <v>1208</v>
      </c>
    </row>
    <row r="3283" spans="1:9" x14ac:dyDescent="0.25">
      <c r="A3283" s="1" t="str">
        <f>HYPERLINK("https://lynxcrm-apac--c.eu19.visual.force.com/0011i000001xo4SAAQ","Menon, Dilip Prabhakar")</f>
        <v>Menon, Dilip Prabhakar</v>
      </c>
      <c r="B3283" t="s">
        <v>6689</v>
      </c>
      <c r="C3283" t="s">
        <v>28</v>
      </c>
      <c r="D3283" t="s">
        <v>1242</v>
      </c>
      <c r="E3283" t="s">
        <v>8</v>
      </c>
      <c r="F3283" t="s">
        <v>258</v>
      </c>
      <c r="G3283" t="s">
        <v>261</v>
      </c>
      <c r="H3283" t="s">
        <v>261</v>
      </c>
      <c r="I3283" t="s">
        <v>260</v>
      </c>
    </row>
    <row r="3284" spans="1:9" x14ac:dyDescent="0.25">
      <c r="A3284" s="1" t="str">
        <f>HYPERLINK("https://lynxcrm-apac--c.eu19.visual.force.com/0011i000001xo4SAAQ","Menon, Dilip Prabhakar")</f>
        <v>Menon, Dilip Prabhakar</v>
      </c>
      <c r="B3284" t="s">
        <v>6689</v>
      </c>
      <c r="C3284" t="s">
        <v>28</v>
      </c>
      <c r="D3284" t="s">
        <v>261</v>
      </c>
      <c r="E3284" t="s">
        <v>8</v>
      </c>
      <c r="F3284" t="s">
        <v>261</v>
      </c>
      <c r="G3284" t="s">
        <v>347</v>
      </c>
      <c r="H3284" t="s">
        <v>347</v>
      </c>
      <c r="I3284" t="s">
        <v>260</v>
      </c>
    </row>
    <row r="3285" spans="1:9" x14ac:dyDescent="0.25">
      <c r="A3285" s="1" t="str">
        <f>HYPERLINK("https://lynxcrm-apac--c.eu19.visual.force.com/0011i000001xmfiAAA","Meridian Medical Centre")</f>
        <v>Meridian Medical Centre</v>
      </c>
      <c r="B3285" t="s">
        <v>6690</v>
      </c>
      <c r="C3285" t="s">
        <v>10</v>
      </c>
      <c r="D3285" t="s">
        <v>8</v>
      </c>
      <c r="E3285" t="s">
        <v>8</v>
      </c>
      <c r="F3285" t="s">
        <v>5029</v>
      </c>
      <c r="G3285" t="s">
        <v>654</v>
      </c>
      <c r="H3285" t="s">
        <v>6691</v>
      </c>
      <c r="I3285" t="s">
        <v>5032</v>
      </c>
    </row>
    <row r="3286" spans="1:9" x14ac:dyDescent="0.25">
      <c r="A3286" s="1" t="str">
        <f>HYPERLINK("https://lynxcrm-apac--c.eu19.visual.force.com/0011i000001xnJwAAI","Merlion Clinic")</f>
        <v>Merlion Clinic</v>
      </c>
      <c r="B3286" t="s">
        <v>6692</v>
      </c>
      <c r="C3286" t="s">
        <v>10</v>
      </c>
      <c r="D3286" t="s">
        <v>8</v>
      </c>
      <c r="E3286" t="s">
        <v>8</v>
      </c>
      <c r="F3286" t="s">
        <v>3532</v>
      </c>
      <c r="G3286" t="s">
        <v>5538</v>
      </c>
      <c r="H3286" t="s">
        <v>5538</v>
      </c>
      <c r="I3286" t="s">
        <v>1892</v>
      </c>
    </row>
    <row r="3287" spans="1:9" x14ac:dyDescent="0.25">
      <c r="A3287" s="1" t="str">
        <f>HYPERLINK("https://lynxcrm-apac--c.eu19.visual.force.com/0011i000001xnmYAAQ","Meykkumar, s/o Meyappan")</f>
        <v>Meykkumar, s/o Meyappan</v>
      </c>
      <c r="B3287" t="s">
        <v>6693</v>
      </c>
      <c r="C3287" t="s">
        <v>28</v>
      </c>
      <c r="D3287" t="s">
        <v>1698</v>
      </c>
      <c r="E3287" t="s">
        <v>8</v>
      </c>
      <c r="F3287" t="s">
        <v>2273</v>
      </c>
      <c r="G3287" t="s">
        <v>2273</v>
      </c>
      <c r="H3287" t="s">
        <v>8</v>
      </c>
      <c r="I3287" t="s">
        <v>8</v>
      </c>
    </row>
    <row r="3288" spans="1:9" x14ac:dyDescent="0.25">
      <c r="A3288" s="1" t="str">
        <f>HYPERLINK("https://lynxcrm-apac--c.eu19.visual.force.com/0011i000001xnRVAAY","MHC Family Clinic")</f>
        <v>MHC Family Clinic</v>
      </c>
      <c r="B3288" t="s">
        <v>6694</v>
      </c>
      <c r="C3288" t="s">
        <v>10</v>
      </c>
      <c r="D3288" t="s">
        <v>8</v>
      </c>
      <c r="E3288" t="s">
        <v>8</v>
      </c>
      <c r="F3288" t="s">
        <v>6695</v>
      </c>
      <c r="G3288" t="s">
        <v>6696</v>
      </c>
      <c r="H3288" t="s">
        <v>6697</v>
      </c>
      <c r="I3288" t="s">
        <v>1740</v>
      </c>
    </row>
    <row r="3289" spans="1:9" x14ac:dyDescent="0.25">
      <c r="A3289" s="1" t="str">
        <f>HYPERLINK("https://lynxcrm-apac--c.eu19.visual.force.com/0011i000001xomwAAA","Michael, MacDonald")</f>
        <v>Michael, MacDonald</v>
      </c>
      <c r="B3289" t="s">
        <v>6698</v>
      </c>
      <c r="C3289" t="s">
        <v>28</v>
      </c>
      <c r="D3289" t="s">
        <v>583</v>
      </c>
      <c r="E3289" t="s">
        <v>8</v>
      </c>
      <c r="F3289" t="s">
        <v>583</v>
      </c>
      <c r="G3289" t="s">
        <v>584</v>
      </c>
      <c r="H3289" t="s">
        <v>584</v>
      </c>
      <c r="I3289" t="s">
        <v>585</v>
      </c>
    </row>
    <row r="3290" spans="1:9" x14ac:dyDescent="0.25">
      <c r="A3290" s="1" t="str">
        <f>HYPERLINK("https://lynxcrm-apac--c.eu19.visual.force.com/0011i000001xn9NAAQ","Milford Medical Group")</f>
        <v>Milford Medical Group</v>
      </c>
      <c r="B3290" t="s">
        <v>6699</v>
      </c>
      <c r="C3290" t="s">
        <v>10</v>
      </c>
      <c r="D3290" t="s">
        <v>8</v>
      </c>
      <c r="E3290" t="s">
        <v>8</v>
      </c>
      <c r="F3290" t="s">
        <v>5150</v>
      </c>
      <c r="G3290" t="s">
        <v>749</v>
      </c>
      <c r="H3290" t="s">
        <v>5151</v>
      </c>
      <c r="I3290" t="s">
        <v>5152</v>
      </c>
    </row>
    <row r="3291" spans="1:9" x14ac:dyDescent="0.25">
      <c r="A3291" s="1" t="str">
        <f>HYPERLINK("https://lynxcrm-apac--c.eu19.visual.force.com/0011i000001xnBiAAI","Millenium Meedical Centre")</f>
        <v>Millenium Meedical Centre</v>
      </c>
      <c r="B3291" t="s">
        <v>6700</v>
      </c>
      <c r="C3291" t="s">
        <v>10</v>
      </c>
      <c r="D3291" t="s">
        <v>8</v>
      </c>
      <c r="E3291" t="s">
        <v>8</v>
      </c>
      <c r="F3291" t="s">
        <v>6701</v>
      </c>
      <c r="G3291" t="s">
        <v>2803</v>
      </c>
      <c r="H3291" t="s">
        <v>2803</v>
      </c>
      <c r="I3291" t="s">
        <v>6702</v>
      </c>
    </row>
    <row r="3292" spans="1:9" x14ac:dyDescent="0.25">
      <c r="A3292" s="1" t="str">
        <f>HYPERLINK("https://lynxcrm-apac--c.eu19.visual.force.com/0011i000001xmfdAAA","Millennium Medical Group")</f>
        <v>Millennium Medical Group</v>
      </c>
      <c r="B3292" t="s">
        <v>6703</v>
      </c>
      <c r="C3292" t="s">
        <v>10</v>
      </c>
      <c r="D3292" t="s">
        <v>8</v>
      </c>
      <c r="E3292" t="s">
        <v>8</v>
      </c>
      <c r="F3292" t="s">
        <v>6704</v>
      </c>
      <c r="G3292" t="s">
        <v>6705</v>
      </c>
      <c r="H3292" t="s">
        <v>6705</v>
      </c>
      <c r="I3292" t="s">
        <v>4601</v>
      </c>
    </row>
    <row r="3293" spans="1:9" x14ac:dyDescent="0.25">
      <c r="A3293" s="1" t="str">
        <f>HYPERLINK("https://lynxcrm-apac--c.eu19.visual.force.com/0011i000001xn8oAAA","MindCare Clinic")</f>
        <v>MindCare Clinic</v>
      </c>
      <c r="B3293" t="s">
        <v>6706</v>
      </c>
      <c r="C3293" t="s">
        <v>10</v>
      </c>
      <c r="D3293" t="s">
        <v>8</v>
      </c>
      <c r="E3293" t="s">
        <v>8</v>
      </c>
      <c r="F3293" t="s">
        <v>6707</v>
      </c>
      <c r="G3293" t="s">
        <v>6708</v>
      </c>
      <c r="H3293" t="s">
        <v>6708</v>
      </c>
      <c r="I3293" t="s">
        <v>1803</v>
      </c>
    </row>
    <row r="3294" spans="1:9" x14ac:dyDescent="0.25">
      <c r="A3294" s="1" t="str">
        <f>HYPERLINK("https://lynxcrm-apac--c.eu19.visual.force.com/0011i000001xn8oAAA","MindCare Clinic")</f>
        <v>MindCare Clinic</v>
      </c>
      <c r="B3294" t="s">
        <v>6706</v>
      </c>
      <c r="C3294" t="s">
        <v>10</v>
      </c>
      <c r="D3294" t="s">
        <v>8</v>
      </c>
      <c r="E3294" t="s">
        <v>8</v>
      </c>
      <c r="F3294" t="s">
        <v>6709</v>
      </c>
      <c r="G3294" t="s">
        <v>6710</v>
      </c>
      <c r="H3294" t="s">
        <v>6710</v>
      </c>
      <c r="I3294" t="s">
        <v>1803</v>
      </c>
    </row>
    <row r="3295" spans="1:9" x14ac:dyDescent="0.25">
      <c r="A3295" s="1" t="str">
        <f>HYPERLINK("https://lynxcrm-apac--c.eu19.visual.force.com/0011i000001xnVzAAI","Mint Medical Centre")</f>
        <v>Mint Medical Centre</v>
      </c>
      <c r="B3295" t="s">
        <v>6711</v>
      </c>
      <c r="C3295" t="s">
        <v>10</v>
      </c>
      <c r="D3295" t="s">
        <v>8</v>
      </c>
      <c r="E3295" t="s">
        <v>8</v>
      </c>
      <c r="F3295" t="s">
        <v>1641</v>
      </c>
      <c r="G3295" t="s">
        <v>1642</v>
      </c>
      <c r="H3295" t="s">
        <v>1642</v>
      </c>
      <c r="I3295" t="s">
        <v>1643</v>
      </c>
    </row>
    <row r="3296" spans="1:9" x14ac:dyDescent="0.25">
      <c r="A3296" s="1" t="str">
        <f>HYPERLINK("https://lynxcrm-apac--c.eu19.visual.force.com/0011i000001xoDdAAI","Mishra, Sunita")</f>
        <v>Mishra, Sunita</v>
      </c>
      <c r="B3296" t="s">
        <v>6712</v>
      </c>
      <c r="C3296" t="s">
        <v>28</v>
      </c>
      <c r="D3296" t="s">
        <v>163</v>
      </c>
      <c r="E3296" t="s">
        <v>8</v>
      </c>
      <c r="F3296" t="s">
        <v>163</v>
      </c>
      <c r="G3296" t="s">
        <v>164</v>
      </c>
      <c r="H3296" t="s">
        <v>164</v>
      </c>
      <c r="I3296" t="s">
        <v>165</v>
      </c>
    </row>
    <row r="3297" spans="1:9" x14ac:dyDescent="0.25">
      <c r="A3297" s="1" t="str">
        <f>HYPERLINK("https://lynxcrm-apac--c.eu19.visual.force.com/0011i000001xnMFAAY","Mission Medical Clinic")</f>
        <v>Mission Medical Clinic</v>
      </c>
      <c r="B3297" t="s">
        <v>6713</v>
      </c>
      <c r="C3297" t="s">
        <v>10</v>
      </c>
      <c r="D3297" t="s">
        <v>8</v>
      </c>
      <c r="E3297" t="s">
        <v>8</v>
      </c>
      <c r="F3297" t="s">
        <v>6714</v>
      </c>
      <c r="G3297" t="s">
        <v>1454</v>
      </c>
      <c r="H3297" t="s">
        <v>6715</v>
      </c>
      <c r="I3297" t="s">
        <v>6716</v>
      </c>
    </row>
    <row r="3298" spans="1:9" x14ac:dyDescent="0.25">
      <c r="A3298" s="1" t="str">
        <f>HYPERLINK("https://lynxcrm-apac--c.eu19.visual.force.com/0011i000001xmroAAA","Mission Medical Clinic")</f>
        <v>Mission Medical Clinic</v>
      </c>
      <c r="B3298" t="s">
        <v>6717</v>
      </c>
      <c r="C3298" t="s">
        <v>10</v>
      </c>
      <c r="D3298" t="s">
        <v>8</v>
      </c>
      <c r="E3298" t="s">
        <v>8</v>
      </c>
      <c r="F3298" t="s">
        <v>6714</v>
      </c>
      <c r="G3298" t="s">
        <v>1454</v>
      </c>
      <c r="H3298" t="s">
        <v>6715</v>
      </c>
      <c r="I3298" t="s">
        <v>6716</v>
      </c>
    </row>
    <row r="3299" spans="1:9" x14ac:dyDescent="0.25">
      <c r="A3299" s="1" t="str">
        <f>HYPERLINK("https://lynxcrm-apac--c.eu19.visual.force.com/0011i000001xomQAAQ","Mizam")</f>
        <v>Mizam</v>
      </c>
      <c r="B3299" t="s">
        <v>6718</v>
      </c>
      <c r="C3299" t="s">
        <v>28</v>
      </c>
      <c r="D3299" t="s">
        <v>251</v>
      </c>
      <c r="E3299" t="s">
        <v>8</v>
      </c>
      <c r="F3299" t="s">
        <v>251</v>
      </c>
      <c r="G3299" t="s">
        <v>252</v>
      </c>
      <c r="H3299" t="s">
        <v>252</v>
      </c>
      <c r="I3299" t="s">
        <v>253</v>
      </c>
    </row>
    <row r="3300" spans="1:9" x14ac:dyDescent="0.25">
      <c r="A3300" s="1" t="str">
        <f>HYPERLINK("https://lynxcrm-apac--c.eu19.visual.force.com/0011i000001xmfaAAA","ML Yeap Clinic For Women")</f>
        <v>ML Yeap Clinic For Women</v>
      </c>
      <c r="B3300" t="s">
        <v>6719</v>
      </c>
      <c r="C3300" t="s">
        <v>10</v>
      </c>
      <c r="D3300" t="s">
        <v>8</v>
      </c>
      <c r="E3300" t="s">
        <v>8</v>
      </c>
      <c r="F3300" t="s">
        <v>6720</v>
      </c>
      <c r="G3300" t="s">
        <v>6720</v>
      </c>
      <c r="H3300" t="s">
        <v>8</v>
      </c>
      <c r="I3300" t="s">
        <v>266</v>
      </c>
    </row>
    <row r="3301" spans="1:9" x14ac:dyDescent="0.25">
      <c r="A3301" s="1" t="str">
        <f>HYPERLINK("https://lynxcrm-apac--c.eu19.visual.force.com/0011i000001xo8eAAA","Mochizuki, Naoko")</f>
        <v>Mochizuki, Naoko</v>
      </c>
      <c r="B3301" t="s">
        <v>6721</v>
      </c>
      <c r="C3301" t="s">
        <v>28</v>
      </c>
      <c r="D3301" t="s">
        <v>6722</v>
      </c>
      <c r="E3301" t="s">
        <v>8</v>
      </c>
      <c r="F3301" t="s">
        <v>163</v>
      </c>
      <c r="G3301" t="s">
        <v>6723</v>
      </c>
      <c r="H3301" t="s">
        <v>6723</v>
      </c>
      <c r="I3301" t="s">
        <v>165</v>
      </c>
    </row>
    <row r="3302" spans="1:9" x14ac:dyDescent="0.25">
      <c r="A3302" s="1" t="str">
        <f>HYPERLINK("https://lynxcrm-apac--c.eu19.visual.force.com/0011i000001xodcAAA","Moh, Siew Leng")</f>
        <v>Moh, Siew Leng</v>
      </c>
      <c r="B3302" t="s">
        <v>6724</v>
      </c>
      <c r="C3302" t="s">
        <v>28</v>
      </c>
      <c r="D3302" t="s">
        <v>392</v>
      </c>
      <c r="E3302" t="s">
        <v>8</v>
      </c>
      <c r="F3302" t="s">
        <v>393</v>
      </c>
      <c r="G3302" t="s">
        <v>394</v>
      </c>
      <c r="H3302" t="s">
        <v>395</v>
      </c>
      <c r="I3302" t="s">
        <v>396</v>
      </c>
    </row>
    <row r="3303" spans="1:9" x14ac:dyDescent="0.25">
      <c r="A3303" s="1" t="str">
        <f>HYPERLINK("https://lynxcrm-apac--c.eu19.visual.force.com/0011i000001xnn3AAA","Mohamad, bin Abu Bakar")</f>
        <v>Mohamad, bin Abu Bakar</v>
      </c>
      <c r="B3303" t="s">
        <v>6725</v>
      </c>
      <c r="C3303" t="s">
        <v>28</v>
      </c>
      <c r="D3303" t="s">
        <v>6726</v>
      </c>
      <c r="E3303" t="s">
        <v>8</v>
      </c>
      <c r="F3303" t="s">
        <v>6727</v>
      </c>
      <c r="G3303" t="s">
        <v>6727</v>
      </c>
      <c r="H3303" t="s">
        <v>6728</v>
      </c>
      <c r="I3303" t="s">
        <v>6729</v>
      </c>
    </row>
    <row r="3304" spans="1:9" x14ac:dyDescent="0.25">
      <c r="A3304" s="1" t="str">
        <f>HYPERLINK("https://lynxcrm-apac--c.eu19.visual.force.com/0011i000001xo7VAAQ","Mohamad Ashik, bin Zainuddin")</f>
        <v>Mohamad Ashik, bin Zainuddin</v>
      </c>
      <c r="B3304" t="s">
        <v>6730</v>
      </c>
      <c r="C3304" t="s">
        <v>28</v>
      </c>
      <c r="D3304" t="s">
        <v>251</v>
      </c>
      <c r="E3304" t="s">
        <v>8</v>
      </c>
      <c r="F3304" t="s">
        <v>427</v>
      </c>
      <c r="G3304" t="s">
        <v>252</v>
      </c>
      <c r="H3304" t="s">
        <v>858</v>
      </c>
      <c r="I3304" t="s">
        <v>253</v>
      </c>
    </row>
    <row r="3305" spans="1:9" x14ac:dyDescent="0.25">
      <c r="A3305" s="1" t="str">
        <f>HYPERLINK("https://lynxcrm-apac--c.eu19.visual.force.com/0011i000001xnl9AAA","Mohamed, Mashfique")</f>
        <v>Mohamed, Mashfique</v>
      </c>
      <c r="B3305" t="s">
        <v>6731</v>
      </c>
      <c r="C3305" t="s">
        <v>28</v>
      </c>
      <c r="D3305" t="s">
        <v>251</v>
      </c>
      <c r="E3305" t="s">
        <v>8</v>
      </c>
      <c r="F3305" t="s">
        <v>252</v>
      </c>
      <c r="G3305" t="s">
        <v>427</v>
      </c>
      <c r="H3305" t="s">
        <v>427</v>
      </c>
      <c r="I3305" t="s">
        <v>8</v>
      </c>
    </row>
    <row r="3306" spans="1:9" x14ac:dyDescent="0.25">
      <c r="A3306" s="1" t="str">
        <f>HYPERLINK("https://lynxcrm-apac--c.eu19.visual.force.com/0011i000001xonGAAQ","Mohamed Faizal, Bin Abdul Wahid")</f>
        <v>Mohamed Faizal, Bin Abdul Wahid</v>
      </c>
      <c r="B3306" t="s">
        <v>6732</v>
      </c>
      <c r="C3306" t="s">
        <v>28</v>
      </c>
      <c r="D3306" t="s">
        <v>540</v>
      </c>
      <c r="E3306" t="s">
        <v>8</v>
      </c>
      <c r="F3306" t="s">
        <v>3370</v>
      </c>
      <c r="G3306" t="s">
        <v>706</v>
      </c>
      <c r="H3306" t="s">
        <v>706</v>
      </c>
      <c r="I3306" t="s">
        <v>543</v>
      </c>
    </row>
    <row r="3307" spans="1:9" x14ac:dyDescent="0.25">
      <c r="A3307" s="1" t="str">
        <f>HYPERLINK("https://lynxcrm-apac--c.eu19.visual.force.com/0011i000001xoltAAA","Mohamed Idross, Abd Mutaliffee")</f>
        <v>Mohamed Idross, Abd Mutaliffee</v>
      </c>
      <c r="B3307" t="s">
        <v>6733</v>
      </c>
      <c r="C3307" t="s">
        <v>28</v>
      </c>
      <c r="D3307" t="s">
        <v>449</v>
      </c>
      <c r="E3307" t="s">
        <v>8</v>
      </c>
      <c r="F3307" t="s">
        <v>450</v>
      </c>
      <c r="G3307" t="s">
        <v>449</v>
      </c>
      <c r="H3307" t="s">
        <v>449</v>
      </c>
      <c r="I3307" t="s">
        <v>451</v>
      </c>
    </row>
    <row r="3308" spans="1:9" x14ac:dyDescent="0.25">
      <c r="A3308" s="1" t="str">
        <f>HYPERLINK("https://lynxcrm-apac--c.eu19.visual.force.com/0011i000001xoltAAA","Mohamed Idross, Abd Mutaliffee")</f>
        <v>Mohamed Idross, Abd Mutaliffee</v>
      </c>
      <c r="B3308" t="s">
        <v>6733</v>
      </c>
      <c r="C3308" t="s">
        <v>28</v>
      </c>
      <c r="D3308" t="s">
        <v>449</v>
      </c>
      <c r="E3308" t="s">
        <v>8</v>
      </c>
      <c r="F3308" t="s">
        <v>234</v>
      </c>
      <c r="G3308" t="s">
        <v>452</v>
      </c>
      <c r="H3308" t="s">
        <v>453</v>
      </c>
      <c r="I3308" t="s">
        <v>454</v>
      </c>
    </row>
    <row r="3309" spans="1:9" x14ac:dyDescent="0.25">
      <c r="A3309" s="1" t="str">
        <f>HYPERLINK("https://lynxcrm-apac--c.eu19.visual.force.com/0011i000001xmnxAAA","Mohamed Mustafa &amp; Samsuddin Co Pte Ltd")</f>
        <v>Mohamed Mustafa &amp; Samsuddin Co Pte Ltd</v>
      </c>
      <c r="B3309" t="s">
        <v>6734</v>
      </c>
      <c r="C3309" t="s">
        <v>10</v>
      </c>
      <c r="D3309" t="s">
        <v>8</v>
      </c>
      <c r="E3309" t="s">
        <v>8</v>
      </c>
      <c r="F3309" t="s">
        <v>6735</v>
      </c>
      <c r="G3309" t="s">
        <v>6736</v>
      </c>
      <c r="H3309" t="s">
        <v>6736</v>
      </c>
      <c r="I3309" t="s">
        <v>6737</v>
      </c>
    </row>
    <row r="3310" spans="1:9" x14ac:dyDescent="0.25">
      <c r="A3310" s="1" t="str">
        <f>HYPERLINK("https://lynxcrm-apac--c.eu19.visual.force.com/0011i000001xnn4AAA","Mohamed Nawaz, Janjua")</f>
        <v>Mohamed Nawaz, Janjua</v>
      </c>
      <c r="B3310" t="s">
        <v>6738</v>
      </c>
      <c r="C3310" t="s">
        <v>28</v>
      </c>
      <c r="D3310" t="s">
        <v>6739</v>
      </c>
      <c r="E3310" t="s">
        <v>8</v>
      </c>
      <c r="F3310" t="s">
        <v>4204</v>
      </c>
      <c r="G3310" t="s">
        <v>6740</v>
      </c>
      <c r="H3310" t="s">
        <v>6740</v>
      </c>
      <c r="I3310" t="s">
        <v>4189</v>
      </c>
    </row>
    <row r="3311" spans="1:9" x14ac:dyDescent="0.25">
      <c r="A3311" s="1" t="str">
        <f>HYPERLINK("https://lynxcrm-apac--c.eu19.visual.force.com/0011i000001xnn5AAA","Mohamed Tahir, Bin Ahmad")</f>
        <v>Mohamed Tahir, Bin Ahmad</v>
      </c>
      <c r="B3311" t="s">
        <v>6741</v>
      </c>
      <c r="C3311" t="s">
        <v>28</v>
      </c>
      <c r="D3311" t="s">
        <v>6742</v>
      </c>
      <c r="E3311" t="s">
        <v>8</v>
      </c>
      <c r="F3311" t="s">
        <v>2514</v>
      </c>
      <c r="G3311" t="s">
        <v>2515</v>
      </c>
      <c r="H3311" t="s">
        <v>2515</v>
      </c>
      <c r="I3311" t="s">
        <v>2516</v>
      </c>
    </row>
    <row r="3312" spans="1:9" x14ac:dyDescent="0.25">
      <c r="A3312" s="1" t="str">
        <f t="shared" ref="A3312:A3317" si="27">HYPERLINK("https://lynxcrm-apac--c.eu19.visual.force.com/0011i000001xnfLAAQ","Mohammed Rizwan, Amaraullah")</f>
        <v>Mohammed Rizwan, Amaraullah</v>
      </c>
      <c r="B3312" t="s">
        <v>6743</v>
      </c>
      <c r="C3312" t="s">
        <v>28</v>
      </c>
      <c r="D3312" t="s">
        <v>501</v>
      </c>
      <c r="E3312" t="s">
        <v>8</v>
      </c>
      <c r="F3312" t="s">
        <v>501</v>
      </c>
      <c r="G3312" t="s">
        <v>502</v>
      </c>
      <c r="H3312" t="s">
        <v>502</v>
      </c>
      <c r="I3312" t="s">
        <v>506</v>
      </c>
    </row>
    <row r="3313" spans="1:9" x14ac:dyDescent="0.25">
      <c r="A3313" s="1" t="str">
        <f t="shared" si="27"/>
        <v>Mohammed Rizwan, Amaraullah</v>
      </c>
      <c r="B3313" t="s">
        <v>6743</v>
      </c>
      <c r="C3313" t="s">
        <v>28</v>
      </c>
      <c r="D3313" t="s">
        <v>501</v>
      </c>
      <c r="E3313" t="s">
        <v>8</v>
      </c>
      <c r="F3313" t="s">
        <v>502</v>
      </c>
      <c r="G3313" t="s">
        <v>502</v>
      </c>
      <c r="H3313" t="s">
        <v>503</v>
      </c>
      <c r="I3313" t="s">
        <v>504</v>
      </c>
    </row>
    <row r="3314" spans="1:9" x14ac:dyDescent="0.25">
      <c r="A3314" s="1" t="str">
        <f t="shared" si="27"/>
        <v>Mohammed Rizwan, Amaraullah</v>
      </c>
      <c r="B3314" t="s">
        <v>6743</v>
      </c>
      <c r="C3314" t="s">
        <v>28</v>
      </c>
      <c r="D3314" t="s">
        <v>501</v>
      </c>
      <c r="E3314" t="s">
        <v>8</v>
      </c>
      <c r="F3314" t="s">
        <v>246</v>
      </c>
      <c r="G3314" t="s">
        <v>502</v>
      </c>
      <c r="H3314" t="s">
        <v>503</v>
      </c>
      <c r="I3314" t="s">
        <v>504</v>
      </c>
    </row>
    <row r="3315" spans="1:9" x14ac:dyDescent="0.25">
      <c r="A3315" s="1" t="str">
        <f t="shared" si="27"/>
        <v>Mohammed Rizwan, Amaraullah</v>
      </c>
      <c r="B3315" t="s">
        <v>6743</v>
      </c>
      <c r="C3315" t="s">
        <v>28</v>
      </c>
      <c r="D3315" t="s">
        <v>501</v>
      </c>
      <c r="E3315" t="s">
        <v>8</v>
      </c>
      <c r="F3315" t="s">
        <v>246</v>
      </c>
      <c r="G3315" t="s">
        <v>502</v>
      </c>
      <c r="H3315" t="s">
        <v>503</v>
      </c>
      <c r="I3315" t="s">
        <v>505</v>
      </c>
    </row>
    <row r="3316" spans="1:9" x14ac:dyDescent="0.25">
      <c r="A3316" s="1" t="str">
        <f t="shared" si="27"/>
        <v>Mohammed Rizwan, Amaraullah</v>
      </c>
      <c r="B3316" t="s">
        <v>6743</v>
      </c>
      <c r="C3316" t="s">
        <v>28</v>
      </c>
      <c r="D3316" t="s">
        <v>501</v>
      </c>
      <c r="E3316" t="s">
        <v>8</v>
      </c>
      <c r="F3316" t="s">
        <v>234</v>
      </c>
      <c r="G3316" t="s">
        <v>502</v>
      </c>
      <c r="H3316" t="s">
        <v>503</v>
      </c>
      <c r="I3316" t="s">
        <v>504</v>
      </c>
    </row>
    <row r="3317" spans="1:9" x14ac:dyDescent="0.25">
      <c r="A3317" s="1" t="str">
        <f t="shared" si="27"/>
        <v>Mohammed Rizwan, Amaraullah</v>
      </c>
      <c r="B3317" t="s">
        <v>6743</v>
      </c>
      <c r="C3317" t="s">
        <v>28</v>
      </c>
      <c r="D3317" t="s">
        <v>501</v>
      </c>
      <c r="E3317" t="s">
        <v>8</v>
      </c>
      <c r="F3317" t="s">
        <v>359</v>
      </c>
      <c r="G3317" t="s">
        <v>502</v>
      </c>
      <c r="H3317" t="s">
        <v>503</v>
      </c>
      <c r="I3317" t="s">
        <v>506</v>
      </c>
    </row>
    <row r="3318" spans="1:9" x14ac:dyDescent="0.25">
      <c r="A3318" s="1" t="str">
        <f>HYPERLINK("https://lynxcrm-apac--c.eu19.visual.force.com/0011i000001xorWAAQ","Mok, Boon Rui")</f>
        <v>Mok, Boon Rui</v>
      </c>
      <c r="B3318" t="s">
        <v>6744</v>
      </c>
      <c r="C3318" t="s">
        <v>28</v>
      </c>
      <c r="D3318" t="s">
        <v>6745</v>
      </c>
      <c r="E3318" t="s">
        <v>8</v>
      </c>
      <c r="F3318" t="s">
        <v>6746</v>
      </c>
      <c r="G3318" t="s">
        <v>6746</v>
      </c>
      <c r="H3318" t="s">
        <v>8</v>
      </c>
      <c r="I3318" t="s">
        <v>6747</v>
      </c>
    </row>
    <row r="3319" spans="1:9" x14ac:dyDescent="0.25">
      <c r="A3319" s="1" t="str">
        <f>HYPERLINK("https://lynxcrm-apac--c.eu19.visual.force.com/0011i000001xoZiAAI","Mok, Kan Hwei Paul")</f>
        <v>Mok, Kan Hwei Paul</v>
      </c>
      <c r="B3319" t="s">
        <v>6748</v>
      </c>
      <c r="C3319" t="s">
        <v>28</v>
      </c>
      <c r="D3319" t="s">
        <v>261</v>
      </c>
      <c r="E3319" t="s">
        <v>8</v>
      </c>
      <c r="F3319" t="s">
        <v>514</v>
      </c>
      <c r="G3319" t="s">
        <v>258</v>
      </c>
      <c r="H3319" t="s">
        <v>258</v>
      </c>
      <c r="I3319" t="s">
        <v>260</v>
      </c>
    </row>
    <row r="3320" spans="1:9" x14ac:dyDescent="0.25">
      <c r="A3320" s="1" t="str">
        <f>HYPERLINK("https://lynxcrm-apac--c.eu19.visual.force.com/0011i000001xoZiAAI","Mok, Kan Hwei Paul")</f>
        <v>Mok, Kan Hwei Paul</v>
      </c>
      <c r="B3320" t="s">
        <v>6748</v>
      </c>
      <c r="C3320" t="s">
        <v>28</v>
      </c>
      <c r="D3320" t="s">
        <v>261</v>
      </c>
      <c r="E3320" t="s">
        <v>8</v>
      </c>
      <c r="F3320" t="s">
        <v>261</v>
      </c>
      <c r="G3320" t="s">
        <v>347</v>
      </c>
      <c r="H3320" t="s">
        <v>347</v>
      </c>
      <c r="I3320" t="s">
        <v>260</v>
      </c>
    </row>
    <row r="3321" spans="1:9" x14ac:dyDescent="0.25">
      <c r="A3321" s="1" t="str">
        <f>HYPERLINK("https://lynxcrm-apac--c.eu19.visual.force.com/0011i000001xnn6AAA","Mok, Wai Kit")</f>
        <v>Mok, Wai Kit</v>
      </c>
      <c r="B3321" t="s">
        <v>6749</v>
      </c>
      <c r="C3321" t="s">
        <v>28</v>
      </c>
      <c r="D3321" t="s">
        <v>937</v>
      </c>
      <c r="E3321" t="s">
        <v>8</v>
      </c>
      <c r="F3321" t="s">
        <v>759</v>
      </c>
      <c r="G3321" t="s">
        <v>6750</v>
      </c>
      <c r="H3321" t="s">
        <v>6750</v>
      </c>
      <c r="I3321" t="s">
        <v>762</v>
      </c>
    </row>
    <row r="3322" spans="1:9" x14ac:dyDescent="0.25">
      <c r="A3322" s="1" t="str">
        <f>HYPERLINK("https://lynxcrm-apac--c.eu19.visual.force.com/0011i000001xnnHAAQ","Mok, Yan Jia Irene")</f>
        <v>Mok, Yan Jia Irene</v>
      </c>
      <c r="B3322" t="s">
        <v>6751</v>
      </c>
      <c r="C3322" t="s">
        <v>28</v>
      </c>
      <c r="D3322" t="s">
        <v>251</v>
      </c>
      <c r="E3322" t="s">
        <v>8</v>
      </c>
      <c r="F3322" t="s">
        <v>6752</v>
      </c>
      <c r="G3322" t="s">
        <v>252</v>
      </c>
      <c r="H3322" t="s">
        <v>252</v>
      </c>
      <c r="I3322" t="s">
        <v>253</v>
      </c>
    </row>
    <row r="3323" spans="1:9" x14ac:dyDescent="0.25">
      <c r="A3323" s="1" t="str">
        <f>HYPERLINK("https://lynxcrm-apac--c.eu19.visual.force.com/0011i000001xoaAAAQ","Mok, Yi Zhong")</f>
        <v>Mok, Yi Zhong</v>
      </c>
      <c r="B3323" t="s">
        <v>6753</v>
      </c>
      <c r="C3323" t="s">
        <v>28</v>
      </c>
      <c r="D3323" t="s">
        <v>545</v>
      </c>
      <c r="E3323" t="s">
        <v>8</v>
      </c>
      <c r="F3323" t="s">
        <v>546</v>
      </c>
      <c r="G3323" t="s">
        <v>547</v>
      </c>
      <c r="H3323" t="s">
        <v>547</v>
      </c>
      <c r="I3323" t="s">
        <v>548</v>
      </c>
    </row>
    <row r="3324" spans="1:9" x14ac:dyDescent="0.25">
      <c r="A3324" s="1" t="str">
        <f>HYPERLINK("https://lynxcrm-apac--c.eu19.visual.force.com/0011i000001xndPAAQ","Mount Alvernia Hospital")</f>
        <v>Mount Alvernia Hospital</v>
      </c>
      <c r="B3324" t="s">
        <v>6754</v>
      </c>
      <c r="C3324" t="s">
        <v>10</v>
      </c>
      <c r="D3324" t="s">
        <v>8</v>
      </c>
      <c r="E3324" t="s">
        <v>8</v>
      </c>
      <c r="F3324" t="s">
        <v>202</v>
      </c>
      <c r="G3324" t="s">
        <v>202</v>
      </c>
      <c r="H3324" t="s">
        <v>1325</v>
      </c>
      <c r="I3324" t="s">
        <v>200</v>
      </c>
    </row>
    <row r="3325" spans="1:9" x14ac:dyDescent="0.25">
      <c r="A3325" s="1" t="str">
        <f>HYPERLINK("https://lynxcrm-apac--c.eu19.visual.force.com/0011i000001xmk5AAA","Mount Alvernia Hospital")</f>
        <v>Mount Alvernia Hospital</v>
      </c>
      <c r="B3325" t="s">
        <v>6755</v>
      </c>
      <c r="C3325" t="s">
        <v>10</v>
      </c>
      <c r="D3325" t="s">
        <v>8</v>
      </c>
      <c r="E3325" t="s">
        <v>8</v>
      </c>
      <c r="F3325" t="s">
        <v>1274</v>
      </c>
      <c r="G3325" t="s">
        <v>202</v>
      </c>
      <c r="H3325" t="s">
        <v>1325</v>
      </c>
      <c r="I3325" t="s">
        <v>200</v>
      </c>
    </row>
    <row r="3326" spans="1:9" x14ac:dyDescent="0.25">
      <c r="A3326" s="1" t="str">
        <f>HYPERLINK("https://lynxcrm-apac--c.eu19.visual.force.com/0011i000001xmjvAAA","Mount Elizabeth Hospital")</f>
        <v>Mount Elizabeth Hospital</v>
      </c>
      <c r="B3326" t="s">
        <v>6756</v>
      </c>
      <c r="C3326" t="s">
        <v>10</v>
      </c>
      <c r="D3326" t="s">
        <v>8</v>
      </c>
      <c r="E3326" t="s">
        <v>8</v>
      </c>
      <c r="F3326" t="s">
        <v>1274</v>
      </c>
      <c r="G3326" t="s">
        <v>6757</v>
      </c>
      <c r="H3326" t="s">
        <v>6757</v>
      </c>
      <c r="I3326" t="s">
        <v>123</v>
      </c>
    </row>
    <row r="3327" spans="1:9" x14ac:dyDescent="0.25">
      <c r="A3327" s="1" t="str">
        <f>HYPERLINK("https://lynxcrm-apac--c.eu19.visual.force.com/0011i000001xnWnAAI","Mount Elizabeth Medical Centre - Upper")</f>
        <v>Mount Elizabeth Medical Centre - Upper</v>
      </c>
      <c r="B3327" t="s">
        <v>6758</v>
      </c>
      <c r="C3327" t="s">
        <v>10</v>
      </c>
      <c r="D3327" t="s">
        <v>8</v>
      </c>
      <c r="E3327" t="s">
        <v>8</v>
      </c>
      <c r="F3327" t="s">
        <v>377</v>
      </c>
      <c r="G3327" t="s">
        <v>377</v>
      </c>
      <c r="H3327" t="s">
        <v>8</v>
      </c>
      <c r="I3327" t="s">
        <v>123</v>
      </c>
    </row>
    <row r="3328" spans="1:9" x14ac:dyDescent="0.25">
      <c r="A3328" s="1" t="str">
        <f>HYPERLINK("https://lynxcrm-apac--c.eu19.visual.force.com/0011i000001xmouAAA","Mt Alvernia Hospital")</f>
        <v>Mt Alvernia Hospital</v>
      </c>
      <c r="B3328" t="s">
        <v>6759</v>
      </c>
      <c r="C3328" t="s">
        <v>10</v>
      </c>
      <c r="D3328" t="s">
        <v>8</v>
      </c>
      <c r="E3328" t="s">
        <v>8</v>
      </c>
      <c r="F3328" t="s">
        <v>202</v>
      </c>
      <c r="G3328" t="s">
        <v>202</v>
      </c>
      <c r="H3328" t="s">
        <v>8</v>
      </c>
      <c r="I3328" t="s">
        <v>200</v>
      </c>
    </row>
    <row r="3329" spans="1:9" x14ac:dyDescent="0.25">
      <c r="A3329" s="1" t="str">
        <f>HYPERLINK("https://lynxcrm-apac--c.eu19.visual.force.com/0011i000001xnVNAAY","Mt Alvernia Medical Centre")</f>
        <v>Mt Alvernia Medical Centre</v>
      </c>
      <c r="B3329" t="s">
        <v>6760</v>
      </c>
      <c r="C3329" t="s">
        <v>10</v>
      </c>
      <c r="D3329" t="s">
        <v>8</v>
      </c>
      <c r="E3329" t="s">
        <v>8</v>
      </c>
      <c r="F3329" t="s">
        <v>202</v>
      </c>
      <c r="G3329" t="s">
        <v>1324</v>
      </c>
      <c r="H3329" t="s">
        <v>1324</v>
      </c>
      <c r="I3329" t="s">
        <v>200</v>
      </c>
    </row>
    <row r="3330" spans="1:9" x14ac:dyDescent="0.25">
      <c r="A3330" s="1" t="str">
        <f>HYPERLINK("https://lynxcrm-apac--c.eu19.visual.force.com/0011i000001xngXAAQ","Muhammad Iqbal, Abdullah")</f>
        <v>Muhammad Iqbal, Abdullah</v>
      </c>
      <c r="B3330" t="s">
        <v>6761</v>
      </c>
      <c r="C3330" t="s">
        <v>28</v>
      </c>
      <c r="D3330" t="s">
        <v>6762</v>
      </c>
      <c r="E3330" t="s">
        <v>8</v>
      </c>
      <c r="F3330" t="s">
        <v>6763</v>
      </c>
      <c r="G3330" t="s">
        <v>1454</v>
      </c>
      <c r="H3330" t="s">
        <v>1454</v>
      </c>
      <c r="I3330" t="s">
        <v>6764</v>
      </c>
    </row>
    <row r="3331" spans="1:9" x14ac:dyDescent="0.25">
      <c r="A3331" s="1" t="str">
        <f>HYPERLINK("https://lynxcrm-apac--c.eu19.visual.force.com/0011i000001xoXFAAY","Muhammad Iqbal, Bin Abdullah")</f>
        <v>Muhammad Iqbal, Bin Abdullah</v>
      </c>
      <c r="B3331" t="s">
        <v>6765</v>
      </c>
      <c r="C3331" t="s">
        <v>28</v>
      </c>
      <c r="D3331" t="s">
        <v>6766</v>
      </c>
      <c r="E3331" t="s">
        <v>8</v>
      </c>
      <c r="F3331" t="s">
        <v>6767</v>
      </c>
      <c r="G3331" t="s">
        <v>6768</v>
      </c>
      <c r="H3331" t="s">
        <v>6768</v>
      </c>
      <c r="I3331" t="s">
        <v>6769</v>
      </c>
    </row>
    <row r="3332" spans="1:9" x14ac:dyDescent="0.25">
      <c r="A3332" s="1" t="str">
        <f>HYPERLINK("https://lynxcrm-apac--c.eu19.visual.force.com/0011i000001xo5cAAA","Muhammad Iqmal, Abdullah")</f>
        <v>Muhammad Iqmal, Abdullah</v>
      </c>
      <c r="B3332" t="s">
        <v>6770</v>
      </c>
      <c r="C3332" t="s">
        <v>28</v>
      </c>
      <c r="D3332" t="s">
        <v>6771</v>
      </c>
      <c r="E3332" t="s">
        <v>8</v>
      </c>
      <c r="F3332" t="s">
        <v>6772</v>
      </c>
      <c r="G3332" t="s">
        <v>1348</v>
      </c>
      <c r="H3332" t="s">
        <v>1348</v>
      </c>
      <c r="I3332" t="s">
        <v>6773</v>
      </c>
    </row>
    <row r="3333" spans="1:9" x14ac:dyDescent="0.25">
      <c r="A3333" s="1" t="str">
        <f>HYPERLINK("https://lynxcrm-apac--c.eu19.visual.force.com/0011i00000wQq5RAAS","Muhusin, Aysha Reema")</f>
        <v>Muhusin, Aysha Reema</v>
      </c>
      <c r="B3333" t="s">
        <v>6774</v>
      </c>
      <c r="C3333" t="s">
        <v>28</v>
      </c>
      <c r="D3333" t="s">
        <v>91</v>
      </c>
      <c r="E3333" t="s">
        <v>8</v>
      </c>
      <c r="F3333" t="s">
        <v>90</v>
      </c>
      <c r="G3333" t="s">
        <v>90</v>
      </c>
      <c r="H3333" t="s">
        <v>8</v>
      </c>
      <c r="I3333" t="s">
        <v>92</v>
      </c>
    </row>
    <row r="3334" spans="1:9" x14ac:dyDescent="0.25">
      <c r="A3334" s="1" t="str">
        <f>HYPERLINK("https://lynxcrm-apac--c.eu19.visual.force.com/0011i000001xnn7AAA","Muk, Kin Son")</f>
        <v>Muk, Kin Son</v>
      </c>
      <c r="B3334" t="s">
        <v>6775</v>
      </c>
      <c r="C3334" t="s">
        <v>28</v>
      </c>
      <c r="D3334" t="s">
        <v>6776</v>
      </c>
      <c r="E3334" t="s">
        <v>8</v>
      </c>
      <c r="F3334" t="s">
        <v>353</v>
      </c>
      <c r="G3334" t="s">
        <v>6777</v>
      </c>
      <c r="H3334" t="s">
        <v>6777</v>
      </c>
      <c r="I3334" t="s">
        <v>6448</v>
      </c>
    </row>
    <row r="3335" spans="1:9" x14ac:dyDescent="0.25">
      <c r="A3335" s="1" t="str">
        <f>HYPERLINK("https://lynxcrm-apac--c.eu19.visual.force.com/0011i000001xnnAAAQ","Murali Dharan, s/o Pala")</f>
        <v>Murali Dharan, s/o Pala</v>
      </c>
      <c r="B3335" t="s">
        <v>6778</v>
      </c>
      <c r="C3335" t="s">
        <v>28</v>
      </c>
      <c r="D3335" t="s">
        <v>6779</v>
      </c>
      <c r="E3335" t="s">
        <v>8</v>
      </c>
      <c r="F3335" t="s">
        <v>6780</v>
      </c>
      <c r="G3335" t="s">
        <v>6781</v>
      </c>
      <c r="H3335" t="s">
        <v>6782</v>
      </c>
      <c r="I3335" t="s">
        <v>2133</v>
      </c>
    </row>
    <row r="3336" spans="1:9" x14ac:dyDescent="0.25">
      <c r="A3336" s="1" t="str">
        <f>HYPERLINK("https://lynxcrm-apac--c.eu19.visual.force.com/0011i000001xo4ZAAQ","Murgasu, Euan")</f>
        <v>Murgasu, Euan</v>
      </c>
      <c r="B3336" t="s">
        <v>6783</v>
      </c>
      <c r="C3336" t="s">
        <v>28</v>
      </c>
      <c r="D3336" t="s">
        <v>261</v>
      </c>
      <c r="E3336" t="s">
        <v>8</v>
      </c>
      <c r="F3336" t="s">
        <v>261</v>
      </c>
      <c r="G3336" t="s">
        <v>347</v>
      </c>
      <c r="H3336" t="s">
        <v>347</v>
      </c>
      <c r="I3336" t="s">
        <v>260</v>
      </c>
    </row>
    <row r="3337" spans="1:9" x14ac:dyDescent="0.25">
      <c r="A3337" s="1" t="str">
        <f>HYPERLINK("https://lynxcrm-apac--c.eu19.visual.force.com/0011i000001xo4ZAAQ","Murgasu, Euan")</f>
        <v>Murgasu, Euan</v>
      </c>
      <c r="B3337" t="s">
        <v>6783</v>
      </c>
      <c r="C3337" t="s">
        <v>28</v>
      </c>
      <c r="D3337" t="s">
        <v>251</v>
      </c>
      <c r="E3337" t="s">
        <v>8</v>
      </c>
      <c r="F3337" t="s">
        <v>514</v>
      </c>
      <c r="G3337" t="s">
        <v>252</v>
      </c>
      <c r="H3337" t="s">
        <v>858</v>
      </c>
      <c r="I3337" t="s">
        <v>253</v>
      </c>
    </row>
    <row r="3338" spans="1:9" x14ac:dyDescent="0.25">
      <c r="A3338" s="1" t="str">
        <f>HYPERLINK("https://lynxcrm-apac--c.eu19.visual.force.com/0011i000001xmxdAAA","Muswell ENT Specialist Centre")</f>
        <v>Muswell ENT Specialist Centre</v>
      </c>
      <c r="B3338" t="s">
        <v>6784</v>
      </c>
      <c r="C3338" t="s">
        <v>10</v>
      </c>
      <c r="D3338" t="s">
        <v>8</v>
      </c>
      <c r="E3338" t="s">
        <v>8</v>
      </c>
      <c r="F3338" t="s">
        <v>3298</v>
      </c>
      <c r="G3338" t="s">
        <v>198</v>
      </c>
      <c r="H3338" t="s">
        <v>198</v>
      </c>
      <c r="I3338" t="s">
        <v>200</v>
      </c>
    </row>
    <row r="3339" spans="1:9" x14ac:dyDescent="0.25">
      <c r="A3339" s="1" t="str">
        <f>HYPERLINK("https://lynxcrm-apac--c.eu19.visual.force.com/0011i000001xmt9AAA","Mutual Healthcare Medical Clinic")</f>
        <v>Mutual Healthcare Medical Clinic</v>
      </c>
      <c r="B3339" t="s">
        <v>6785</v>
      </c>
      <c r="C3339" t="s">
        <v>10</v>
      </c>
      <c r="D3339" t="s">
        <v>8</v>
      </c>
      <c r="E3339" t="s">
        <v>8</v>
      </c>
      <c r="F3339" t="s">
        <v>6786</v>
      </c>
      <c r="G3339" t="s">
        <v>6787</v>
      </c>
      <c r="H3339" t="s">
        <v>6787</v>
      </c>
      <c r="I3339" t="s">
        <v>6788</v>
      </c>
    </row>
    <row r="3340" spans="1:9" x14ac:dyDescent="0.25">
      <c r="A3340" s="1" t="str">
        <f>HYPERLINK("https://lynxcrm-apac--c.eu19.visual.force.com/0011i000002Id6zAAC","Mutual Healthcare Medical Clinic")</f>
        <v>Mutual Healthcare Medical Clinic</v>
      </c>
      <c r="B3340" t="s">
        <v>6789</v>
      </c>
      <c r="C3340" t="s">
        <v>10</v>
      </c>
      <c r="D3340" t="s">
        <v>8</v>
      </c>
      <c r="E3340" t="s">
        <v>8</v>
      </c>
      <c r="F3340" t="s">
        <v>6790</v>
      </c>
      <c r="G3340" t="s">
        <v>6791</v>
      </c>
      <c r="H3340" t="s">
        <v>6791</v>
      </c>
      <c r="I3340" t="s">
        <v>6792</v>
      </c>
    </row>
    <row r="3341" spans="1:9" x14ac:dyDescent="0.25">
      <c r="A3341" s="1" t="str">
        <f>HYPERLINK("https://lynxcrm-apac--c.eu19.visual.force.com/0011i000001xmnAAAQ","Mutual Healthcare Pte Ltd")</f>
        <v>Mutual Healthcare Pte Ltd</v>
      </c>
      <c r="B3341" t="s">
        <v>6793</v>
      </c>
      <c r="C3341" t="s">
        <v>10</v>
      </c>
      <c r="D3341" t="s">
        <v>8</v>
      </c>
      <c r="E3341" t="s">
        <v>8</v>
      </c>
      <c r="F3341" t="s">
        <v>6794</v>
      </c>
      <c r="G3341" t="s">
        <v>6795</v>
      </c>
      <c r="H3341" t="s">
        <v>6796</v>
      </c>
      <c r="I3341" t="s">
        <v>6797</v>
      </c>
    </row>
    <row r="3342" spans="1:9" x14ac:dyDescent="0.25">
      <c r="A3342" s="1" t="str">
        <f>HYPERLINK("https://lynxcrm-apac--c.eu19.visual.force.com/0011i000001xna2AAA","Mutual Healthcare Pte Ltd")</f>
        <v>Mutual Healthcare Pte Ltd</v>
      </c>
      <c r="B3342" t="s">
        <v>6798</v>
      </c>
      <c r="C3342" t="s">
        <v>10</v>
      </c>
      <c r="D3342" t="s">
        <v>8</v>
      </c>
      <c r="E3342" t="s">
        <v>8</v>
      </c>
      <c r="F3342" t="s">
        <v>6794</v>
      </c>
      <c r="G3342" t="s">
        <v>6795</v>
      </c>
      <c r="H3342" t="s">
        <v>6796</v>
      </c>
      <c r="I3342" t="s">
        <v>6797</v>
      </c>
    </row>
    <row r="3343" spans="1:9" x14ac:dyDescent="0.25">
      <c r="A3343" s="1" t="str">
        <f>HYPERLINK("https://lynxcrm-apac--c.eu19.visual.force.com/0011i000001xn74AAA","MW Global Pte Ltd")</f>
        <v>MW Global Pte Ltd</v>
      </c>
      <c r="B3343" t="s">
        <v>6799</v>
      </c>
      <c r="C3343" t="s">
        <v>10</v>
      </c>
      <c r="D3343" t="s">
        <v>8</v>
      </c>
      <c r="E3343" t="s">
        <v>8</v>
      </c>
      <c r="F3343" t="s">
        <v>6800</v>
      </c>
      <c r="G3343" t="s">
        <v>6801</v>
      </c>
      <c r="H3343" t="s">
        <v>6801</v>
      </c>
      <c r="I3343" t="s">
        <v>1541</v>
      </c>
    </row>
    <row r="3344" spans="1:9" x14ac:dyDescent="0.25">
      <c r="A3344" s="1" t="str">
        <f>HYPERLINK("https://lynxcrm-apac--c.eu19.visual.force.com/0011i000001xoV2AAI","Myat, Htwe")</f>
        <v>Myat, Htwe</v>
      </c>
      <c r="B3344" t="s">
        <v>6802</v>
      </c>
      <c r="C3344" t="s">
        <v>28</v>
      </c>
      <c r="D3344" t="s">
        <v>6803</v>
      </c>
      <c r="E3344" t="s">
        <v>8</v>
      </c>
      <c r="F3344" t="s">
        <v>6804</v>
      </c>
      <c r="G3344" t="s">
        <v>6805</v>
      </c>
      <c r="H3344" t="s">
        <v>6805</v>
      </c>
      <c r="I3344" t="s">
        <v>6806</v>
      </c>
    </row>
    <row r="3345" spans="1:9" x14ac:dyDescent="0.25">
      <c r="A3345" s="1" t="str">
        <f>HYPERLINK("https://lynxcrm-apac--c.eu19.visual.force.com/0011i000001xmzNAAQ","Myat Saydanar Medical Center")</f>
        <v>Myat Saydanar Medical Center</v>
      </c>
      <c r="B3345" t="s">
        <v>6807</v>
      </c>
      <c r="C3345" t="s">
        <v>10</v>
      </c>
      <c r="D3345" t="s">
        <v>8</v>
      </c>
      <c r="E3345" t="s">
        <v>8</v>
      </c>
      <c r="F3345" t="s">
        <v>6808</v>
      </c>
      <c r="G3345" t="s">
        <v>6809</v>
      </c>
      <c r="H3345" t="s">
        <v>6810</v>
      </c>
      <c r="I3345" t="s">
        <v>175</v>
      </c>
    </row>
    <row r="3346" spans="1:9" x14ac:dyDescent="0.25">
      <c r="A3346" s="1" t="str">
        <f>HYPERLINK("https://lynxcrm-apac--c.eu19.visual.force.com/0011i000002Id73AAC","MY Clinic")</f>
        <v>MY Clinic</v>
      </c>
      <c r="B3346" t="s">
        <v>6811</v>
      </c>
      <c r="C3346" t="s">
        <v>10</v>
      </c>
      <c r="D3346" t="s">
        <v>8</v>
      </c>
      <c r="E3346" t="s">
        <v>8</v>
      </c>
      <c r="F3346" t="s">
        <v>5727</v>
      </c>
      <c r="G3346" t="s">
        <v>402</v>
      </c>
      <c r="H3346" t="s">
        <v>402</v>
      </c>
      <c r="I3346" t="s">
        <v>5728</v>
      </c>
    </row>
    <row r="3347" spans="1:9" x14ac:dyDescent="0.25">
      <c r="A3347" s="1" t="str">
        <f>HYPERLINK("https://lynxcrm-apac--c.eu19.visual.force.com/0011i00000l5VagAAE","MYDOCTOR@ADMIRALTY PTE LTD")</f>
        <v>MYDOCTOR@ADMIRALTY PTE LTD</v>
      </c>
      <c r="B3347" t="s">
        <v>6812</v>
      </c>
      <c r="C3347" t="s">
        <v>10</v>
      </c>
      <c r="D3347" t="s">
        <v>8</v>
      </c>
      <c r="E3347" t="s">
        <v>8</v>
      </c>
      <c r="F3347" t="s">
        <v>5137</v>
      </c>
      <c r="G3347" t="s">
        <v>2979</v>
      </c>
      <c r="H3347" t="s">
        <v>8</v>
      </c>
      <c r="I3347" t="s">
        <v>5138</v>
      </c>
    </row>
    <row r="3348" spans="1:9" x14ac:dyDescent="0.25">
      <c r="A3348" s="1" t="str">
        <f>HYPERLINK("https://lynxcrm-apac--c.eu19.visual.force.com/0011i000001xnEeAAI","My Family Clinic")</f>
        <v>My Family Clinic</v>
      </c>
      <c r="B3348" t="s">
        <v>6813</v>
      </c>
      <c r="C3348" t="s">
        <v>10</v>
      </c>
      <c r="D3348" t="s">
        <v>8</v>
      </c>
      <c r="E3348" t="s">
        <v>8</v>
      </c>
      <c r="F3348" t="s">
        <v>6814</v>
      </c>
      <c r="G3348" t="s">
        <v>402</v>
      </c>
      <c r="H3348" t="s">
        <v>402</v>
      </c>
      <c r="I3348" t="s">
        <v>3951</v>
      </c>
    </row>
    <row r="3349" spans="1:9" x14ac:dyDescent="0.25">
      <c r="A3349" s="1" t="str">
        <f>HYPERLINK("https://lynxcrm-apac--c.eu19.visual.force.com/0011i000001xnbkAAA","My Family Clinic")</f>
        <v>My Family Clinic</v>
      </c>
      <c r="B3349" t="s">
        <v>6815</v>
      </c>
      <c r="C3349" t="s">
        <v>10</v>
      </c>
      <c r="D3349" t="s">
        <v>8</v>
      </c>
      <c r="E3349" t="s">
        <v>8</v>
      </c>
      <c r="F3349" t="s">
        <v>6816</v>
      </c>
      <c r="G3349" t="s">
        <v>564</v>
      </c>
      <c r="H3349" t="s">
        <v>564</v>
      </c>
      <c r="I3349" t="s">
        <v>6817</v>
      </c>
    </row>
    <row r="3350" spans="1:9" x14ac:dyDescent="0.25">
      <c r="A3350" s="1" t="str">
        <f>HYPERLINK("https://lynxcrm-apac--c.eu19.visual.force.com/0011i000002Id76AAC","My Family Clinic")</f>
        <v>My Family Clinic</v>
      </c>
      <c r="B3350" t="s">
        <v>6818</v>
      </c>
      <c r="C3350" t="s">
        <v>10</v>
      </c>
      <c r="D3350" t="s">
        <v>8</v>
      </c>
      <c r="E3350" t="s">
        <v>8</v>
      </c>
      <c r="F3350" t="s">
        <v>5354</v>
      </c>
      <c r="G3350" t="s">
        <v>5354</v>
      </c>
      <c r="H3350" t="s">
        <v>8</v>
      </c>
      <c r="I3350" t="s">
        <v>5356</v>
      </c>
    </row>
    <row r="3351" spans="1:9" x14ac:dyDescent="0.25">
      <c r="A3351" s="1" t="str">
        <f>HYPERLINK("https://lynxcrm-apac--c.eu19.visual.force.com/0011i000001xmyDAAQ","My Family Clinic")</f>
        <v>My Family Clinic</v>
      </c>
      <c r="B3351" t="s">
        <v>6819</v>
      </c>
      <c r="C3351" t="s">
        <v>10</v>
      </c>
      <c r="D3351" t="s">
        <v>8</v>
      </c>
      <c r="E3351" t="s">
        <v>8</v>
      </c>
      <c r="F3351" t="s">
        <v>6820</v>
      </c>
      <c r="G3351" t="s">
        <v>3547</v>
      </c>
      <c r="H3351" t="s">
        <v>6821</v>
      </c>
      <c r="I3351" t="s">
        <v>6822</v>
      </c>
    </row>
    <row r="3352" spans="1:9" x14ac:dyDescent="0.25">
      <c r="A3352" s="1" t="str">
        <f>HYPERLINK("https://lynxcrm-apac--c.eu19.visual.force.com/0011i000001xmyzAAA","My Family Clinic")</f>
        <v>My Family Clinic</v>
      </c>
      <c r="B3352" t="s">
        <v>6823</v>
      </c>
      <c r="C3352" t="s">
        <v>10</v>
      </c>
      <c r="D3352" t="s">
        <v>8</v>
      </c>
      <c r="E3352" t="s">
        <v>8</v>
      </c>
      <c r="F3352" t="s">
        <v>6824</v>
      </c>
      <c r="G3352" t="s">
        <v>6825</v>
      </c>
      <c r="H3352" t="s">
        <v>6825</v>
      </c>
      <c r="I3352" t="s">
        <v>6826</v>
      </c>
    </row>
    <row r="3353" spans="1:9" x14ac:dyDescent="0.25">
      <c r="A3353" s="1" t="str">
        <f>HYPERLINK("https://lynxcrm-apac--c.eu19.visual.force.com/0011i000001xn7lAAA","My Family Clinic")</f>
        <v>My Family Clinic</v>
      </c>
      <c r="B3353" t="s">
        <v>6827</v>
      </c>
      <c r="C3353" t="s">
        <v>10</v>
      </c>
      <c r="D3353" t="s">
        <v>8</v>
      </c>
      <c r="E3353" t="s">
        <v>8</v>
      </c>
      <c r="F3353" t="s">
        <v>6828</v>
      </c>
      <c r="G3353" t="s">
        <v>6829</v>
      </c>
      <c r="H3353" t="s">
        <v>6829</v>
      </c>
      <c r="I3353" t="s">
        <v>6830</v>
      </c>
    </row>
    <row r="3354" spans="1:9" x14ac:dyDescent="0.25">
      <c r="A3354" s="1" t="str">
        <f>HYPERLINK("https://lynxcrm-apac--c.eu19.visual.force.com/0011i000001xmwzAAA","My Family Clinic (Hougang Ctrl)")</f>
        <v>My Family Clinic (Hougang Ctrl)</v>
      </c>
      <c r="B3354" t="s">
        <v>6831</v>
      </c>
      <c r="C3354" t="s">
        <v>10</v>
      </c>
      <c r="D3354" t="s">
        <v>8</v>
      </c>
      <c r="E3354" t="s">
        <v>8</v>
      </c>
      <c r="F3354" t="s">
        <v>1468</v>
      </c>
      <c r="G3354" t="s">
        <v>1469</v>
      </c>
      <c r="H3354" t="s">
        <v>1469</v>
      </c>
      <c r="I3354" t="s">
        <v>1471</v>
      </c>
    </row>
    <row r="3355" spans="1:9" x14ac:dyDescent="0.25">
      <c r="A3355" s="1" t="str">
        <f>HYPERLINK("https://lynxcrm-apac--c.eu19.visual.force.com/0011i000001xnMkAAI","My Family Clinic (Pioneer)")</f>
        <v>My Family Clinic (Pioneer)</v>
      </c>
      <c r="B3355" t="s">
        <v>6832</v>
      </c>
      <c r="C3355" t="s">
        <v>10</v>
      </c>
      <c r="D3355" t="s">
        <v>8</v>
      </c>
      <c r="E3355" t="s">
        <v>8</v>
      </c>
      <c r="F3355" t="s">
        <v>3838</v>
      </c>
      <c r="G3355" t="s">
        <v>3317</v>
      </c>
      <c r="H3355" t="s">
        <v>3317</v>
      </c>
      <c r="I3355" t="s">
        <v>3839</v>
      </c>
    </row>
    <row r="3356" spans="1:9" x14ac:dyDescent="0.25">
      <c r="A3356" s="1" t="str">
        <f>HYPERLINK("https://lynxcrm-apac--c.eu19.visual.force.com/0011i000001xmyCAAQ","My Gynae Pte Ltd")</f>
        <v>My Gynae Pte Ltd</v>
      </c>
      <c r="B3356" t="s">
        <v>6833</v>
      </c>
      <c r="C3356" t="s">
        <v>10</v>
      </c>
      <c r="D3356" t="s">
        <v>8</v>
      </c>
      <c r="E3356" t="s">
        <v>8</v>
      </c>
      <c r="F3356" t="s">
        <v>6834</v>
      </c>
      <c r="G3356" t="s">
        <v>65</v>
      </c>
      <c r="H3356" t="s">
        <v>6835</v>
      </c>
      <c r="I3356" t="s">
        <v>67</v>
      </c>
    </row>
    <row r="3357" spans="1:9" x14ac:dyDescent="0.25">
      <c r="A3357" s="1" t="str">
        <f>HYPERLINK("https://lynxcrm-apac--c.eu19.visual.force.com/0011i000001xo71AAA","N.V., Ramani")</f>
        <v>N.V., Ramani</v>
      </c>
      <c r="B3357" t="s">
        <v>6836</v>
      </c>
      <c r="C3357" t="s">
        <v>28</v>
      </c>
      <c r="D3357" t="s">
        <v>6837</v>
      </c>
      <c r="E3357" t="s">
        <v>8</v>
      </c>
      <c r="F3357" t="s">
        <v>6838</v>
      </c>
      <c r="G3357" t="s">
        <v>163</v>
      </c>
      <c r="H3357" t="s">
        <v>163</v>
      </c>
      <c r="I3357" t="s">
        <v>165</v>
      </c>
    </row>
    <row r="3358" spans="1:9" x14ac:dyDescent="0.25">
      <c r="A3358" s="1" t="str">
        <f>HYPERLINK("https://lynxcrm-apac--c.eu19.visual.force.com/0011i000001xnnBAAQ","Nadarajah, Kathirgasu")</f>
        <v>Nadarajah, Kathirgasu</v>
      </c>
      <c r="B3358" t="s">
        <v>6839</v>
      </c>
      <c r="C3358" t="s">
        <v>28</v>
      </c>
      <c r="D3358" t="s">
        <v>6840</v>
      </c>
      <c r="E3358" t="s">
        <v>8</v>
      </c>
      <c r="F3358" t="s">
        <v>6841</v>
      </c>
      <c r="G3358" t="s">
        <v>6842</v>
      </c>
      <c r="H3358" t="s">
        <v>6842</v>
      </c>
      <c r="I3358" t="s">
        <v>6843</v>
      </c>
    </row>
    <row r="3359" spans="1:9" x14ac:dyDescent="0.25">
      <c r="A3359" s="1" t="str">
        <f>HYPERLINK("https://lynxcrm-apac--c.eu19.visual.force.com/0011i000001xnlMAAQ","Nadhirah, Bte Alwi")</f>
        <v>Nadhirah, Bte Alwi</v>
      </c>
      <c r="B3359" t="s">
        <v>6844</v>
      </c>
      <c r="C3359" t="s">
        <v>28</v>
      </c>
      <c r="D3359" t="s">
        <v>545</v>
      </c>
      <c r="E3359" t="s">
        <v>8</v>
      </c>
      <c r="F3359" t="s">
        <v>546</v>
      </c>
      <c r="G3359" t="s">
        <v>547</v>
      </c>
      <c r="H3359" t="s">
        <v>547</v>
      </c>
      <c r="I3359" t="s">
        <v>548</v>
      </c>
    </row>
    <row r="3360" spans="1:9" x14ac:dyDescent="0.25">
      <c r="A3360" s="1" t="str">
        <f>HYPERLINK("https://lynxcrm-apac--c.eu19.visual.force.com/0011i000001xodRAAQ","Nagar, Umakant")</f>
        <v>Nagar, Umakant</v>
      </c>
      <c r="B3360" t="s">
        <v>6845</v>
      </c>
      <c r="C3360" t="s">
        <v>28</v>
      </c>
      <c r="D3360" t="s">
        <v>21</v>
      </c>
      <c r="E3360" t="s">
        <v>8</v>
      </c>
      <c r="F3360" t="s">
        <v>699</v>
      </c>
      <c r="G3360" t="s">
        <v>699</v>
      </c>
      <c r="H3360" t="s">
        <v>8</v>
      </c>
      <c r="I3360" t="s">
        <v>22</v>
      </c>
    </row>
    <row r="3361" spans="1:9" x14ac:dyDescent="0.25">
      <c r="A3361" s="1" t="str">
        <f>HYPERLINK("https://lynxcrm-apac--c.eu19.visual.force.com/0011i00000Xf1H0AAJ","Nagavalli, Nagavalli")</f>
        <v>Nagavalli, Nagavalli</v>
      </c>
      <c r="B3361" t="s">
        <v>6846</v>
      </c>
      <c r="C3361" t="s">
        <v>28</v>
      </c>
      <c r="D3361" t="s">
        <v>2027</v>
      </c>
      <c r="E3361" t="s">
        <v>8</v>
      </c>
      <c r="F3361" t="s">
        <v>2028</v>
      </c>
      <c r="G3361" t="s">
        <v>2029</v>
      </c>
      <c r="H3361" t="s">
        <v>8</v>
      </c>
      <c r="I3361" t="s">
        <v>488</v>
      </c>
    </row>
    <row r="3362" spans="1:9" x14ac:dyDescent="0.25">
      <c r="A3362" s="1" t="str">
        <f>HYPERLINK("https://lynxcrm-apac--c.eu19.visual.force.com/0011i00000vyv1mAAA","Nah, Michelle")</f>
        <v>Nah, Michelle</v>
      </c>
      <c r="B3362" t="s">
        <v>6847</v>
      </c>
      <c r="C3362" t="s">
        <v>28</v>
      </c>
      <c r="D3362" t="s">
        <v>578</v>
      </c>
      <c r="E3362" t="s">
        <v>8</v>
      </c>
      <c r="F3362" t="s">
        <v>6848</v>
      </c>
      <c r="G3362" t="s">
        <v>6849</v>
      </c>
      <c r="H3362" t="s">
        <v>8</v>
      </c>
      <c r="I3362" t="s">
        <v>6850</v>
      </c>
    </row>
    <row r="3363" spans="1:9" x14ac:dyDescent="0.25">
      <c r="A3363" s="1" t="str">
        <f>HYPERLINK("https://lynxcrm-apac--c.eu19.visual.force.com/0011i000001xoPZAAY","Nahid")</f>
        <v>Nahid</v>
      </c>
      <c r="B3363" t="s">
        <v>6851</v>
      </c>
      <c r="C3363" t="s">
        <v>28</v>
      </c>
      <c r="D3363" t="s">
        <v>148</v>
      </c>
      <c r="E3363" t="s">
        <v>8</v>
      </c>
      <c r="F3363" t="s">
        <v>736</v>
      </c>
      <c r="G3363" t="s">
        <v>736</v>
      </c>
      <c r="H3363" t="s">
        <v>8</v>
      </c>
      <c r="I3363" t="s">
        <v>149</v>
      </c>
    </row>
    <row r="3364" spans="1:9" x14ac:dyDescent="0.25">
      <c r="A3364" s="1" t="str">
        <f>HYPERLINK("https://lynxcrm-apac--c.eu19.visual.force.com/0011i000001xoPZAAY","Nahid")</f>
        <v>Nahid</v>
      </c>
      <c r="B3364" t="s">
        <v>6851</v>
      </c>
      <c r="C3364" t="s">
        <v>28</v>
      </c>
      <c r="D3364" t="s">
        <v>147</v>
      </c>
      <c r="E3364" t="s">
        <v>8</v>
      </c>
      <c r="F3364" t="s">
        <v>147</v>
      </c>
      <c r="G3364" t="s">
        <v>148</v>
      </c>
      <c r="H3364" t="s">
        <v>148</v>
      </c>
      <c r="I3364" t="s">
        <v>149</v>
      </c>
    </row>
    <row r="3365" spans="1:9" x14ac:dyDescent="0.25">
      <c r="A3365" s="1" t="str">
        <f>HYPERLINK("https://lynxcrm-apac--c.eu19.visual.force.com/0011i000001xnhcAAA","Nahir, Pandit")</f>
        <v>Nahir, Pandit</v>
      </c>
      <c r="B3365" t="s">
        <v>6852</v>
      </c>
      <c r="C3365" t="s">
        <v>28</v>
      </c>
      <c r="D3365" t="s">
        <v>261</v>
      </c>
      <c r="E3365" t="s">
        <v>8</v>
      </c>
      <c r="F3365" t="s">
        <v>261</v>
      </c>
      <c r="G3365" t="s">
        <v>347</v>
      </c>
      <c r="H3365" t="s">
        <v>347</v>
      </c>
      <c r="I3365" t="s">
        <v>260</v>
      </c>
    </row>
    <row r="3366" spans="1:9" x14ac:dyDescent="0.25">
      <c r="A3366" s="1" t="str">
        <f t="shared" ref="A3366:A3371" si="28">HYPERLINK("https://lynxcrm-apac--c.eu19.visual.force.com/0011i000001xoilAAA","Nai, Ai Lin Karen")</f>
        <v>Nai, Ai Lin Karen</v>
      </c>
      <c r="B3366" t="s">
        <v>6853</v>
      </c>
      <c r="C3366" t="s">
        <v>28</v>
      </c>
      <c r="D3366" t="s">
        <v>501</v>
      </c>
      <c r="E3366" t="s">
        <v>8</v>
      </c>
      <c r="F3366" t="s">
        <v>501</v>
      </c>
      <c r="G3366" t="s">
        <v>502</v>
      </c>
      <c r="H3366" t="s">
        <v>502</v>
      </c>
      <c r="I3366" t="s">
        <v>506</v>
      </c>
    </row>
    <row r="3367" spans="1:9" x14ac:dyDescent="0.25">
      <c r="A3367" s="1" t="str">
        <f t="shared" si="28"/>
        <v>Nai, Ai Lin Karen</v>
      </c>
      <c r="B3367" t="s">
        <v>6853</v>
      </c>
      <c r="C3367" t="s">
        <v>28</v>
      </c>
      <c r="D3367" t="s">
        <v>501</v>
      </c>
      <c r="E3367" t="s">
        <v>8</v>
      </c>
      <c r="F3367" t="s">
        <v>502</v>
      </c>
      <c r="G3367" t="s">
        <v>502</v>
      </c>
      <c r="H3367" t="s">
        <v>503</v>
      </c>
      <c r="I3367" t="s">
        <v>504</v>
      </c>
    </row>
    <row r="3368" spans="1:9" x14ac:dyDescent="0.25">
      <c r="A3368" s="1" t="str">
        <f t="shared" si="28"/>
        <v>Nai, Ai Lin Karen</v>
      </c>
      <c r="B3368" t="s">
        <v>6853</v>
      </c>
      <c r="C3368" t="s">
        <v>28</v>
      </c>
      <c r="D3368" t="s">
        <v>501</v>
      </c>
      <c r="E3368" t="s">
        <v>8</v>
      </c>
      <c r="F3368" t="s">
        <v>246</v>
      </c>
      <c r="G3368" t="s">
        <v>502</v>
      </c>
      <c r="H3368" t="s">
        <v>503</v>
      </c>
      <c r="I3368" t="s">
        <v>504</v>
      </c>
    </row>
    <row r="3369" spans="1:9" x14ac:dyDescent="0.25">
      <c r="A3369" s="1" t="str">
        <f t="shared" si="28"/>
        <v>Nai, Ai Lin Karen</v>
      </c>
      <c r="B3369" t="s">
        <v>6853</v>
      </c>
      <c r="C3369" t="s">
        <v>28</v>
      </c>
      <c r="D3369" t="s">
        <v>501</v>
      </c>
      <c r="E3369" t="s">
        <v>8</v>
      </c>
      <c r="F3369" t="s">
        <v>246</v>
      </c>
      <c r="G3369" t="s">
        <v>502</v>
      </c>
      <c r="H3369" t="s">
        <v>503</v>
      </c>
      <c r="I3369" t="s">
        <v>505</v>
      </c>
    </row>
    <row r="3370" spans="1:9" x14ac:dyDescent="0.25">
      <c r="A3370" s="1" t="str">
        <f t="shared" si="28"/>
        <v>Nai, Ai Lin Karen</v>
      </c>
      <c r="B3370" t="s">
        <v>6853</v>
      </c>
      <c r="C3370" t="s">
        <v>28</v>
      </c>
      <c r="D3370" t="s">
        <v>501</v>
      </c>
      <c r="E3370" t="s">
        <v>8</v>
      </c>
      <c r="F3370" t="s">
        <v>234</v>
      </c>
      <c r="G3370" t="s">
        <v>502</v>
      </c>
      <c r="H3370" t="s">
        <v>503</v>
      </c>
      <c r="I3370" t="s">
        <v>504</v>
      </c>
    </row>
    <row r="3371" spans="1:9" x14ac:dyDescent="0.25">
      <c r="A3371" s="1" t="str">
        <f t="shared" si="28"/>
        <v>Nai, Ai Lin Karen</v>
      </c>
      <c r="B3371" t="s">
        <v>6853</v>
      </c>
      <c r="C3371" t="s">
        <v>28</v>
      </c>
      <c r="D3371" t="s">
        <v>501</v>
      </c>
      <c r="E3371" t="s">
        <v>8</v>
      </c>
      <c r="F3371" t="s">
        <v>359</v>
      </c>
      <c r="G3371" t="s">
        <v>502</v>
      </c>
      <c r="H3371" t="s">
        <v>503</v>
      </c>
      <c r="I3371" t="s">
        <v>506</v>
      </c>
    </row>
    <row r="3372" spans="1:9" x14ac:dyDescent="0.25">
      <c r="A3372" s="1" t="str">
        <f>HYPERLINK("https://lynxcrm-apac--c.eu19.visual.force.com/0011i000001xoQwAAI","Naing")</f>
        <v>Naing</v>
      </c>
      <c r="B3372" t="s">
        <v>6854</v>
      </c>
      <c r="C3372" t="s">
        <v>28</v>
      </c>
      <c r="D3372" t="s">
        <v>21</v>
      </c>
      <c r="E3372" t="s">
        <v>8</v>
      </c>
      <c r="F3372" t="s">
        <v>699</v>
      </c>
      <c r="G3372" t="s">
        <v>699</v>
      </c>
      <c r="H3372" t="s">
        <v>8</v>
      </c>
      <c r="I3372" t="s">
        <v>22</v>
      </c>
    </row>
    <row r="3373" spans="1:9" x14ac:dyDescent="0.25">
      <c r="A3373" s="1" t="str">
        <f>HYPERLINK("https://lynxcrm-apac--c.eu19.visual.force.com/0011i000001xoQwAAI","Naing")</f>
        <v>Naing</v>
      </c>
      <c r="B3373" t="s">
        <v>6854</v>
      </c>
      <c r="C3373" t="s">
        <v>28</v>
      </c>
      <c r="D3373" t="s">
        <v>20</v>
      </c>
      <c r="E3373" t="s">
        <v>8</v>
      </c>
      <c r="F3373" t="s">
        <v>20</v>
      </c>
      <c r="G3373" t="s">
        <v>21</v>
      </c>
      <c r="H3373" t="s">
        <v>21</v>
      </c>
      <c r="I3373" t="s">
        <v>22</v>
      </c>
    </row>
    <row r="3374" spans="1:9" x14ac:dyDescent="0.25">
      <c r="A3374" s="1" t="str">
        <f>HYPERLINK("https://lynxcrm-apac--c.eu19.visual.force.com/0011i00000Egz9IAAR","Nair, Ravin")</f>
        <v>Nair, Ravin</v>
      </c>
      <c r="B3374" t="s">
        <v>6855</v>
      </c>
      <c r="C3374" t="s">
        <v>28</v>
      </c>
      <c r="D3374" t="s">
        <v>6856</v>
      </c>
      <c r="E3374" t="s">
        <v>8</v>
      </c>
      <c r="F3374" t="s">
        <v>6857</v>
      </c>
      <c r="G3374" t="s">
        <v>6858</v>
      </c>
      <c r="H3374" t="s">
        <v>8</v>
      </c>
      <c r="I3374" t="s">
        <v>6859</v>
      </c>
    </row>
    <row r="3375" spans="1:9" x14ac:dyDescent="0.25">
      <c r="A3375" s="1" t="str">
        <f>HYPERLINK("https://lynxcrm-apac--c.eu19.visual.force.com/0011i000001xoYlAAI","Nair, Ravin")</f>
        <v>Nair, Ravin</v>
      </c>
      <c r="B3375" t="s">
        <v>6860</v>
      </c>
      <c r="C3375" t="s">
        <v>28</v>
      </c>
      <c r="D3375" t="s">
        <v>6861</v>
      </c>
      <c r="E3375" t="s">
        <v>8</v>
      </c>
      <c r="F3375" t="s">
        <v>6559</v>
      </c>
      <c r="G3375" t="s">
        <v>6560</v>
      </c>
      <c r="H3375" t="s">
        <v>6560</v>
      </c>
      <c r="I3375" t="s">
        <v>6561</v>
      </c>
    </row>
    <row r="3376" spans="1:9" x14ac:dyDescent="0.25">
      <c r="A3376" s="1" t="str">
        <f>HYPERLINK("https://lynxcrm-apac--c.eu19.visual.force.com/0011i000001xnnDAAQ","Nair, Sheela")</f>
        <v>Nair, Sheela</v>
      </c>
      <c r="B3376" t="s">
        <v>6862</v>
      </c>
      <c r="C3376" t="s">
        <v>28</v>
      </c>
      <c r="D3376" t="s">
        <v>6863</v>
      </c>
      <c r="E3376" t="s">
        <v>8</v>
      </c>
      <c r="F3376" t="s">
        <v>69</v>
      </c>
      <c r="G3376" t="s">
        <v>65</v>
      </c>
      <c r="H3376" t="s">
        <v>66</v>
      </c>
      <c r="I3376" t="s">
        <v>67</v>
      </c>
    </row>
    <row r="3377" spans="1:9" x14ac:dyDescent="0.25">
      <c r="A3377" s="1" t="str">
        <f>HYPERLINK("https://lynxcrm-apac--c.eu19.visual.force.com/0011i000001xoWtAAI","Nair, Suresh")</f>
        <v>Nair, Suresh</v>
      </c>
      <c r="B3377" t="s">
        <v>6864</v>
      </c>
      <c r="C3377" t="s">
        <v>28</v>
      </c>
      <c r="D3377" t="s">
        <v>6865</v>
      </c>
      <c r="E3377" t="s">
        <v>8</v>
      </c>
      <c r="F3377" t="s">
        <v>6866</v>
      </c>
      <c r="G3377" t="s">
        <v>2021</v>
      </c>
      <c r="H3377" t="s">
        <v>2021</v>
      </c>
      <c r="I3377" t="s">
        <v>344</v>
      </c>
    </row>
    <row r="3378" spans="1:9" x14ac:dyDescent="0.25">
      <c r="A3378" s="1" t="str">
        <f>HYPERLINK("https://lynxcrm-apac--c.eu19.visual.force.com/0011i000001xnnIAAQ","Nair, Vatakkepat Parameswaran")</f>
        <v>Nair, Vatakkepat Parameswaran</v>
      </c>
      <c r="B3378" t="s">
        <v>6867</v>
      </c>
      <c r="C3378" t="s">
        <v>28</v>
      </c>
      <c r="D3378" t="s">
        <v>6868</v>
      </c>
      <c r="E3378" t="s">
        <v>8</v>
      </c>
      <c r="F3378" t="s">
        <v>377</v>
      </c>
      <c r="G3378" t="s">
        <v>6869</v>
      </c>
      <c r="H3378" t="s">
        <v>6870</v>
      </c>
      <c r="I3378" t="s">
        <v>123</v>
      </c>
    </row>
    <row r="3379" spans="1:9" x14ac:dyDescent="0.25">
      <c r="A3379" s="1" t="str">
        <f>HYPERLINK("https://lynxcrm-apac--c.eu19.visual.force.com/0011i000001xn90AAA","Nair Cardiac &amp; Medical Centre")</f>
        <v>Nair Cardiac &amp; Medical Centre</v>
      </c>
      <c r="B3379" t="s">
        <v>6871</v>
      </c>
      <c r="C3379" t="s">
        <v>10</v>
      </c>
      <c r="D3379" t="s">
        <v>8</v>
      </c>
      <c r="E3379" t="s">
        <v>8</v>
      </c>
      <c r="F3379" t="s">
        <v>377</v>
      </c>
      <c r="G3379" t="s">
        <v>6869</v>
      </c>
      <c r="H3379" t="s">
        <v>6870</v>
      </c>
      <c r="I3379" t="s">
        <v>123</v>
      </c>
    </row>
    <row r="3380" spans="1:9" x14ac:dyDescent="0.25">
      <c r="A3380" s="1" t="str">
        <f>HYPERLINK("https://lynxcrm-apac--c.eu19.visual.force.com/0011i000001xoMkAAI","Nalachandra, Sanjay")</f>
        <v>Nalachandra, Sanjay</v>
      </c>
      <c r="B3380" t="s">
        <v>6872</v>
      </c>
      <c r="C3380" t="s">
        <v>28</v>
      </c>
      <c r="D3380" t="s">
        <v>1242</v>
      </c>
      <c r="E3380" t="s">
        <v>8</v>
      </c>
      <c r="F3380" t="s">
        <v>258</v>
      </c>
      <c r="G3380" t="s">
        <v>261</v>
      </c>
      <c r="H3380" t="s">
        <v>261</v>
      </c>
      <c r="I3380" t="s">
        <v>260</v>
      </c>
    </row>
    <row r="3381" spans="1:9" x14ac:dyDescent="0.25">
      <c r="A3381" s="1" t="str">
        <f>HYPERLINK("https://lynxcrm-apac--c.eu19.visual.force.com/0011i000001xoMkAAI","Nalachandra, Sanjay")</f>
        <v>Nalachandra, Sanjay</v>
      </c>
      <c r="B3381" t="s">
        <v>6872</v>
      </c>
      <c r="C3381" t="s">
        <v>28</v>
      </c>
      <c r="D3381" t="s">
        <v>261</v>
      </c>
      <c r="E3381" t="s">
        <v>8</v>
      </c>
      <c r="F3381" t="s">
        <v>261</v>
      </c>
      <c r="G3381" t="s">
        <v>347</v>
      </c>
      <c r="H3381" t="s">
        <v>347</v>
      </c>
      <c r="I3381" t="s">
        <v>260</v>
      </c>
    </row>
    <row r="3382" spans="1:9" x14ac:dyDescent="0.25">
      <c r="A3382" s="1" t="str">
        <f>HYPERLINK("https://lynxcrm-apac--c.eu19.visual.force.com/0011i000001xnnJAAQ","Nalachandran, Arumugam")</f>
        <v>Nalachandran, Arumugam</v>
      </c>
      <c r="B3382" t="s">
        <v>6873</v>
      </c>
      <c r="C3382" t="s">
        <v>28</v>
      </c>
      <c r="D3382" t="s">
        <v>6874</v>
      </c>
      <c r="E3382" t="s">
        <v>8</v>
      </c>
      <c r="F3382" t="s">
        <v>6875</v>
      </c>
      <c r="G3382" t="s">
        <v>6876</v>
      </c>
      <c r="H3382" t="s">
        <v>6877</v>
      </c>
      <c r="I3382" t="s">
        <v>6878</v>
      </c>
    </row>
    <row r="3383" spans="1:9" x14ac:dyDescent="0.25">
      <c r="A3383" s="1" t="str">
        <f>HYPERLINK("https://lynxcrm-apac--c.eu19.visual.force.com/0011i000001xnrhAAA","Nam, Min Fern Alvina")</f>
        <v>Nam, Min Fern Alvina</v>
      </c>
      <c r="B3383" t="s">
        <v>6879</v>
      </c>
      <c r="C3383" t="s">
        <v>28</v>
      </c>
      <c r="D3383" t="s">
        <v>6880</v>
      </c>
      <c r="E3383" t="s">
        <v>8</v>
      </c>
      <c r="F3383" t="s">
        <v>2464</v>
      </c>
      <c r="G3383" t="s">
        <v>2465</v>
      </c>
      <c r="H3383" t="s">
        <v>2465</v>
      </c>
      <c r="I3383" t="s">
        <v>2466</v>
      </c>
    </row>
    <row r="3384" spans="1:9" x14ac:dyDescent="0.25">
      <c r="A3384" s="1" t="str">
        <f>HYPERLINK("https://lynxcrm-apac--c.eu19.visual.force.com/0011i000001xn9CAAQ","Nam Seng Clinic")</f>
        <v>Nam Seng Clinic</v>
      </c>
      <c r="B3384" t="s">
        <v>6881</v>
      </c>
      <c r="C3384" t="s">
        <v>10</v>
      </c>
      <c r="D3384" t="s">
        <v>8</v>
      </c>
      <c r="E3384" t="s">
        <v>8</v>
      </c>
      <c r="F3384" t="s">
        <v>1708</v>
      </c>
      <c r="G3384" t="s">
        <v>6882</v>
      </c>
      <c r="H3384" t="s">
        <v>6882</v>
      </c>
      <c r="I3384" t="s">
        <v>1711</v>
      </c>
    </row>
    <row r="3385" spans="1:9" x14ac:dyDescent="0.25">
      <c r="A3385" s="1" t="str">
        <f>HYPERLINK("https://lynxcrm-apac--c.eu19.visual.force.com/0011i000001xo4aAAA","Nanthini, N Kunaratnam")</f>
        <v>Nanthini, N Kunaratnam</v>
      </c>
      <c r="B3385" t="s">
        <v>6883</v>
      </c>
      <c r="C3385" t="s">
        <v>28</v>
      </c>
      <c r="D3385" t="s">
        <v>514</v>
      </c>
      <c r="E3385" t="s">
        <v>8</v>
      </c>
      <c r="F3385" t="s">
        <v>258</v>
      </c>
      <c r="G3385" t="s">
        <v>261</v>
      </c>
      <c r="H3385" t="s">
        <v>261</v>
      </c>
      <c r="I3385" t="s">
        <v>260</v>
      </c>
    </row>
    <row r="3386" spans="1:9" x14ac:dyDescent="0.25">
      <c r="A3386" s="1" t="str">
        <f>HYPERLINK("https://lynxcrm-apac--c.eu19.visual.force.com/0011i000001xo4aAAA","Nanthini, N Kunaratnam")</f>
        <v>Nanthini, N Kunaratnam</v>
      </c>
      <c r="B3386" t="s">
        <v>6883</v>
      </c>
      <c r="C3386" t="s">
        <v>28</v>
      </c>
      <c r="D3386" t="s">
        <v>261</v>
      </c>
      <c r="E3386" t="s">
        <v>8</v>
      </c>
      <c r="F3386" t="s">
        <v>261</v>
      </c>
      <c r="G3386" t="s">
        <v>347</v>
      </c>
      <c r="H3386" t="s">
        <v>347</v>
      </c>
      <c r="I3386" t="s">
        <v>260</v>
      </c>
    </row>
    <row r="3387" spans="1:9" x14ac:dyDescent="0.25">
      <c r="A3387" s="1" t="str">
        <f>HYPERLINK("https://lynxcrm-apac--c.eu19.visual.force.com/0011i000001xny7AAA","Natarajan, Kathirvel")</f>
        <v>Natarajan, Kathirvel</v>
      </c>
      <c r="B3387" t="s">
        <v>6884</v>
      </c>
      <c r="C3387" t="s">
        <v>28</v>
      </c>
      <c r="D3387" t="s">
        <v>815</v>
      </c>
      <c r="E3387" t="s">
        <v>8</v>
      </c>
      <c r="F3387" t="s">
        <v>816</v>
      </c>
      <c r="G3387" t="s">
        <v>815</v>
      </c>
      <c r="H3387" t="s">
        <v>815</v>
      </c>
      <c r="I3387" t="s">
        <v>817</v>
      </c>
    </row>
    <row r="3388" spans="1:9" x14ac:dyDescent="0.25">
      <c r="A3388" s="1" t="str">
        <f>HYPERLINK("https://lynxcrm-apac--c.eu19.visual.force.com/0011i000001xoAuAAI","Natesan, Selvaganapathi")</f>
        <v>Natesan, Selvaganapathi</v>
      </c>
      <c r="B3388" t="s">
        <v>6885</v>
      </c>
      <c r="C3388" t="s">
        <v>28</v>
      </c>
      <c r="D3388" t="s">
        <v>261</v>
      </c>
      <c r="E3388" t="s">
        <v>8</v>
      </c>
      <c r="F3388" t="s">
        <v>359</v>
      </c>
      <c r="G3388" t="s">
        <v>258</v>
      </c>
      <c r="H3388" t="s">
        <v>259</v>
      </c>
      <c r="I3388" t="s">
        <v>260</v>
      </c>
    </row>
    <row r="3389" spans="1:9" x14ac:dyDescent="0.25">
      <c r="A3389" s="1" t="str">
        <f>HYPERLINK("https://lynxcrm-apac--c.eu19.visual.force.com/0011i000001xmqpAAA","National Cancer Centre")</f>
        <v>National Cancer Centre</v>
      </c>
      <c r="B3389" t="s">
        <v>6886</v>
      </c>
      <c r="C3389" t="s">
        <v>10</v>
      </c>
      <c r="D3389" t="s">
        <v>8</v>
      </c>
      <c r="E3389" t="s">
        <v>8</v>
      </c>
      <c r="F3389" t="s">
        <v>487</v>
      </c>
      <c r="G3389" t="s">
        <v>486</v>
      </c>
      <c r="H3389" t="s">
        <v>486</v>
      </c>
      <c r="I3389" t="s">
        <v>488</v>
      </c>
    </row>
    <row r="3390" spans="1:9" x14ac:dyDescent="0.25">
      <c r="A3390" s="1" t="str">
        <f>HYPERLINK("https://lynxcrm-apac--c.eu19.visual.force.com/0011i000001xmqTAAQ","National Cancer Centre")</f>
        <v>National Cancer Centre</v>
      </c>
      <c r="B3390" t="s">
        <v>6887</v>
      </c>
      <c r="C3390" t="s">
        <v>10</v>
      </c>
      <c r="D3390" t="s">
        <v>8</v>
      </c>
      <c r="E3390" t="s">
        <v>8</v>
      </c>
      <c r="F3390" t="s">
        <v>487</v>
      </c>
      <c r="G3390" t="s">
        <v>486</v>
      </c>
      <c r="H3390" t="s">
        <v>486</v>
      </c>
      <c r="I3390" t="s">
        <v>488</v>
      </c>
    </row>
    <row r="3391" spans="1:9" x14ac:dyDescent="0.25">
      <c r="A3391" s="1" t="str">
        <f>HYPERLINK("https://lynxcrm-apac--c.eu19.visual.force.com/0011i000001xmo4AAA","National Cancer Centre")</f>
        <v>National Cancer Centre</v>
      </c>
      <c r="B3391" t="s">
        <v>6888</v>
      </c>
      <c r="C3391" t="s">
        <v>10</v>
      </c>
      <c r="D3391" t="s">
        <v>8</v>
      </c>
      <c r="E3391" t="s">
        <v>8</v>
      </c>
      <c r="F3391" t="s">
        <v>487</v>
      </c>
      <c r="G3391" t="s">
        <v>486</v>
      </c>
      <c r="H3391" t="s">
        <v>486</v>
      </c>
      <c r="I3391" t="s">
        <v>488</v>
      </c>
    </row>
    <row r="3392" spans="1:9" x14ac:dyDescent="0.25">
      <c r="A3392" s="1" t="str">
        <f>HYPERLINK("https://lynxcrm-apac--c.eu19.visual.force.com/0011i00000Xf13bAAB","National Cancer Centre Singapore")</f>
        <v>National Cancer Centre Singapore</v>
      </c>
      <c r="B3392" t="s">
        <v>6889</v>
      </c>
      <c r="C3392" t="s">
        <v>10</v>
      </c>
      <c r="D3392" t="s">
        <v>8</v>
      </c>
      <c r="E3392" t="s">
        <v>8</v>
      </c>
      <c r="F3392" t="s">
        <v>2028</v>
      </c>
      <c r="G3392" t="s">
        <v>2029</v>
      </c>
      <c r="H3392" t="s">
        <v>8</v>
      </c>
      <c r="I3392" t="s">
        <v>488</v>
      </c>
    </row>
    <row r="3393" spans="1:9" x14ac:dyDescent="0.25">
      <c r="A3393" s="1" t="str">
        <f>HYPERLINK("https://lynxcrm-apac--c.eu19.visual.force.com/0011i000001xmpiAAA","National Heart Centre")</f>
        <v>National Heart Centre</v>
      </c>
      <c r="B3393" t="s">
        <v>6890</v>
      </c>
      <c r="C3393" t="s">
        <v>10</v>
      </c>
      <c r="D3393" t="s">
        <v>8</v>
      </c>
      <c r="E3393" t="s">
        <v>8</v>
      </c>
      <c r="F3393" t="s">
        <v>452</v>
      </c>
      <c r="G3393" t="s">
        <v>452</v>
      </c>
      <c r="H3393" t="s">
        <v>8</v>
      </c>
      <c r="I3393" t="s">
        <v>454</v>
      </c>
    </row>
    <row r="3394" spans="1:9" x14ac:dyDescent="0.25">
      <c r="A3394" s="1" t="str">
        <f>HYPERLINK("https://lynxcrm-apac--c.eu19.visual.force.com/0011i000001xn2RAAQ","National Heart Centre")</f>
        <v>National Heart Centre</v>
      </c>
      <c r="B3394" t="s">
        <v>6891</v>
      </c>
      <c r="C3394" t="s">
        <v>10</v>
      </c>
      <c r="D3394" t="s">
        <v>8</v>
      </c>
      <c r="E3394" t="s">
        <v>8</v>
      </c>
      <c r="F3394" t="s">
        <v>1438</v>
      </c>
      <c r="G3394" t="s">
        <v>452</v>
      </c>
      <c r="H3394" t="s">
        <v>453</v>
      </c>
      <c r="I3394" t="s">
        <v>454</v>
      </c>
    </row>
    <row r="3395" spans="1:9" x14ac:dyDescent="0.25">
      <c r="A3395" s="1" t="str">
        <f>HYPERLINK("https://lynxcrm-apac--c.eu19.visual.force.com/0011i000001xnNbAAI","National Heart Centre")</f>
        <v>National Heart Centre</v>
      </c>
      <c r="B3395" t="s">
        <v>6892</v>
      </c>
      <c r="C3395" t="s">
        <v>10</v>
      </c>
      <c r="D3395" t="s">
        <v>8</v>
      </c>
      <c r="E3395" t="s">
        <v>8</v>
      </c>
      <c r="F3395" t="s">
        <v>234</v>
      </c>
      <c r="G3395" t="s">
        <v>452</v>
      </c>
      <c r="H3395" t="s">
        <v>452</v>
      </c>
      <c r="I3395" t="s">
        <v>454</v>
      </c>
    </row>
    <row r="3396" spans="1:9" x14ac:dyDescent="0.25">
      <c r="A3396" s="1" t="str">
        <f>HYPERLINK("https://lynxcrm-apac--c.eu19.visual.force.com/0011i000001xmgzAAA","National Heart Centre")</f>
        <v>National Heart Centre</v>
      </c>
      <c r="B3396" t="s">
        <v>6893</v>
      </c>
      <c r="C3396" t="s">
        <v>10</v>
      </c>
      <c r="D3396" t="s">
        <v>8</v>
      </c>
      <c r="E3396" t="s">
        <v>8</v>
      </c>
      <c r="F3396" t="s">
        <v>452</v>
      </c>
      <c r="G3396" t="s">
        <v>452</v>
      </c>
      <c r="H3396" t="s">
        <v>453</v>
      </c>
      <c r="I3396" t="s">
        <v>454</v>
      </c>
    </row>
    <row r="3397" spans="1:9" x14ac:dyDescent="0.25">
      <c r="A3397" s="1" t="str">
        <f>HYPERLINK("https://lynxcrm-apac--c.eu19.visual.force.com/0011i000001xmjmAAA","National Heart Centre")</f>
        <v>National Heart Centre</v>
      </c>
      <c r="B3397" t="s">
        <v>6894</v>
      </c>
      <c r="C3397" t="s">
        <v>10</v>
      </c>
      <c r="D3397" t="s">
        <v>8</v>
      </c>
      <c r="E3397" t="s">
        <v>8</v>
      </c>
      <c r="F3397" t="s">
        <v>452</v>
      </c>
      <c r="G3397" t="s">
        <v>449</v>
      </c>
      <c r="H3397" t="s">
        <v>449</v>
      </c>
      <c r="I3397" t="s">
        <v>454</v>
      </c>
    </row>
    <row r="3398" spans="1:9" x14ac:dyDescent="0.25">
      <c r="A3398" s="1" t="str">
        <f>HYPERLINK("https://lynxcrm-apac--c.eu19.visual.force.com/0011i000001xn24AAA","National Heart Centre")</f>
        <v>National Heart Centre</v>
      </c>
      <c r="B3398" t="s">
        <v>6895</v>
      </c>
      <c r="C3398" t="s">
        <v>10</v>
      </c>
      <c r="D3398" t="s">
        <v>8</v>
      </c>
      <c r="E3398" t="s">
        <v>8</v>
      </c>
      <c r="F3398" t="s">
        <v>452</v>
      </c>
      <c r="G3398" t="s">
        <v>449</v>
      </c>
      <c r="H3398" t="s">
        <v>449</v>
      </c>
      <c r="I3398" t="s">
        <v>454</v>
      </c>
    </row>
    <row r="3399" spans="1:9" x14ac:dyDescent="0.25">
      <c r="A3399" s="1" t="str">
        <f>HYPERLINK("https://lynxcrm-apac--c.eu19.visual.force.com/0011i000001xn6kAAA","National Heart Centre")</f>
        <v>National Heart Centre</v>
      </c>
      <c r="B3399" t="s">
        <v>6896</v>
      </c>
      <c r="C3399" t="s">
        <v>10</v>
      </c>
      <c r="D3399" t="s">
        <v>8</v>
      </c>
      <c r="E3399" t="s">
        <v>8</v>
      </c>
      <c r="F3399" t="s">
        <v>6184</v>
      </c>
      <c r="G3399" t="s">
        <v>452</v>
      </c>
      <c r="H3399" t="s">
        <v>452</v>
      </c>
      <c r="I3399" t="s">
        <v>454</v>
      </c>
    </row>
    <row r="3400" spans="1:9" x14ac:dyDescent="0.25">
      <c r="A3400" s="1" t="str">
        <f>HYPERLINK("https://lynxcrm-apac--c.eu19.visual.force.com/0011i000001xmlrAAA","National Neuroscience Institute")</f>
        <v>National Neuroscience Institute</v>
      </c>
      <c r="B3400" t="s">
        <v>6897</v>
      </c>
      <c r="C3400" t="s">
        <v>10</v>
      </c>
      <c r="D3400" t="s">
        <v>8</v>
      </c>
      <c r="E3400" t="s">
        <v>8</v>
      </c>
      <c r="F3400" t="s">
        <v>1263</v>
      </c>
      <c r="G3400" t="s">
        <v>258</v>
      </c>
      <c r="H3400" t="s">
        <v>259</v>
      </c>
      <c r="I3400" t="s">
        <v>260</v>
      </c>
    </row>
    <row r="3401" spans="1:9" x14ac:dyDescent="0.25">
      <c r="A3401" s="1" t="str">
        <f>HYPERLINK("https://lynxcrm-apac--c.eu19.visual.force.com/0011i000001xmuEAAQ","National Neuroscience Institute")</f>
        <v>National Neuroscience Institute</v>
      </c>
      <c r="B3401" t="s">
        <v>6898</v>
      </c>
      <c r="C3401" t="s">
        <v>10</v>
      </c>
      <c r="D3401" t="s">
        <v>8</v>
      </c>
      <c r="E3401" t="s">
        <v>8</v>
      </c>
      <c r="F3401" t="s">
        <v>1263</v>
      </c>
      <c r="G3401" t="s">
        <v>258</v>
      </c>
      <c r="H3401" t="s">
        <v>259</v>
      </c>
      <c r="I3401" t="s">
        <v>260</v>
      </c>
    </row>
    <row r="3402" spans="1:9" x14ac:dyDescent="0.25">
      <c r="A3402" s="1" t="str">
        <f>HYPERLINK("https://lynxcrm-apac--c.eu19.visual.force.com/0011i000001xnPaAAI","National Neuroscience Institute")</f>
        <v>National Neuroscience Institute</v>
      </c>
      <c r="B3402" t="s">
        <v>6899</v>
      </c>
      <c r="C3402" t="s">
        <v>10</v>
      </c>
      <c r="D3402" t="s">
        <v>8</v>
      </c>
      <c r="E3402" t="s">
        <v>8</v>
      </c>
      <c r="F3402" t="s">
        <v>1263</v>
      </c>
      <c r="G3402" t="s">
        <v>258</v>
      </c>
      <c r="H3402" t="s">
        <v>259</v>
      </c>
      <c r="I3402" t="s">
        <v>260</v>
      </c>
    </row>
    <row r="3403" spans="1:9" x14ac:dyDescent="0.25">
      <c r="A3403" s="1" t="str">
        <f>HYPERLINK("https://lynxcrm-apac--c.eu19.visual.force.com/0011i000001xmbCAAQ","National Neuroscience Institute")</f>
        <v>National Neuroscience Institute</v>
      </c>
      <c r="B3403" t="s">
        <v>6900</v>
      </c>
      <c r="C3403" t="s">
        <v>10</v>
      </c>
      <c r="D3403" t="s">
        <v>8</v>
      </c>
      <c r="E3403" t="s">
        <v>8</v>
      </c>
      <c r="F3403" t="s">
        <v>1263</v>
      </c>
      <c r="G3403" t="s">
        <v>258</v>
      </c>
      <c r="H3403" t="s">
        <v>259</v>
      </c>
      <c r="I3403" t="s">
        <v>260</v>
      </c>
    </row>
    <row r="3404" spans="1:9" x14ac:dyDescent="0.25">
      <c r="A3404" s="1" t="str">
        <f>HYPERLINK("https://lynxcrm-apac--c.eu19.visual.force.com/0011i000001xmodAAA","National Neuroscience Institute")</f>
        <v>National Neuroscience Institute</v>
      </c>
      <c r="B3404" t="s">
        <v>6901</v>
      </c>
      <c r="C3404" t="s">
        <v>10</v>
      </c>
      <c r="D3404" t="s">
        <v>8</v>
      </c>
      <c r="E3404" t="s">
        <v>8</v>
      </c>
      <c r="F3404" t="s">
        <v>1263</v>
      </c>
      <c r="G3404" t="s">
        <v>258</v>
      </c>
      <c r="H3404" t="s">
        <v>259</v>
      </c>
      <c r="I3404" t="s">
        <v>260</v>
      </c>
    </row>
    <row r="3405" spans="1:9" x14ac:dyDescent="0.25">
      <c r="A3405" s="1" t="str">
        <f>HYPERLINK("https://lynxcrm-apac--c.eu19.visual.force.com/0011i000001xn5MAAQ","National Neuroscience Institute")</f>
        <v>National Neuroscience Institute</v>
      </c>
      <c r="B3405" t="s">
        <v>6902</v>
      </c>
      <c r="C3405" t="s">
        <v>10</v>
      </c>
      <c r="D3405" t="s">
        <v>8</v>
      </c>
      <c r="E3405" t="s">
        <v>8</v>
      </c>
      <c r="F3405" t="s">
        <v>258</v>
      </c>
      <c r="G3405" t="s">
        <v>258</v>
      </c>
      <c r="H3405" t="s">
        <v>8</v>
      </c>
      <c r="I3405" t="s">
        <v>260</v>
      </c>
    </row>
    <row r="3406" spans="1:9" x14ac:dyDescent="0.25">
      <c r="A3406" s="1" t="str">
        <f>HYPERLINK("https://lynxcrm-apac--c.eu19.visual.force.com/0011i000001xmitAAA","National Neuroscience Institute")</f>
        <v>National Neuroscience Institute</v>
      </c>
      <c r="B3406" t="s">
        <v>6903</v>
      </c>
      <c r="C3406" t="s">
        <v>10</v>
      </c>
      <c r="D3406" t="s">
        <v>8</v>
      </c>
      <c r="E3406" t="s">
        <v>8</v>
      </c>
      <c r="F3406" t="s">
        <v>1263</v>
      </c>
      <c r="G3406" t="s">
        <v>258</v>
      </c>
      <c r="H3406" t="s">
        <v>259</v>
      </c>
      <c r="I3406" t="s">
        <v>260</v>
      </c>
    </row>
    <row r="3407" spans="1:9" x14ac:dyDescent="0.25">
      <c r="A3407" s="1" t="str">
        <f>HYPERLINK("https://lynxcrm-apac--c.eu19.visual.force.com/0011i000001xn5ZAAQ","National Neuroscience Institute")</f>
        <v>National Neuroscience Institute</v>
      </c>
      <c r="B3407" t="s">
        <v>6904</v>
      </c>
      <c r="C3407" t="s">
        <v>10</v>
      </c>
      <c r="D3407" t="s">
        <v>8</v>
      </c>
      <c r="E3407" t="s">
        <v>8</v>
      </c>
      <c r="F3407" t="s">
        <v>258</v>
      </c>
      <c r="G3407" t="s">
        <v>258</v>
      </c>
      <c r="H3407" t="s">
        <v>259</v>
      </c>
      <c r="I3407" t="s">
        <v>253</v>
      </c>
    </row>
    <row r="3408" spans="1:9" x14ac:dyDescent="0.25">
      <c r="A3408" s="1" t="str">
        <f>HYPERLINK("https://lynxcrm-apac--c.eu19.visual.force.com/0011i000001xnSiAAI","National Neuroscience Institute")</f>
        <v>National Neuroscience Institute</v>
      </c>
      <c r="B3408" t="s">
        <v>6905</v>
      </c>
      <c r="C3408" t="s">
        <v>10</v>
      </c>
      <c r="D3408" t="s">
        <v>8</v>
      </c>
      <c r="E3408" t="s">
        <v>8</v>
      </c>
      <c r="F3408" t="s">
        <v>1263</v>
      </c>
      <c r="G3408" t="s">
        <v>258</v>
      </c>
      <c r="H3408" t="s">
        <v>259</v>
      </c>
      <c r="I3408" t="s">
        <v>260</v>
      </c>
    </row>
    <row r="3409" spans="1:9" x14ac:dyDescent="0.25">
      <c r="A3409" s="1" t="str">
        <f>HYPERLINK("https://lynxcrm-apac--c.eu19.visual.force.com/0011i000001xnXBAAY","National Neuroscience Institute")</f>
        <v>National Neuroscience Institute</v>
      </c>
      <c r="B3409" t="s">
        <v>6906</v>
      </c>
      <c r="C3409" t="s">
        <v>10</v>
      </c>
      <c r="D3409" t="s">
        <v>8</v>
      </c>
      <c r="E3409" t="s">
        <v>8</v>
      </c>
      <c r="F3409" t="s">
        <v>1263</v>
      </c>
      <c r="G3409" t="s">
        <v>258</v>
      </c>
      <c r="H3409" t="s">
        <v>258</v>
      </c>
      <c r="I3409" t="s">
        <v>260</v>
      </c>
    </row>
    <row r="3410" spans="1:9" x14ac:dyDescent="0.25">
      <c r="A3410" s="1" t="str">
        <f>HYPERLINK("https://lynxcrm-apac--c.eu19.visual.force.com/0011i000001xnXzAAI","National Neuroscience Institute")</f>
        <v>National Neuroscience Institute</v>
      </c>
      <c r="B3410" t="s">
        <v>6907</v>
      </c>
      <c r="C3410" t="s">
        <v>10</v>
      </c>
      <c r="D3410" t="s">
        <v>8</v>
      </c>
      <c r="E3410" t="s">
        <v>8</v>
      </c>
      <c r="F3410" t="s">
        <v>1263</v>
      </c>
      <c r="G3410" t="s">
        <v>258</v>
      </c>
      <c r="H3410" t="s">
        <v>259</v>
      </c>
      <c r="I3410" t="s">
        <v>260</v>
      </c>
    </row>
    <row r="3411" spans="1:9" x14ac:dyDescent="0.25">
      <c r="A3411" s="1" t="str">
        <f>HYPERLINK("https://lynxcrm-apac--c.eu19.visual.force.com/0011i000001xmh3AAA","National University Hospital")</f>
        <v>National University Hospital</v>
      </c>
      <c r="B3411" t="s">
        <v>6908</v>
      </c>
      <c r="C3411" t="s">
        <v>10</v>
      </c>
      <c r="D3411" t="s">
        <v>8</v>
      </c>
      <c r="E3411" t="s">
        <v>8</v>
      </c>
      <c r="F3411" t="s">
        <v>427</v>
      </c>
      <c r="G3411" t="s">
        <v>428</v>
      </c>
      <c r="H3411" t="s">
        <v>6909</v>
      </c>
      <c r="I3411" t="s">
        <v>430</v>
      </c>
    </row>
    <row r="3412" spans="1:9" x14ac:dyDescent="0.25">
      <c r="A3412" s="1" t="str">
        <f>HYPERLINK("https://lynxcrm-apac--c.eu19.visual.force.com/0011i000001xmqaAAA","National University Hospital")</f>
        <v>National University Hospital</v>
      </c>
      <c r="B3412" t="s">
        <v>6910</v>
      </c>
      <c r="C3412" t="s">
        <v>10</v>
      </c>
      <c r="D3412" t="s">
        <v>8</v>
      </c>
      <c r="E3412" t="s">
        <v>8</v>
      </c>
      <c r="F3412" t="s">
        <v>1263</v>
      </c>
      <c r="G3412" t="s">
        <v>428</v>
      </c>
      <c r="H3412" t="s">
        <v>428</v>
      </c>
      <c r="I3412" t="s">
        <v>430</v>
      </c>
    </row>
    <row r="3413" spans="1:9" x14ac:dyDescent="0.25">
      <c r="A3413" s="1" t="str">
        <f>HYPERLINK("https://lynxcrm-apac--c.eu19.visual.force.com/0011i000001xn0AAAQ","National University Hospital")</f>
        <v>National University Hospital</v>
      </c>
      <c r="B3413" t="s">
        <v>6911</v>
      </c>
      <c r="C3413" t="s">
        <v>10</v>
      </c>
      <c r="D3413" t="s">
        <v>8</v>
      </c>
      <c r="E3413" t="s">
        <v>8</v>
      </c>
      <c r="F3413" t="s">
        <v>234</v>
      </c>
      <c r="G3413" t="s">
        <v>428</v>
      </c>
      <c r="H3413" t="s">
        <v>428</v>
      </c>
      <c r="I3413" t="s">
        <v>430</v>
      </c>
    </row>
    <row r="3414" spans="1:9" x14ac:dyDescent="0.25">
      <c r="A3414" s="1" t="str">
        <f>HYPERLINK("https://lynxcrm-apac--c.eu19.visual.force.com/0011i000001xnARAAY","National University Hospital")</f>
        <v>National University Hospital</v>
      </c>
      <c r="B3414" t="s">
        <v>6912</v>
      </c>
      <c r="C3414" t="s">
        <v>10</v>
      </c>
      <c r="D3414" t="s">
        <v>8</v>
      </c>
      <c r="E3414" t="s">
        <v>8</v>
      </c>
      <c r="F3414" t="s">
        <v>427</v>
      </c>
      <c r="G3414" t="s">
        <v>428</v>
      </c>
      <c r="H3414" t="s">
        <v>1320</v>
      </c>
      <c r="I3414" t="s">
        <v>430</v>
      </c>
    </row>
    <row r="3415" spans="1:9" x14ac:dyDescent="0.25">
      <c r="A3415" s="1" t="str">
        <f>HYPERLINK("https://lynxcrm-apac--c.eu19.visual.force.com/0011i000001xnEnAAI","National University Hospital")</f>
        <v>National University Hospital</v>
      </c>
      <c r="B3415" t="s">
        <v>6913</v>
      </c>
      <c r="C3415" t="s">
        <v>10</v>
      </c>
      <c r="D3415" t="s">
        <v>8</v>
      </c>
      <c r="E3415" t="s">
        <v>8</v>
      </c>
      <c r="F3415" t="s">
        <v>2128</v>
      </c>
      <c r="G3415" t="s">
        <v>428</v>
      </c>
      <c r="H3415" t="s">
        <v>428</v>
      </c>
      <c r="I3415" t="s">
        <v>430</v>
      </c>
    </row>
    <row r="3416" spans="1:9" x14ac:dyDescent="0.25">
      <c r="A3416" s="1" t="str">
        <f>HYPERLINK("https://lynxcrm-apac--c.eu19.visual.force.com/0011i000001xmk3AAA","National University Hospital")</f>
        <v>National University Hospital</v>
      </c>
      <c r="B3416" t="s">
        <v>6914</v>
      </c>
      <c r="C3416" t="s">
        <v>10</v>
      </c>
      <c r="D3416" t="s">
        <v>8</v>
      </c>
      <c r="E3416" t="s">
        <v>8</v>
      </c>
      <c r="F3416" t="s">
        <v>2244</v>
      </c>
      <c r="G3416" t="s">
        <v>428</v>
      </c>
      <c r="H3416" t="s">
        <v>1320</v>
      </c>
      <c r="I3416" t="s">
        <v>430</v>
      </c>
    </row>
    <row r="3417" spans="1:9" x14ac:dyDescent="0.25">
      <c r="A3417" s="1" t="str">
        <f>HYPERLINK("https://lynxcrm-apac--c.eu19.visual.force.com/0011i000001xnMKAAY","National University Hospital")</f>
        <v>National University Hospital</v>
      </c>
      <c r="B3417" t="s">
        <v>6915</v>
      </c>
      <c r="C3417" t="s">
        <v>10</v>
      </c>
      <c r="D3417" t="s">
        <v>8</v>
      </c>
      <c r="E3417" t="s">
        <v>8</v>
      </c>
      <c r="F3417" t="s">
        <v>1450</v>
      </c>
      <c r="G3417" t="s">
        <v>428</v>
      </c>
      <c r="H3417" t="s">
        <v>1320</v>
      </c>
      <c r="I3417" t="s">
        <v>430</v>
      </c>
    </row>
    <row r="3418" spans="1:9" x14ac:dyDescent="0.25">
      <c r="A3418" s="1" t="str">
        <f>HYPERLINK("https://lynxcrm-apac--c.eu19.visual.force.com/0011i000001xnZzAAI","National University Hospital")</f>
        <v>National University Hospital</v>
      </c>
      <c r="B3418" t="s">
        <v>6916</v>
      </c>
      <c r="C3418" t="s">
        <v>10</v>
      </c>
      <c r="D3418" t="s">
        <v>8</v>
      </c>
      <c r="E3418" t="s">
        <v>8</v>
      </c>
      <c r="F3418" t="s">
        <v>3202</v>
      </c>
      <c r="G3418" t="s">
        <v>428</v>
      </c>
      <c r="H3418" t="s">
        <v>428</v>
      </c>
      <c r="I3418" t="s">
        <v>430</v>
      </c>
    </row>
    <row r="3419" spans="1:9" x14ac:dyDescent="0.25">
      <c r="A3419" s="1" t="str">
        <f>HYPERLINK("https://lynxcrm-apac--c.eu19.visual.force.com/0011i000001xmiiAAA","National University Hospital")</f>
        <v>National University Hospital</v>
      </c>
      <c r="B3419" t="s">
        <v>6917</v>
      </c>
      <c r="C3419" t="s">
        <v>10</v>
      </c>
      <c r="D3419" t="s">
        <v>8</v>
      </c>
      <c r="E3419" t="s">
        <v>8</v>
      </c>
      <c r="F3419" t="s">
        <v>246</v>
      </c>
      <c r="G3419" t="s">
        <v>6918</v>
      </c>
      <c r="H3419" t="s">
        <v>6918</v>
      </c>
      <c r="I3419" t="s">
        <v>430</v>
      </c>
    </row>
    <row r="3420" spans="1:9" x14ac:dyDescent="0.25">
      <c r="A3420" s="1" t="str">
        <f>HYPERLINK("https://lynxcrm-apac--c.eu19.visual.force.com/0011i000001xmuUAAQ","National University Hospital")</f>
        <v>National University Hospital</v>
      </c>
      <c r="B3420" t="s">
        <v>6919</v>
      </c>
      <c r="C3420" t="s">
        <v>10</v>
      </c>
      <c r="D3420" t="s">
        <v>8</v>
      </c>
      <c r="E3420" t="s">
        <v>8</v>
      </c>
      <c r="F3420" t="s">
        <v>1263</v>
      </c>
      <c r="G3420" t="s">
        <v>428</v>
      </c>
      <c r="H3420" t="s">
        <v>428</v>
      </c>
      <c r="I3420" t="s">
        <v>430</v>
      </c>
    </row>
    <row r="3421" spans="1:9" x14ac:dyDescent="0.25">
      <c r="A3421" s="1" t="str">
        <f>HYPERLINK("https://lynxcrm-apac--c.eu19.visual.force.com/0011i000001xnE9AAI","National University Hospital")</f>
        <v>National University Hospital</v>
      </c>
      <c r="B3421" t="s">
        <v>6920</v>
      </c>
      <c r="C3421" t="s">
        <v>10</v>
      </c>
      <c r="D3421" t="s">
        <v>8</v>
      </c>
      <c r="E3421" t="s">
        <v>8</v>
      </c>
      <c r="F3421" t="s">
        <v>6921</v>
      </c>
      <c r="G3421" t="s">
        <v>428</v>
      </c>
      <c r="H3421" t="s">
        <v>428</v>
      </c>
      <c r="I3421" t="s">
        <v>430</v>
      </c>
    </row>
    <row r="3422" spans="1:9" x14ac:dyDescent="0.25">
      <c r="A3422" s="1" t="str">
        <f>HYPERLINK("https://lynxcrm-apac--c.eu19.visual.force.com/0011i000001xnGPAAY","National University Hospital")</f>
        <v>National University Hospital</v>
      </c>
      <c r="B3422" t="s">
        <v>6922</v>
      </c>
      <c r="C3422" t="s">
        <v>10</v>
      </c>
      <c r="D3422" t="s">
        <v>8</v>
      </c>
      <c r="E3422" t="s">
        <v>8</v>
      </c>
      <c r="F3422" t="s">
        <v>1263</v>
      </c>
      <c r="G3422" t="s">
        <v>428</v>
      </c>
      <c r="H3422" t="s">
        <v>428</v>
      </c>
      <c r="I3422" t="s">
        <v>430</v>
      </c>
    </row>
    <row r="3423" spans="1:9" x14ac:dyDescent="0.25">
      <c r="A3423" s="1" t="str">
        <f>HYPERLINK("https://lynxcrm-apac--c.eu19.visual.force.com/0011i000001xnPMAAY","National University Hospital")</f>
        <v>National University Hospital</v>
      </c>
      <c r="B3423" t="s">
        <v>6923</v>
      </c>
      <c r="C3423" t="s">
        <v>10</v>
      </c>
      <c r="D3423" t="s">
        <v>8</v>
      </c>
      <c r="E3423" t="s">
        <v>8</v>
      </c>
      <c r="F3423" t="s">
        <v>2128</v>
      </c>
      <c r="G3423" t="s">
        <v>428</v>
      </c>
      <c r="H3423" t="s">
        <v>1320</v>
      </c>
      <c r="I3423" t="s">
        <v>430</v>
      </c>
    </row>
    <row r="3424" spans="1:9" x14ac:dyDescent="0.25">
      <c r="A3424" s="1" t="str">
        <f>HYPERLINK("https://lynxcrm-apac--c.eu19.visual.force.com/0011i000001xnYIAAY","National University Hospital")</f>
        <v>National University Hospital</v>
      </c>
      <c r="B3424" t="s">
        <v>6924</v>
      </c>
      <c r="C3424" t="s">
        <v>10</v>
      </c>
      <c r="D3424" t="s">
        <v>8</v>
      </c>
      <c r="E3424" t="s">
        <v>8</v>
      </c>
      <c r="F3424" t="s">
        <v>6925</v>
      </c>
      <c r="G3424" t="s">
        <v>428</v>
      </c>
      <c r="H3424" t="s">
        <v>428</v>
      </c>
      <c r="I3424" t="s">
        <v>430</v>
      </c>
    </row>
    <row r="3425" spans="1:9" x14ac:dyDescent="0.25">
      <c r="A3425" s="1" t="str">
        <f>HYPERLINK("https://lynxcrm-apac--c.eu19.visual.force.com/0011i000001xnYxAAI","National University Hospital")</f>
        <v>National University Hospital</v>
      </c>
      <c r="B3425" t="s">
        <v>6926</v>
      </c>
      <c r="C3425" t="s">
        <v>10</v>
      </c>
      <c r="D3425" t="s">
        <v>8</v>
      </c>
      <c r="E3425" t="s">
        <v>8</v>
      </c>
      <c r="F3425" t="s">
        <v>246</v>
      </c>
      <c r="G3425" t="s">
        <v>428</v>
      </c>
      <c r="H3425" t="s">
        <v>1320</v>
      </c>
      <c r="I3425" t="s">
        <v>430</v>
      </c>
    </row>
    <row r="3426" spans="1:9" x14ac:dyDescent="0.25">
      <c r="A3426" s="1" t="str">
        <f>HYPERLINK("https://lynxcrm-apac--c.eu19.visual.force.com/0011i000001xnYyAAI","National University Hospital")</f>
        <v>National University Hospital</v>
      </c>
      <c r="B3426" t="s">
        <v>6927</v>
      </c>
      <c r="C3426" t="s">
        <v>10</v>
      </c>
      <c r="D3426" t="s">
        <v>8</v>
      </c>
      <c r="E3426" t="s">
        <v>8</v>
      </c>
      <c r="F3426" t="s">
        <v>1450</v>
      </c>
      <c r="G3426" t="s">
        <v>428</v>
      </c>
      <c r="H3426" t="s">
        <v>428</v>
      </c>
      <c r="I3426" t="s">
        <v>430</v>
      </c>
    </row>
    <row r="3427" spans="1:9" x14ac:dyDescent="0.25">
      <c r="A3427" s="1" t="str">
        <f>HYPERLINK("https://lynxcrm-apac--c.eu19.visual.force.com/0011i000001xmo6AAA","National University Hospital")</f>
        <v>National University Hospital</v>
      </c>
      <c r="B3427" t="s">
        <v>6928</v>
      </c>
      <c r="C3427" t="s">
        <v>10</v>
      </c>
      <c r="D3427" t="s">
        <v>8</v>
      </c>
      <c r="E3427" t="s">
        <v>8</v>
      </c>
      <c r="F3427" t="s">
        <v>1274</v>
      </c>
      <c r="G3427" t="s">
        <v>444</v>
      </c>
      <c r="H3427" t="s">
        <v>444</v>
      </c>
      <c r="I3427" t="s">
        <v>430</v>
      </c>
    </row>
    <row r="3428" spans="1:9" x14ac:dyDescent="0.25">
      <c r="A3428" s="1" t="str">
        <f>HYPERLINK("https://lynxcrm-apac--c.eu19.visual.force.com/0011i000001xnbTAAQ","National University Hospital")</f>
        <v>National University Hospital</v>
      </c>
      <c r="B3428" t="s">
        <v>6929</v>
      </c>
      <c r="C3428" t="s">
        <v>10</v>
      </c>
      <c r="D3428" t="s">
        <v>8</v>
      </c>
      <c r="E3428" t="s">
        <v>8</v>
      </c>
      <c r="F3428" t="s">
        <v>427</v>
      </c>
      <c r="G3428" t="s">
        <v>428</v>
      </c>
      <c r="H3428" t="s">
        <v>1320</v>
      </c>
      <c r="I3428" t="s">
        <v>430</v>
      </c>
    </row>
    <row r="3429" spans="1:9" x14ac:dyDescent="0.25">
      <c r="A3429" s="1" t="str">
        <f>HYPERLINK("https://lynxcrm-apac--c.eu19.visual.force.com/0011i000001xmjLAAQ","National University Hospital Pte Ltd")</f>
        <v>National University Hospital Pte Ltd</v>
      </c>
      <c r="B3429" t="s">
        <v>6930</v>
      </c>
      <c r="C3429" t="s">
        <v>10</v>
      </c>
      <c r="D3429" t="s">
        <v>8</v>
      </c>
      <c r="E3429" t="s">
        <v>8</v>
      </c>
      <c r="F3429" t="s">
        <v>444</v>
      </c>
      <c r="G3429" t="s">
        <v>3573</v>
      </c>
      <c r="H3429" t="s">
        <v>3573</v>
      </c>
      <c r="I3429" t="s">
        <v>430</v>
      </c>
    </row>
    <row r="3430" spans="1:9" x14ac:dyDescent="0.25">
      <c r="A3430" s="1" t="str">
        <f>HYPERLINK("https://lynxcrm-apac--c.eu19.visual.force.com/0011i000001xmxMAAQ","National University Hospital Pte Ltd")</f>
        <v>National University Hospital Pte Ltd</v>
      </c>
      <c r="B3430" t="s">
        <v>6931</v>
      </c>
      <c r="C3430" t="s">
        <v>10</v>
      </c>
      <c r="D3430" t="s">
        <v>8</v>
      </c>
      <c r="E3430" t="s">
        <v>8</v>
      </c>
      <c r="F3430" t="s">
        <v>3573</v>
      </c>
      <c r="G3430" t="s">
        <v>444</v>
      </c>
      <c r="H3430" t="s">
        <v>1320</v>
      </c>
      <c r="I3430" t="s">
        <v>430</v>
      </c>
    </row>
    <row r="3431" spans="1:9" x14ac:dyDescent="0.25">
      <c r="A3431" s="1" t="str">
        <f>HYPERLINK("https://lynxcrm-apac--c.eu19.visual.force.com/0011i000001xnXcAAI","National University of Singapore")</f>
        <v>National University of Singapore</v>
      </c>
      <c r="B3431" t="s">
        <v>6932</v>
      </c>
      <c r="C3431" t="s">
        <v>10</v>
      </c>
      <c r="D3431" t="s">
        <v>8</v>
      </c>
      <c r="E3431" t="s">
        <v>8</v>
      </c>
      <c r="F3431" t="s">
        <v>6933</v>
      </c>
      <c r="G3431" t="s">
        <v>6934</v>
      </c>
      <c r="H3431" t="s">
        <v>6935</v>
      </c>
      <c r="I3431" t="s">
        <v>6936</v>
      </c>
    </row>
    <row r="3432" spans="1:9" x14ac:dyDescent="0.25">
      <c r="A3432" s="1" t="str">
        <f>HYPERLINK("https://lynxcrm-apac--c.eu19.visual.force.com/0011i000001xmubAAA","National University of Singapore")</f>
        <v>National University of Singapore</v>
      </c>
      <c r="B3432" t="s">
        <v>6937</v>
      </c>
      <c r="C3432" t="s">
        <v>10</v>
      </c>
      <c r="D3432" t="s">
        <v>8</v>
      </c>
      <c r="E3432" t="s">
        <v>8</v>
      </c>
      <c r="F3432" t="s">
        <v>6938</v>
      </c>
      <c r="G3432" t="s">
        <v>6939</v>
      </c>
      <c r="H3432" t="s">
        <v>6939</v>
      </c>
      <c r="I3432" t="s">
        <v>6940</v>
      </c>
    </row>
    <row r="3433" spans="1:9" x14ac:dyDescent="0.25">
      <c r="A3433" s="1" t="str">
        <f>HYPERLINK("https://lynxcrm-apac--c.eu19.visual.force.com/0011i000001xnOeAAI","National University Of Singapore")</f>
        <v>National University Of Singapore</v>
      </c>
      <c r="B3433" t="s">
        <v>6941</v>
      </c>
      <c r="C3433" t="s">
        <v>10</v>
      </c>
      <c r="D3433" t="s">
        <v>8</v>
      </c>
      <c r="E3433" t="s">
        <v>8</v>
      </c>
      <c r="F3433" t="s">
        <v>2214</v>
      </c>
      <c r="G3433" t="s">
        <v>2215</v>
      </c>
      <c r="H3433" t="s">
        <v>2216</v>
      </c>
      <c r="I3433" t="s">
        <v>2217</v>
      </c>
    </row>
    <row r="3434" spans="1:9" x14ac:dyDescent="0.25">
      <c r="A3434" s="1" t="str">
        <f>HYPERLINK("https://lynxcrm-apac--c.eu19.visual.force.com/0011i000001xmvqAAA","National Unversity Hospital")</f>
        <v>National Unversity Hospital</v>
      </c>
      <c r="B3434" t="s">
        <v>6942</v>
      </c>
      <c r="C3434" t="s">
        <v>10</v>
      </c>
      <c r="D3434" t="s">
        <v>8</v>
      </c>
      <c r="E3434" t="s">
        <v>8</v>
      </c>
      <c r="F3434" t="s">
        <v>246</v>
      </c>
      <c r="G3434" t="s">
        <v>444</v>
      </c>
      <c r="H3434" t="s">
        <v>444</v>
      </c>
      <c r="I3434" t="s">
        <v>430</v>
      </c>
    </row>
    <row r="3435" spans="1:9" x14ac:dyDescent="0.25">
      <c r="A3435" s="1" t="str">
        <f>HYPERLINK("https://lynxcrm-apac--c.eu19.visual.force.com/0011i000001xnhiAAA","Navin, Kuthiran")</f>
        <v>Navin, Kuthiran</v>
      </c>
      <c r="B3435" t="s">
        <v>6943</v>
      </c>
      <c r="C3435" t="s">
        <v>28</v>
      </c>
      <c r="D3435" t="s">
        <v>261</v>
      </c>
      <c r="E3435" t="s">
        <v>8</v>
      </c>
      <c r="F3435" t="s">
        <v>261</v>
      </c>
      <c r="G3435" t="s">
        <v>347</v>
      </c>
      <c r="H3435" t="s">
        <v>347</v>
      </c>
      <c r="I3435" t="s">
        <v>260</v>
      </c>
    </row>
    <row r="3436" spans="1:9" x14ac:dyDescent="0.25">
      <c r="A3436" s="1" t="str">
        <f>HYPERLINK("https://lynxcrm-apac--c.eu19.visual.force.com/0011i000007DNJJAA4","Nazlee, Mohd")</f>
        <v>Nazlee, Mohd</v>
      </c>
      <c r="B3436" t="s">
        <v>6944</v>
      </c>
      <c r="C3436" t="s">
        <v>28</v>
      </c>
      <c r="D3436" t="s">
        <v>709</v>
      </c>
      <c r="E3436" t="s">
        <v>8</v>
      </c>
      <c r="F3436" t="s">
        <v>710</v>
      </c>
      <c r="G3436" t="s">
        <v>135</v>
      </c>
      <c r="H3436" t="s">
        <v>135</v>
      </c>
      <c r="I3436" t="s">
        <v>711</v>
      </c>
    </row>
    <row r="3437" spans="1:9" x14ac:dyDescent="0.25">
      <c r="A3437" s="1" t="str">
        <f>HYPERLINK("https://lynxcrm-apac--c.eu19.visual.force.com/0011i000001xnjQAAQ","Neelakshi, Dilmini Kalambaarachchi")</f>
        <v>Neelakshi, Dilmini Kalambaarachchi</v>
      </c>
      <c r="B3437" t="s">
        <v>6945</v>
      </c>
      <c r="C3437" t="s">
        <v>28</v>
      </c>
      <c r="D3437" t="s">
        <v>1126</v>
      </c>
      <c r="E3437" t="s">
        <v>8</v>
      </c>
      <c r="F3437" t="s">
        <v>994</v>
      </c>
      <c r="G3437" t="s">
        <v>995</v>
      </c>
      <c r="H3437" t="s">
        <v>995</v>
      </c>
      <c r="I3437" t="s">
        <v>996</v>
      </c>
    </row>
    <row r="3438" spans="1:9" x14ac:dyDescent="0.25">
      <c r="A3438" s="1" t="str">
        <f>HYPERLINK("https://lynxcrm-apac--c.eu19.visual.force.com/0011i000001xnDVAAY","Nee Soon Clinic")</f>
        <v>Nee Soon Clinic</v>
      </c>
      <c r="B3438" t="s">
        <v>6946</v>
      </c>
      <c r="C3438" t="s">
        <v>10</v>
      </c>
      <c r="D3438" t="s">
        <v>8</v>
      </c>
      <c r="E3438" t="s">
        <v>8</v>
      </c>
      <c r="F3438" t="s">
        <v>6399</v>
      </c>
      <c r="G3438" t="s">
        <v>6400</v>
      </c>
      <c r="H3438" t="s">
        <v>6947</v>
      </c>
      <c r="I3438" t="s">
        <v>6402</v>
      </c>
    </row>
    <row r="3439" spans="1:9" x14ac:dyDescent="0.25">
      <c r="A3439" s="1" t="str">
        <f>HYPERLINK("https://lynxcrm-apac--c.eu19.visual.force.com/0011i000001xnnLAAQ","Nei, I-Ping")</f>
        <v>Nei, I-Ping</v>
      </c>
      <c r="B3439" t="s">
        <v>6948</v>
      </c>
      <c r="C3439" t="s">
        <v>28</v>
      </c>
      <c r="D3439" t="s">
        <v>6949</v>
      </c>
      <c r="E3439" t="s">
        <v>8</v>
      </c>
      <c r="F3439" t="s">
        <v>377</v>
      </c>
      <c r="G3439" t="s">
        <v>6950</v>
      </c>
      <c r="H3439" t="s">
        <v>6950</v>
      </c>
      <c r="I3439" t="s">
        <v>123</v>
      </c>
    </row>
    <row r="3440" spans="1:9" x14ac:dyDescent="0.25">
      <c r="A3440" s="1" t="str">
        <f t="shared" ref="A3440:A3445" si="29">HYPERLINK("https://lynxcrm-apac--c.eu19.visual.force.com/0011i000001xo66AAA","Nei, Karen")</f>
        <v>Nei, Karen</v>
      </c>
      <c r="B3440" t="s">
        <v>6951</v>
      </c>
      <c r="C3440" t="s">
        <v>28</v>
      </c>
      <c r="D3440" t="s">
        <v>501</v>
      </c>
      <c r="E3440" t="s">
        <v>8</v>
      </c>
      <c r="F3440" t="s">
        <v>501</v>
      </c>
      <c r="G3440" t="s">
        <v>502</v>
      </c>
      <c r="H3440" t="s">
        <v>502</v>
      </c>
      <c r="I3440" t="s">
        <v>506</v>
      </c>
    </row>
    <row r="3441" spans="1:9" x14ac:dyDescent="0.25">
      <c r="A3441" s="1" t="str">
        <f t="shared" si="29"/>
        <v>Nei, Karen</v>
      </c>
      <c r="B3441" t="s">
        <v>6951</v>
      </c>
      <c r="C3441" t="s">
        <v>28</v>
      </c>
      <c r="D3441" t="s">
        <v>501</v>
      </c>
      <c r="E3441" t="s">
        <v>8</v>
      </c>
      <c r="F3441" t="s">
        <v>502</v>
      </c>
      <c r="G3441" t="s">
        <v>502</v>
      </c>
      <c r="H3441" t="s">
        <v>503</v>
      </c>
      <c r="I3441" t="s">
        <v>504</v>
      </c>
    </row>
    <row r="3442" spans="1:9" x14ac:dyDescent="0.25">
      <c r="A3442" s="1" t="str">
        <f t="shared" si="29"/>
        <v>Nei, Karen</v>
      </c>
      <c r="B3442" t="s">
        <v>6951</v>
      </c>
      <c r="C3442" t="s">
        <v>28</v>
      </c>
      <c r="D3442" t="s">
        <v>501</v>
      </c>
      <c r="E3442" t="s">
        <v>8</v>
      </c>
      <c r="F3442" t="s">
        <v>246</v>
      </c>
      <c r="G3442" t="s">
        <v>502</v>
      </c>
      <c r="H3442" t="s">
        <v>503</v>
      </c>
      <c r="I3442" t="s">
        <v>504</v>
      </c>
    </row>
    <row r="3443" spans="1:9" x14ac:dyDescent="0.25">
      <c r="A3443" s="1" t="str">
        <f t="shared" si="29"/>
        <v>Nei, Karen</v>
      </c>
      <c r="B3443" t="s">
        <v>6951</v>
      </c>
      <c r="C3443" t="s">
        <v>28</v>
      </c>
      <c r="D3443" t="s">
        <v>501</v>
      </c>
      <c r="E3443" t="s">
        <v>8</v>
      </c>
      <c r="F3443" t="s">
        <v>246</v>
      </c>
      <c r="G3443" t="s">
        <v>502</v>
      </c>
      <c r="H3443" t="s">
        <v>503</v>
      </c>
      <c r="I3443" t="s">
        <v>505</v>
      </c>
    </row>
    <row r="3444" spans="1:9" x14ac:dyDescent="0.25">
      <c r="A3444" s="1" t="str">
        <f t="shared" si="29"/>
        <v>Nei, Karen</v>
      </c>
      <c r="B3444" t="s">
        <v>6951</v>
      </c>
      <c r="C3444" t="s">
        <v>28</v>
      </c>
      <c r="D3444" t="s">
        <v>501</v>
      </c>
      <c r="E3444" t="s">
        <v>8</v>
      </c>
      <c r="F3444" t="s">
        <v>234</v>
      </c>
      <c r="G3444" t="s">
        <v>502</v>
      </c>
      <c r="H3444" t="s">
        <v>503</v>
      </c>
      <c r="I3444" t="s">
        <v>504</v>
      </c>
    </row>
    <row r="3445" spans="1:9" x14ac:dyDescent="0.25">
      <c r="A3445" s="1" t="str">
        <f t="shared" si="29"/>
        <v>Nei, Karen</v>
      </c>
      <c r="B3445" t="s">
        <v>6951</v>
      </c>
      <c r="C3445" t="s">
        <v>28</v>
      </c>
      <c r="D3445" t="s">
        <v>501</v>
      </c>
      <c r="E3445" t="s">
        <v>8</v>
      </c>
      <c r="F3445" t="s">
        <v>359</v>
      </c>
      <c r="G3445" t="s">
        <v>502</v>
      </c>
      <c r="H3445" t="s">
        <v>503</v>
      </c>
      <c r="I3445" t="s">
        <v>506</v>
      </c>
    </row>
    <row r="3446" spans="1:9" x14ac:dyDescent="0.25">
      <c r="A3446" s="1" t="str">
        <f>HYPERLINK("https://lynxcrm-apac--c.eu19.visual.force.com/0011i000001xnC0AAI","Neighbourhood Clinic")</f>
        <v>Neighbourhood Clinic</v>
      </c>
      <c r="B3446" t="s">
        <v>6952</v>
      </c>
      <c r="C3446" t="s">
        <v>10</v>
      </c>
      <c r="D3446" t="s">
        <v>8</v>
      </c>
      <c r="E3446" t="s">
        <v>8</v>
      </c>
      <c r="F3446" t="s">
        <v>6167</v>
      </c>
      <c r="G3446" t="s">
        <v>6168</v>
      </c>
      <c r="H3446" t="s">
        <v>6168</v>
      </c>
      <c r="I3446" t="s">
        <v>6169</v>
      </c>
    </row>
    <row r="3447" spans="1:9" x14ac:dyDescent="0.25">
      <c r="A3447" s="1" t="str">
        <f>HYPERLINK("https://lynxcrm-apac--c.eu19.visual.force.com/0011i000001xn5vAAA","Neighbourhood Clinic")</f>
        <v>Neighbourhood Clinic</v>
      </c>
      <c r="B3447" t="s">
        <v>6953</v>
      </c>
      <c r="C3447" t="s">
        <v>10</v>
      </c>
      <c r="D3447" t="s">
        <v>8</v>
      </c>
      <c r="E3447" t="s">
        <v>8</v>
      </c>
      <c r="F3447" t="s">
        <v>4928</v>
      </c>
      <c r="G3447" t="s">
        <v>1343</v>
      </c>
      <c r="H3447" t="s">
        <v>1343</v>
      </c>
      <c r="I3447" t="s">
        <v>4931</v>
      </c>
    </row>
    <row r="3448" spans="1:9" x14ac:dyDescent="0.25">
      <c r="A3448" s="1" t="str">
        <f>HYPERLINK("https://lynxcrm-apac--c.eu19.visual.force.com/0011i000001xnL2AAI","Neighbourhood Medical Clinic Pte Ltd")</f>
        <v>Neighbourhood Medical Clinic Pte Ltd</v>
      </c>
      <c r="B3448" t="s">
        <v>6954</v>
      </c>
      <c r="C3448" t="s">
        <v>10</v>
      </c>
      <c r="D3448" t="s">
        <v>8</v>
      </c>
      <c r="E3448" t="s">
        <v>8</v>
      </c>
      <c r="F3448" t="s">
        <v>6955</v>
      </c>
      <c r="G3448" t="s">
        <v>6956</v>
      </c>
      <c r="H3448" t="s">
        <v>6957</v>
      </c>
      <c r="I3448" t="s">
        <v>1061</v>
      </c>
    </row>
    <row r="3449" spans="1:9" x14ac:dyDescent="0.25">
      <c r="A3449" s="1" t="str">
        <f>HYPERLINK("https://lynxcrm-apac--c.eu19.visual.force.com/0011i000007FG4qAAG","Neo, Alvin Kiah Yong")</f>
        <v>Neo, Alvin Kiah Yong</v>
      </c>
      <c r="B3449" t="s">
        <v>6958</v>
      </c>
      <c r="C3449" t="s">
        <v>28</v>
      </c>
      <c r="D3449" t="s">
        <v>6959</v>
      </c>
      <c r="E3449" t="s">
        <v>8</v>
      </c>
      <c r="F3449" t="s">
        <v>6960</v>
      </c>
      <c r="G3449" t="s">
        <v>6961</v>
      </c>
      <c r="H3449" t="s">
        <v>8</v>
      </c>
      <c r="I3449" t="s">
        <v>6962</v>
      </c>
    </row>
    <row r="3450" spans="1:9" x14ac:dyDescent="0.25">
      <c r="A3450" s="1" t="str">
        <f>HYPERLINK("https://lynxcrm-apac--c.eu19.visual.force.com/0011i000001xnnMAAQ","Neo, Ban Leong Ben")</f>
        <v>Neo, Ban Leong Ben</v>
      </c>
      <c r="B3450" t="s">
        <v>6963</v>
      </c>
      <c r="C3450" t="s">
        <v>28</v>
      </c>
      <c r="D3450" t="s">
        <v>6964</v>
      </c>
      <c r="E3450" t="s">
        <v>8</v>
      </c>
      <c r="F3450" t="s">
        <v>377</v>
      </c>
      <c r="G3450" t="s">
        <v>384</v>
      </c>
      <c r="H3450" t="s">
        <v>384</v>
      </c>
      <c r="I3450" t="s">
        <v>123</v>
      </c>
    </row>
    <row r="3451" spans="1:9" x14ac:dyDescent="0.25">
      <c r="A3451" s="1" t="str">
        <f>HYPERLINK("https://lynxcrm-apac--c.eu19.visual.force.com/0011i000001xo0IAAQ","Neo, Hui Shan Shirlyn")</f>
        <v>Neo, Hui Shan Shirlyn</v>
      </c>
      <c r="B3451" t="s">
        <v>6965</v>
      </c>
      <c r="C3451" t="s">
        <v>28</v>
      </c>
      <c r="D3451" t="s">
        <v>261</v>
      </c>
      <c r="E3451" t="s">
        <v>8</v>
      </c>
      <c r="F3451" t="s">
        <v>261</v>
      </c>
      <c r="G3451" t="s">
        <v>347</v>
      </c>
      <c r="H3451" t="s">
        <v>347</v>
      </c>
      <c r="I3451" t="s">
        <v>260</v>
      </c>
    </row>
    <row r="3452" spans="1:9" x14ac:dyDescent="0.25">
      <c r="A3452" s="1" t="str">
        <f>HYPERLINK("https://lynxcrm-apac--c.eu19.visual.force.com/0011i000001xnnOAAQ","Neo, Tiam Soon")</f>
        <v>Neo, Tiam Soon</v>
      </c>
      <c r="B3452" t="s">
        <v>6966</v>
      </c>
      <c r="C3452" t="s">
        <v>28</v>
      </c>
      <c r="D3452" t="s">
        <v>6967</v>
      </c>
      <c r="E3452" t="s">
        <v>8</v>
      </c>
      <c r="F3452" t="s">
        <v>6968</v>
      </c>
      <c r="G3452" t="s">
        <v>6969</v>
      </c>
      <c r="H3452" t="s">
        <v>6970</v>
      </c>
      <c r="I3452" t="s">
        <v>6971</v>
      </c>
    </row>
    <row r="3453" spans="1:9" x14ac:dyDescent="0.25">
      <c r="A3453" s="1" t="str">
        <f>HYPERLINK("https://lynxcrm-apac--c.eu19.visual.force.com/0011i000001xnnPAAQ","Neo, Wee Suan")</f>
        <v>Neo, Wee Suan</v>
      </c>
      <c r="B3453" t="s">
        <v>6972</v>
      </c>
      <c r="C3453" t="s">
        <v>28</v>
      </c>
      <c r="D3453" t="s">
        <v>6973</v>
      </c>
      <c r="E3453" t="s">
        <v>8</v>
      </c>
      <c r="F3453" t="s">
        <v>2807</v>
      </c>
      <c r="G3453" t="s">
        <v>2808</v>
      </c>
      <c r="H3453" t="s">
        <v>2809</v>
      </c>
      <c r="I3453" t="s">
        <v>2810</v>
      </c>
    </row>
    <row r="3454" spans="1:9" x14ac:dyDescent="0.25">
      <c r="A3454" s="1" t="str">
        <f>HYPERLINK("https://lynxcrm-apac--c.eu19.visual.force.com/0011i000001xoGEAAY","Neo, Wen Yang")</f>
        <v>Neo, Wen Yang</v>
      </c>
      <c r="B3454" t="s">
        <v>6974</v>
      </c>
      <c r="C3454" t="s">
        <v>28</v>
      </c>
      <c r="D3454" t="s">
        <v>583</v>
      </c>
      <c r="E3454" t="s">
        <v>8</v>
      </c>
      <c r="F3454" t="s">
        <v>583</v>
      </c>
      <c r="G3454" t="s">
        <v>584</v>
      </c>
      <c r="H3454" t="s">
        <v>584</v>
      </c>
      <c r="I3454" t="s">
        <v>585</v>
      </c>
    </row>
    <row r="3455" spans="1:9" x14ac:dyDescent="0.25">
      <c r="A3455" s="1" t="str">
        <f>HYPERLINK("https://lynxcrm-apac--c.eu19.visual.force.com/0011i000001xmwYAAQ","Neo Clinic &amp; Surgery")</f>
        <v>Neo Clinic &amp; Surgery</v>
      </c>
      <c r="B3455" t="s">
        <v>6975</v>
      </c>
      <c r="C3455" t="s">
        <v>10</v>
      </c>
      <c r="D3455" t="s">
        <v>8</v>
      </c>
      <c r="E3455" t="s">
        <v>8</v>
      </c>
      <c r="F3455" t="s">
        <v>6976</v>
      </c>
      <c r="G3455" t="s">
        <v>6977</v>
      </c>
      <c r="H3455" t="s">
        <v>6978</v>
      </c>
      <c r="I3455" t="s">
        <v>6979</v>
      </c>
    </row>
    <row r="3456" spans="1:9" x14ac:dyDescent="0.25">
      <c r="A3456" s="1" t="str">
        <f>HYPERLINK("https://lynxcrm-apac--c.eu19.visual.force.com/0011i000001xnnRAAQ","Neoh, Swee San Linda")</f>
        <v>Neoh, Swee San Linda</v>
      </c>
      <c r="B3456" t="s">
        <v>6980</v>
      </c>
      <c r="C3456" t="s">
        <v>28</v>
      </c>
      <c r="D3456" t="s">
        <v>6981</v>
      </c>
      <c r="E3456" t="s">
        <v>8</v>
      </c>
      <c r="F3456" t="s">
        <v>6982</v>
      </c>
      <c r="G3456" t="s">
        <v>6983</v>
      </c>
      <c r="H3456" t="s">
        <v>6984</v>
      </c>
      <c r="I3456" t="s">
        <v>6985</v>
      </c>
    </row>
    <row r="3457" spans="1:9" x14ac:dyDescent="0.25">
      <c r="A3457" s="1" t="str">
        <f>HYPERLINK("https://lynxcrm-apac--c.eu19.visual.force.com/0011i000001xmwZAAQ","Neoh &amp; Ong Medical Clinic")</f>
        <v>Neoh &amp; Ong Medical Clinic</v>
      </c>
      <c r="B3457" t="s">
        <v>6986</v>
      </c>
      <c r="C3457" t="s">
        <v>10</v>
      </c>
      <c r="D3457" t="s">
        <v>8</v>
      </c>
      <c r="E3457" t="s">
        <v>8</v>
      </c>
      <c r="F3457" t="s">
        <v>6982</v>
      </c>
      <c r="G3457" t="s">
        <v>6983</v>
      </c>
      <c r="H3457" t="s">
        <v>6984</v>
      </c>
      <c r="I3457" t="s">
        <v>6985</v>
      </c>
    </row>
    <row r="3458" spans="1:9" x14ac:dyDescent="0.25">
      <c r="A3458" s="1" t="str">
        <f>HYPERLINK("https://lynxcrm-apac--c.eu19.visual.force.com/0011i000001xndUAAQ","Neoh &amp; Ong Medical Clinic")</f>
        <v>Neoh &amp; Ong Medical Clinic</v>
      </c>
      <c r="B3458" t="s">
        <v>6987</v>
      </c>
      <c r="C3458" t="s">
        <v>10</v>
      </c>
      <c r="D3458" t="s">
        <v>8</v>
      </c>
      <c r="E3458" t="s">
        <v>8</v>
      </c>
      <c r="F3458" t="s">
        <v>6982</v>
      </c>
      <c r="G3458" t="s">
        <v>6983</v>
      </c>
      <c r="H3458" t="s">
        <v>6984</v>
      </c>
      <c r="I3458" t="s">
        <v>6985</v>
      </c>
    </row>
    <row r="3459" spans="1:9" x14ac:dyDescent="0.25">
      <c r="A3459" s="1" t="str">
        <f>HYPERLINK("https://lynxcrm-apac--c.eu19.visual.force.com/0011i000001xnZqAAI","Neo Medical Centre")</f>
        <v>Neo Medical Centre</v>
      </c>
      <c r="B3459" t="s">
        <v>6988</v>
      </c>
      <c r="C3459" t="s">
        <v>10</v>
      </c>
      <c r="D3459" t="s">
        <v>8</v>
      </c>
      <c r="E3459" t="s">
        <v>8</v>
      </c>
      <c r="F3459" t="s">
        <v>6968</v>
      </c>
      <c r="G3459" t="s">
        <v>6969</v>
      </c>
      <c r="H3459" t="s">
        <v>6970</v>
      </c>
      <c r="I3459" t="s">
        <v>6971</v>
      </c>
    </row>
    <row r="3460" spans="1:9" x14ac:dyDescent="0.25">
      <c r="A3460" s="1" t="str">
        <f>HYPERLINK("https://lynxcrm-apac--c.eu19.visual.force.com/0011i000001xn87AAA","Neurological Surgery")</f>
        <v>Neurological Surgery</v>
      </c>
      <c r="B3460" t="s">
        <v>6989</v>
      </c>
      <c r="C3460" t="s">
        <v>10</v>
      </c>
      <c r="D3460" t="s">
        <v>8</v>
      </c>
      <c r="E3460" t="s">
        <v>8</v>
      </c>
      <c r="F3460" t="s">
        <v>377</v>
      </c>
      <c r="G3460" t="s">
        <v>4836</v>
      </c>
      <c r="H3460" t="s">
        <v>4836</v>
      </c>
      <c r="I3460" t="s">
        <v>123</v>
      </c>
    </row>
    <row r="3461" spans="1:9" x14ac:dyDescent="0.25">
      <c r="A3461" s="1" t="str">
        <f>HYPERLINK("https://lynxcrm-apac--c.eu19.visual.force.com/0011i000001xmv7AAA","Neurology And Neurophysiology Clinic")</f>
        <v>Neurology And Neurophysiology Clinic</v>
      </c>
      <c r="B3461" t="s">
        <v>6990</v>
      </c>
      <c r="C3461" t="s">
        <v>10</v>
      </c>
      <c r="D3461" t="s">
        <v>8</v>
      </c>
      <c r="E3461" t="s">
        <v>8</v>
      </c>
      <c r="F3461" t="s">
        <v>463</v>
      </c>
      <c r="G3461" t="s">
        <v>6991</v>
      </c>
      <c r="H3461" t="s">
        <v>6992</v>
      </c>
      <c r="I3461" t="s">
        <v>466</v>
      </c>
    </row>
    <row r="3462" spans="1:9" x14ac:dyDescent="0.25">
      <c r="A3462" s="1" t="str">
        <f>HYPERLINK("https://lynxcrm-apac--c.eu19.visual.force.com/0011i00000eV10eAAC","Neuropsychiatry Associates")</f>
        <v>Neuropsychiatry Associates</v>
      </c>
      <c r="B3462" t="s">
        <v>6993</v>
      </c>
      <c r="C3462" t="s">
        <v>10</v>
      </c>
      <c r="D3462" t="s">
        <v>8</v>
      </c>
      <c r="E3462" t="s">
        <v>8</v>
      </c>
      <c r="F3462" t="s">
        <v>6994</v>
      </c>
      <c r="G3462" t="s">
        <v>377</v>
      </c>
      <c r="H3462" t="s">
        <v>8</v>
      </c>
      <c r="I3462" t="s">
        <v>123</v>
      </c>
    </row>
    <row r="3463" spans="1:9" x14ac:dyDescent="0.25">
      <c r="A3463" s="1" t="str">
        <f>HYPERLINK("https://lynxcrm-apac--c.eu19.visual.force.com/0011i000001xmfGAAQ","Neuroscience centre")</f>
        <v>Neuroscience centre</v>
      </c>
      <c r="B3463" t="s">
        <v>6995</v>
      </c>
      <c r="C3463" t="s">
        <v>10</v>
      </c>
      <c r="D3463" t="s">
        <v>8</v>
      </c>
      <c r="E3463" t="s">
        <v>8</v>
      </c>
      <c r="F3463" t="s">
        <v>6838</v>
      </c>
      <c r="G3463" t="s">
        <v>163</v>
      </c>
      <c r="H3463" t="s">
        <v>163</v>
      </c>
      <c r="I3463" t="s">
        <v>165</v>
      </c>
    </row>
    <row r="3464" spans="1:9" x14ac:dyDescent="0.25">
      <c r="A3464" s="1" t="str">
        <f>HYPERLINK("https://lynxcrm-apac--c.eu19.visual.force.com/0011i000001xmjsAAA","Neuroscience Clinic")</f>
        <v>Neuroscience Clinic</v>
      </c>
      <c r="B3464" t="s">
        <v>6996</v>
      </c>
      <c r="C3464" t="s">
        <v>10</v>
      </c>
      <c r="D3464" t="s">
        <v>8</v>
      </c>
      <c r="E3464" t="s">
        <v>8</v>
      </c>
      <c r="F3464" t="s">
        <v>164</v>
      </c>
      <c r="G3464" t="s">
        <v>163</v>
      </c>
      <c r="H3464" t="s">
        <v>163</v>
      </c>
      <c r="I3464" t="s">
        <v>165</v>
      </c>
    </row>
    <row r="3465" spans="1:9" x14ac:dyDescent="0.25">
      <c r="A3465" s="1" t="str">
        <f>HYPERLINK("https://lynxcrm-apac--c.eu19.visual.force.com/0011i000001xmviAAA","Neurosurgery International")</f>
        <v>Neurosurgery International</v>
      </c>
      <c r="B3465" t="s">
        <v>6997</v>
      </c>
      <c r="C3465" t="s">
        <v>10</v>
      </c>
      <c r="D3465" t="s">
        <v>8</v>
      </c>
      <c r="E3465" t="s">
        <v>8</v>
      </c>
      <c r="F3465" t="s">
        <v>6998</v>
      </c>
      <c r="G3465" t="s">
        <v>6999</v>
      </c>
      <c r="H3465" t="s">
        <v>6999</v>
      </c>
      <c r="I3465" t="s">
        <v>466</v>
      </c>
    </row>
    <row r="3466" spans="1:9" x14ac:dyDescent="0.25">
      <c r="A3466" s="1" t="str">
        <f>HYPERLINK("https://lynxcrm-apac--c.eu19.visual.force.com/0011i000001xnc5AAA","Newcastle Clinic")</f>
        <v>Newcastle Clinic</v>
      </c>
      <c r="B3466" t="s">
        <v>7000</v>
      </c>
      <c r="C3466" t="s">
        <v>10</v>
      </c>
      <c r="D3466" t="s">
        <v>8</v>
      </c>
      <c r="E3466" t="s">
        <v>8</v>
      </c>
      <c r="F3466" t="s">
        <v>2896</v>
      </c>
      <c r="G3466" t="s">
        <v>7001</v>
      </c>
      <c r="H3466" t="s">
        <v>7002</v>
      </c>
      <c r="I3466" t="s">
        <v>2899</v>
      </c>
    </row>
    <row r="3467" spans="1:9" x14ac:dyDescent="0.25">
      <c r="A3467" s="1" t="str">
        <f>HYPERLINK("https://lynxcrm-apac--c.eu19.visual.force.com/0011i000001xnV5AAI","New City Skin Clinic")</f>
        <v>New City Skin Clinic</v>
      </c>
      <c r="B3467" t="s">
        <v>7003</v>
      </c>
      <c r="C3467" t="s">
        <v>10</v>
      </c>
      <c r="D3467" t="s">
        <v>8</v>
      </c>
      <c r="E3467" t="s">
        <v>8</v>
      </c>
      <c r="F3467" t="s">
        <v>6303</v>
      </c>
      <c r="G3467" t="s">
        <v>7004</v>
      </c>
      <c r="H3467" t="s">
        <v>7004</v>
      </c>
      <c r="I3467" t="s">
        <v>6030</v>
      </c>
    </row>
    <row r="3468" spans="1:9" x14ac:dyDescent="0.25">
      <c r="A3468" s="1" t="str">
        <f>HYPERLINK("https://lynxcrm-apac--c.eu19.visual.force.com/0011i000001xmr2AAA","New Life Clinic")</f>
        <v>New Life Clinic</v>
      </c>
      <c r="B3468" t="s">
        <v>7005</v>
      </c>
      <c r="C3468" t="s">
        <v>10</v>
      </c>
      <c r="D3468" t="s">
        <v>8</v>
      </c>
      <c r="E3468" t="s">
        <v>8</v>
      </c>
      <c r="F3468" t="s">
        <v>3072</v>
      </c>
      <c r="G3468" t="s">
        <v>3073</v>
      </c>
      <c r="H3468" t="s">
        <v>3073</v>
      </c>
      <c r="I3468" t="s">
        <v>3074</v>
      </c>
    </row>
    <row r="3469" spans="1:9" x14ac:dyDescent="0.25">
      <c r="A3469" s="1" t="str">
        <f>HYPERLINK("https://lynxcrm-apac--c.eu19.visual.force.com/0011i000001xn1fAAA","Newlife Family Clinic &amp; Surgery")</f>
        <v>Newlife Family Clinic &amp; Surgery</v>
      </c>
      <c r="B3469" t="s">
        <v>7006</v>
      </c>
      <c r="C3469" t="s">
        <v>10</v>
      </c>
      <c r="D3469" t="s">
        <v>8</v>
      </c>
      <c r="E3469" t="s">
        <v>8</v>
      </c>
      <c r="F3469" t="s">
        <v>1746</v>
      </c>
      <c r="G3469" t="s">
        <v>1515</v>
      </c>
      <c r="H3469" t="s">
        <v>7007</v>
      </c>
      <c r="I3469" t="s">
        <v>1748</v>
      </c>
    </row>
    <row r="3470" spans="1:9" x14ac:dyDescent="0.25">
      <c r="A3470" s="1" t="str">
        <f>HYPERLINK("https://lynxcrm-apac--c.eu19.visual.force.com/0011i000001xn38AAA","New World Clinic &amp; Surgery")</f>
        <v>New World Clinic &amp; Surgery</v>
      </c>
      <c r="B3470" t="s">
        <v>7008</v>
      </c>
      <c r="C3470" t="s">
        <v>10</v>
      </c>
      <c r="D3470" t="s">
        <v>8</v>
      </c>
      <c r="E3470" t="s">
        <v>8</v>
      </c>
      <c r="F3470" t="s">
        <v>7009</v>
      </c>
      <c r="G3470" t="s">
        <v>7010</v>
      </c>
      <c r="H3470" t="s">
        <v>7010</v>
      </c>
      <c r="I3470" t="s">
        <v>7011</v>
      </c>
    </row>
    <row r="3471" spans="1:9" x14ac:dyDescent="0.25">
      <c r="A3471" s="1" t="str">
        <f>HYPERLINK("https://lynxcrm-apac--c.eu19.visual.force.com/0011i000001xnciAAA","Nexus Surgical Associates")</f>
        <v>Nexus Surgical Associates</v>
      </c>
      <c r="B3471" t="s">
        <v>7012</v>
      </c>
      <c r="C3471" t="s">
        <v>10</v>
      </c>
      <c r="D3471" t="s">
        <v>8</v>
      </c>
      <c r="E3471" t="s">
        <v>8</v>
      </c>
      <c r="F3471" t="s">
        <v>5721</v>
      </c>
      <c r="G3471" t="s">
        <v>121</v>
      </c>
      <c r="H3471" t="s">
        <v>121</v>
      </c>
      <c r="I3471" t="s">
        <v>123</v>
      </c>
    </row>
    <row r="3472" spans="1:9" x14ac:dyDescent="0.25">
      <c r="A3472" s="1" t="str">
        <f>HYPERLINK("https://lynxcrm-apac--c.eu19.visual.force.com/0011i000001xnVuAAI","Nexus Surgical Associates")</f>
        <v>Nexus Surgical Associates</v>
      </c>
      <c r="B3472" t="s">
        <v>7013</v>
      </c>
      <c r="C3472" t="s">
        <v>10</v>
      </c>
      <c r="D3472" t="s">
        <v>8</v>
      </c>
      <c r="E3472" t="s">
        <v>8</v>
      </c>
      <c r="F3472" t="s">
        <v>7014</v>
      </c>
      <c r="G3472" t="s">
        <v>6105</v>
      </c>
      <c r="H3472" t="s">
        <v>6105</v>
      </c>
      <c r="I3472" t="s">
        <v>123</v>
      </c>
    </row>
    <row r="3473" spans="1:9" x14ac:dyDescent="0.25">
      <c r="A3473" s="1" t="str">
        <f>HYPERLINK("https://lynxcrm-apac--c.eu19.visual.force.com/0011i000001xnnSAAQ","Ng, Ang Lee Richard")</f>
        <v>Ng, Ang Lee Richard</v>
      </c>
      <c r="B3473" t="s">
        <v>7015</v>
      </c>
      <c r="C3473" t="s">
        <v>28</v>
      </c>
      <c r="D3473" t="s">
        <v>7016</v>
      </c>
      <c r="E3473" t="s">
        <v>8</v>
      </c>
      <c r="F3473" t="s">
        <v>377</v>
      </c>
      <c r="G3473" t="s">
        <v>1050</v>
      </c>
      <c r="H3473" t="s">
        <v>1051</v>
      </c>
      <c r="I3473" t="s">
        <v>123</v>
      </c>
    </row>
    <row r="3474" spans="1:9" x14ac:dyDescent="0.25">
      <c r="A3474" s="1" t="str">
        <f>HYPERLINK("https://lynxcrm-apac--c.eu19.visual.force.com/0011i000001xoYZAAY","Ng, Bee Lim")</f>
        <v>Ng, Bee Lim</v>
      </c>
      <c r="B3474" t="s">
        <v>7017</v>
      </c>
      <c r="C3474" t="s">
        <v>28</v>
      </c>
      <c r="D3474" t="s">
        <v>1242</v>
      </c>
      <c r="E3474" t="s">
        <v>8</v>
      </c>
      <c r="F3474" t="s">
        <v>163</v>
      </c>
      <c r="G3474" t="s">
        <v>164</v>
      </c>
      <c r="H3474" t="s">
        <v>164</v>
      </c>
      <c r="I3474" t="s">
        <v>165</v>
      </c>
    </row>
    <row r="3475" spans="1:9" x14ac:dyDescent="0.25">
      <c r="A3475" s="1" t="str">
        <f>HYPERLINK("https://lynxcrm-apac--c.eu19.visual.force.com/0011i000001xoZ5AAI","Ng, Beng Hua")</f>
        <v>Ng, Beng Hua</v>
      </c>
      <c r="B3475" t="s">
        <v>7018</v>
      </c>
      <c r="C3475" t="s">
        <v>28</v>
      </c>
      <c r="D3475" t="s">
        <v>701</v>
      </c>
      <c r="E3475" t="s">
        <v>8</v>
      </c>
      <c r="F3475" t="s">
        <v>1123</v>
      </c>
      <c r="G3475" t="s">
        <v>1123</v>
      </c>
      <c r="H3475" t="s">
        <v>8</v>
      </c>
      <c r="I3475" t="s">
        <v>703</v>
      </c>
    </row>
    <row r="3476" spans="1:9" x14ac:dyDescent="0.25">
      <c r="A3476" s="1" t="str">
        <f>HYPERLINK("https://lynxcrm-apac--c.eu19.visual.force.com/0011i000001xnnTAAQ","Ng, Beng Tong")</f>
        <v>Ng, Beng Tong</v>
      </c>
      <c r="B3476" t="s">
        <v>7019</v>
      </c>
      <c r="C3476" t="s">
        <v>28</v>
      </c>
      <c r="D3476" t="s">
        <v>7020</v>
      </c>
      <c r="E3476" t="s">
        <v>8</v>
      </c>
      <c r="F3476" t="s">
        <v>990</v>
      </c>
      <c r="G3476" t="s">
        <v>991</v>
      </c>
      <c r="H3476" t="s">
        <v>991</v>
      </c>
      <c r="I3476" t="s">
        <v>992</v>
      </c>
    </row>
    <row r="3477" spans="1:9" x14ac:dyDescent="0.25">
      <c r="A3477" s="1" t="str">
        <f>HYPERLINK("https://lynxcrm-apac--c.eu19.visual.force.com/0011i000001xo4dAAA","Ng, Beng Yeong")</f>
        <v>Ng, Beng Yeong</v>
      </c>
      <c r="B3477" t="s">
        <v>7021</v>
      </c>
      <c r="C3477" t="s">
        <v>28</v>
      </c>
      <c r="D3477" t="s">
        <v>7022</v>
      </c>
      <c r="E3477" t="s">
        <v>8</v>
      </c>
      <c r="F3477" t="s">
        <v>7023</v>
      </c>
      <c r="G3477" t="s">
        <v>121</v>
      </c>
      <c r="H3477" t="s">
        <v>121</v>
      </c>
      <c r="I3477" t="s">
        <v>123</v>
      </c>
    </row>
    <row r="3478" spans="1:9" x14ac:dyDescent="0.25">
      <c r="A3478" s="1" t="str">
        <f>HYPERLINK("https://lynxcrm-apac--c.eu19.visual.force.com/0011i000001xo12AAA","Ng, Chee Chin David")</f>
        <v>Ng, Chee Chin David</v>
      </c>
      <c r="B3478" t="s">
        <v>7024</v>
      </c>
      <c r="C3478" t="s">
        <v>28</v>
      </c>
      <c r="D3478" t="s">
        <v>1164</v>
      </c>
      <c r="E3478" t="s">
        <v>8</v>
      </c>
      <c r="F3478" t="s">
        <v>1165</v>
      </c>
      <c r="G3478" t="s">
        <v>1166</v>
      </c>
      <c r="H3478" t="s">
        <v>1166</v>
      </c>
      <c r="I3478" t="s">
        <v>1167</v>
      </c>
    </row>
    <row r="3479" spans="1:9" x14ac:dyDescent="0.25">
      <c r="A3479" s="1" t="str">
        <f>HYPERLINK("https://lynxcrm-apac--c.eu19.visual.force.com/0011i000001xnnVAAQ","Ng, Chee Lian Lawrence")</f>
        <v>Ng, Chee Lian Lawrence</v>
      </c>
      <c r="B3479" t="s">
        <v>7025</v>
      </c>
      <c r="C3479" t="s">
        <v>28</v>
      </c>
      <c r="D3479" t="s">
        <v>7026</v>
      </c>
      <c r="E3479" t="s">
        <v>8</v>
      </c>
      <c r="F3479" t="s">
        <v>3183</v>
      </c>
      <c r="G3479" t="s">
        <v>3170</v>
      </c>
      <c r="H3479" t="s">
        <v>3170</v>
      </c>
      <c r="I3479" t="s">
        <v>3184</v>
      </c>
    </row>
    <row r="3480" spans="1:9" x14ac:dyDescent="0.25">
      <c r="A3480" s="1" t="str">
        <f>HYPERLINK("https://lynxcrm-apac--c.eu19.visual.force.com/0011i000001xnnWAAQ","Ng, Chee Ming Eugene")</f>
        <v>Ng, Chee Ming Eugene</v>
      </c>
      <c r="B3480" t="s">
        <v>7027</v>
      </c>
      <c r="C3480" t="s">
        <v>28</v>
      </c>
      <c r="D3480" t="s">
        <v>7028</v>
      </c>
      <c r="E3480" t="s">
        <v>8</v>
      </c>
      <c r="F3480" t="s">
        <v>4335</v>
      </c>
      <c r="G3480" t="s">
        <v>4336</v>
      </c>
      <c r="H3480" t="s">
        <v>4336</v>
      </c>
      <c r="I3480" t="s">
        <v>4298</v>
      </c>
    </row>
    <row r="3481" spans="1:9" x14ac:dyDescent="0.25">
      <c r="A3481" s="1" t="str">
        <f>HYPERLINK("https://lynxcrm-apac--c.eu19.visual.force.com/0011i000001xo4iAAA","Ng, Chee Mun Christopher")</f>
        <v>Ng, Chee Mun Christopher</v>
      </c>
      <c r="B3481" t="s">
        <v>7029</v>
      </c>
      <c r="C3481" t="s">
        <v>28</v>
      </c>
      <c r="D3481" t="s">
        <v>7030</v>
      </c>
      <c r="E3481" t="s">
        <v>8</v>
      </c>
      <c r="F3481" t="s">
        <v>3844</v>
      </c>
      <c r="G3481" t="s">
        <v>3845</v>
      </c>
      <c r="H3481" t="s">
        <v>3846</v>
      </c>
      <c r="I3481" t="s">
        <v>51</v>
      </c>
    </row>
    <row r="3482" spans="1:9" x14ac:dyDescent="0.25">
      <c r="A3482" s="1" t="str">
        <f>HYPERLINK("https://lynxcrm-apac--c.eu19.visual.force.com/0011i000001xoOAAAY","Ng, Chee Yung")</f>
        <v>Ng, Chee Yung</v>
      </c>
      <c r="B3482" t="s">
        <v>7031</v>
      </c>
      <c r="C3482" t="s">
        <v>28</v>
      </c>
      <c r="D3482" t="s">
        <v>7032</v>
      </c>
      <c r="E3482" t="s">
        <v>8</v>
      </c>
      <c r="F3482" t="s">
        <v>7033</v>
      </c>
      <c r="G3482" t="s">
        <v>2490</v>
      </c>
      <c r="H3482" t="s">
        <v>2490</v>
      </c>
      <c r="I3482" t="s">
        <v>344</v>
      </c>
    </row>
    <row r="3483" spans="1:9" x14ac:dyDescent="0.25">
      <c r="A3483" s="1" t="str">
        <f>HYPERLINK("https://lynxcrm-apac--c.eu19.visual.force.com/0011i000001xngmAAA","Ng, Chia Hau")</f>
        <v>Ng, Chia Hau</v>
      </c>
      <c r="B3483" t="s">
        <v>7034</v>
      </c>
      <c r="C3483" t="s">
        <v>28</v>
      </c>
      <c r="D3483" t="s">
        <v>1661</v>
      </c>
      <c r="E3483" t="s">
        <v>8</v>
      </c>
      <c r="F3483" t="s">
        <v>627</v>
      </c>
      <c r="G3483" t="s">
        <v>628</v>
      </c>
      <c r="H3483" t="s">
        <v>628</v>
      </c>
      <c r="I3483" t="s">
        <v>624</v>
      </c>
    </row>
    <row r="3484" spans="1:9" x14ac:dyDescent="0.25">
      <c r="A3484" s="1" t="str">
        <f>HYPERLINK("https://lynxcrm-apac--c.eu19.visual.force.com/0011i000001xoJ7AAI","Ng, Cho Eng")</f>
        <v>Ng, Cho Eng</v>
      </c>
      <c r="B3484" t="s">
        <v>7035</v>
      </c>
      <c r="C3484" t="s">
        <v>28</v>
      </c>
      <c r="D3484" t="s">
        <v>7036</v>
      </c>
      <c r="E3484" t="s">
        <v>8</v>
      </c>
      <c r="F3484" t="s">
        <v>7037</v>
      </c>
      <c r="G3484" t="s">
        <v>7038</v>
      </c>
      <c r="H3484" t="s">
        <v>7039</v>
      </c>
      <c r="I3484" t="s">
        <v>7040</v>
      </c>
    </row>
    <row r="3485" spans="1:9" x14ac:dyDescent="0.25">
      <c r="A3485" s="1" t="str">
        <f>HYPERLINK("https://lynxcrm-apac--c.eu19.visual.force.com/0011i000001xoMjAAI","Ng, Chong Lich Leslie")</f>
        <v>Ng, Chong Lich Leslie</v>
      </c>
      <c r="B3485" t="s">
        <v>7041</v>
      </c>
      <c r="C3485" t="s">
        <v>28</v>
      </c>
      <c r="D3485" t="s">
        <v>427</v>
      </c>
      <c r="E3485" t="s">
        <v>8</v>
      </c>
      <c r="F3485" t="s">
        <v>261</v>
      </c>
      <c r="G3485" t="s">
        <v>347</v>
      </c>
      <c r="H3485" t="s">
        <v>347</v>
      </c>
      <c r="I3485" t="s">
        <v>415</v>
      </c>
    </row>
    <row r="3486" spans="1:9" x14ac:dyDescent="0.25">
      <c r="A3486" s="1" t="str">
        <f>HYPERLINK("https://lynxcrm-apac--c.eu19.visual.force.com/0011i000001xnnaAAA","Ng, Choon Hee")</f>
        <v>Ng, Choon Hee</v>
      </c>
      <c r="B3486" t="s">
        <v>7042</v>
      </c>
      <c r="C3486" t="s">
        <v>28</v>
      </c>
      <c r="D3486" t="s">
        <v>7043</v>
      </c>
      <c r="E3486" t="s">
        <v>8</v>
      </c>
      <c r="F3486" t="s">
        <v>3344</v>
      </c>
      <c r="G3486" t="s">
        <v>4808</v>
      </c>
      <c r="H3486" t="s">
        <v>7044</v>
      </c>
      <c r="I3486" t="s">
        <v>3338</v>
      </c>
    </row>
    <row r="3487" spans="1:9" x14ac:dyDescent="0.25">
      <c r="A3487" s="1" t="str">
        <f>HYPERLINK("https://lynxcrm-apac--c.eu19.visual.force.com/0011i000001xo8kAAA","Ng, Choon Yong")</f>
        <v>Ng, Choon Yong</v>
      </c>
      <c r="B3487" t="s">
        <v>7045</v>
      </c>
      <c r="C3487" t="s">
        <v>28</v>
      </c>
      <c r="D3487" t="s">
        <v>7046</v>
      </c>
      <c r="E3487" t="s">
        <v>8</v>
      </c>
      <c r="F3487" t="s">
        <v>1067</v>
      </c>
      <c r="G3487" t="s">
        <v>1068</v>
      </c>
      <c r="H3487" t="s">
        <v>1068</v>
      </c>
      <c r="I3487" t="s">
        <v>1069</v>
      </c>
    </row>
    <row r="3488" spans="1:9" x14ac:dyDescent="0.25">
      <c r="A3488" s="1" t="str">
        <f>HYPERLINK("https://lynxcrm-apac--c.eu19.visual.force.com/0011i000001xo8lAAA","Ng, Chung Wai")</f>
        <v>Ng, Chung Wai</v>
      </c>
      <c r="B3488" t="s">
        <v>7047</v>
      </c>
      <c r="C3488" t="s">
        <v>28</v>
      </c>
      <c r="D3488" t="s">
        <v>928</v>
      </c>
      <c r="E3488" t="s">
        <v>8</v>
      </c>
      <c r="F3488" t="s">
        <v>753</v>
      </c>
      <c r="G3488" t="s">
        <v>929</v>
      </c>
      <c r="H3488" t="s">
        <v>139</v>
      </c>
      <c r="I3488" t="s">
        <v>137</v>
      </c>
    </row>
    <row r="3489" spans="1:9" x14ac:dyDescent="0.25">
      <c r="A3489" s="1" t="str">
        <f>HYPERLINK("https://lynxcrm-apac--c.eu19.visual.force.com/0011i000001xobDAAQ","Ng, Donald")</f>
        <v>Ng, Donald</v>
      </c>
      <c r="B3489" t="s">
        <v>7048</v>
      </c>
      <c r="C3489" t="s">
        <v>28</v>
      </c>
      <c r="D3489" t="s">
        <v>7049</v>
      </c>
      <c r="E3489" t="s">
        <v>8</v>
      </c>
      <c r="F3489" t="s">
        <v>218</v>
      </c>
      <c r="G3489" t="s">
        <v>219</v>
      </c>
      <c r="H3489" t="s">
        <v>219</v>
      </c>
      <c r="I3489" t="s">
        <v>220</v>
      </c>
    </row>
    <row r="3490" spans="1:9" x14ac:dyDescent="0.25">
      <c r="A3490" s="1" t="str">
        <f>HYPERLINK("https://lynxcrm-apac--c.eu19.visual.force.com/0011i000001xon0AAA","Ng, Ee Hsiang")</f>
        <v>Ng, Ee Hsiang</v>
      </c>
      <c r="B3490" t="s">
        <v>7050</v>
      </c>
      <c r="C3490" t="s">
        <v>28</v>
      </c>
      <c r="D3490" t="s">
        <v>7051</v>
      </c>
      <c r="E3490" t="s">
        <v>8</v>
      </c>
      <c r="F3490" t="s">
        <v>7052</v>
      </c>
      <c r="G3490" t="s">
        <v>3065</v>
      </c>
      <c r="H3490" t="s">
        <v>3065</v>
      </c>
      <c r="I3490" t="s">
        <v>3066</v>
      </c>
    </row>
    <row r="3491" spans="1:9" x14ac:dyDescent="0.25">
      <c r="A3491" s="1" t="str">
        <f>HYPERLINK("https://lynxcrm-apac--c.eu19.visual.force.com/0011i000001xnnbAAA","Ng, Eik Tiong")</f>
        <v>Ng, Eik Tiong</v>
      </c>
      <c r="B3491" t="s">
        <v>7053</v>
      </c>
      <c r="C3491" t="s">
        <v>28</v>
      </c>
      <c r="D3491" t="s">
        <v>7054</v>
      </c>
      <c r="E3491" t="s">
        <v>8</v>
      </c>
      <c r="F3491" t="s">
        <v>1718</v>
      </c>
      <c r="G3491" t="s">
        <v>3119</v>
      </c>
      <c r="H3491" t="s">
        <v>3119</v>
      </c>
      <c r="I3491" t="s">
        <v>1721</v>
      </c>
    </row>
    <row r="3492" spans="1:9" x14ac:dyDescent="0.25">
      <c r="A3492" s="1" t="str">
        <f>HYPERLINK("https://lynxcrm-apac--c.eu19.visual.force.com/0011i000001xnncAAA","Ng, Eng Chan")</f>
        <v>Ng, Eng Chan</v>
      </c>
      <c r="B3492" t="s">
        <v>7055</v>
      </c>
      <c r="C3492" t="s">
        <v>28</v>
      </c>
      <c r="D3492" t="s">
        <v>7056</v>
      </c>
      <c r="E3492" t="s">
        <v>8</v>
      </c>
      <c r="F3492" t="s">
        <v>7057</v>
      </c>
      <c r="G3492" t="s">
        <v>7058</v>
      </c>
      <c r="H3492" t="s">
        <v>7058</v>
      </c>
      <c r="I3492" t="s">
        <v>7059</v>
      </c>
    </row>
    <row r="3493" spans="1:9" x14ac:dyDescent="0.25">
      <c r="A3493" s="1" t="str">
        <f>HYPERLINK("https://lynxcrm-apac--c.eu19.visual.force.com/0011i000001xo4kAAA","Ng, Foo Cheong")</f>
        <v>Ng, Foo Cheong</v>
      </c>
      <c r="B3493" t="s">
        <v>7060</v>
      </c>
      <c r="C3493" t="s">
        <v>28</v>
      </c>
      <c r="D3493" t="s">
        <v>583</v>
      </c>
      <c r="E3493" t="s">
        <v>8</v>
      </c>
      <c r="F3493" t="s">
        <v>583</v>
      </c>
      <c r="G3493" t="s">
        <v>584</v>
      </c>
      <c r="H3493" t="s">
        <v>584</v>
      </c>
      <c r="I3493" t="s">
        <v>585</v>
      </c>
    </row>
    <row r="3494" spans="1:9" x14ac:dyDescent="0.25">
      <c r="A3494" s="1" t="str">
        <f>HYPERLINK("https://lynxcrm-apac--c.eu19.visual.force.com/0011i000001xo4kAAA","Ng, Foo Cheong")</f>
        <v>Ng, Foo Cheong</v>
      </c>
      <c r="B3494" t="s">
        <v>7060</v>
      </c>
      <c r="C3494" t="s">
        <v>28</v>
      </c>
      <c r="D3494" t="s">
        <v>1623</v>
      </c>
      <c r="E3494" t="s">
        <v>8</v>
      </c>
      <c r="F3494" t="s">
        <v>584</v>
      </c>
      <c r="G3494" t="s">
        <v>583</v>
      </c>
      <c r="H3494" t="s">
        <v>583</v>
      </c>
      <c r="I3494" t="s">
        <v>585</v>
      </c>
    </row>
    <row r="3495" spans="1:9" x14ac:dyDescent="0.25">
      <c r="A3495" s="1" t="str">
        <f>HYPERLINK("https://lynxcrm-apac--c.eu19.visual.force.com/0011i000001xnneAAA","Ng, Geok Khim Vincent")</f>
        <v>Ng, Geok Khim Vincent</v>
      </c>
      <c r="B3495" t="s">
        <v>7061</v>
      </c>
      <c r="C3495" t="s">
        <v>28</v>
      </c>
      <c r="D3495" t="s">
        <v>7062</v>
      </c>
      <c r="E3495" t="s">
        <v>8</v>
      </c>
      <c r="F3495" t="s">
        <v>377</v>
      </c>
      <c r="G3495" t="s">
        <v>2794</v>
      </c>
      <c r="H3495" t="s">
        <v>2795</v>
      </c>
      <c r="I3495" t="s">
        <v>123</v>
      </c>
    </row>
    <row r="3496" spans="1:9" x14ac:dyDescent="0.25">
      <c r="A3496" s="1" t="str">
        <f>HYPERLINK("https://lynxcrm-apac--c.eu19.visual.force.com/0011i000001xnngAAA","Ng, Guat Hua")</f>
        <v>Ng, Guat Hua</v>
      </c>
      <c r="B3496" t="s">
        <v>7063</v>
      </c>
      <c r="C3496" t="s">
        <v>28</v>
      </c>
      <c r="D3496" t="s">
        <v>7064</v>
      </c>
      <c r="E3496" t="s">
        <v>8</v>
      </c>
      <c r="F3496" t="s">
        <v>7065</v>
      </c>
      <c r="G3496" t="s">
        <v>3263</v>
      </c>
      <c r="H3496" t="s">
        <v>7066</v>
      </c>
      <c r="I3496" t="s">
        <v>7067</v>
      </c>
    </row>
    <row r="3497" spans="1:9" x14ac:dyDescent="0.25">
      <c r="A3497" s="1" t="str">
        <f>HYPERLINK("https://lynxcrm-apac--c.eu19.visual.force.com/0011i00000vwvpsAAA","Ng, Guoxiong Louis")</f>
        <v>Ng, Guoxiong Louis</v>
      </c>
      <c r="B3497" t="s">
        <v>7068</v>
      </c>
      <c r="C3497" t="s">
        <v>28</v>
      </c>
      <c r="D3497" t="s">
        <v>8</v>
      </c>
      <c r="E3497" t="s">
        <v>8</v>
      </c>
      <c r="F3497" t="s">
        <v>7069</v>
      </c>
      <c r="G3497" t="s">
        <v>1917</v>
      </c>
      <c r="H3497" t="s">
        <v>7070</v>
      </c>
      <c r="I3497" t="s">
        <v>7071</v>
      </c>
    </row>
    <row r="3498" spans="1:9" x14ac:dyDescent="0.25">
      <c r="A3498" s="1" t="str">
        <f>HYPERLINK("https://lynxcrm-apac--c.eu19.visual.force.com/0011i00000vwvpsAAA","Ng, Guoxiong Louis")</f>
        <v>Ng, Guoxiong Louis</v>
      </c>
      <c r="B3498" t="s">
        <v>7068</v>
      </c>
      <c r="C3498" t="s">
        <v>28</v>
      </c>
      <c r="D3498" t="s">
        <v>7072</v>
      </c>
      <c r="E3498" t="s">
        <v>8</v>
      </c>
      <c r="F3498" t="s">
        <v>7069</v>
      </c>
      <c r="G3498" t="s">
        <v>1917</v>
      </c>
      <c r="H3498" t="s">
        <v>7070</v>
      </c>
      <c r="I3498" t="s">
        <v>7071</v>
      </c>
    </row>
    <row r="3499" spans="1:9" x14ac:dyDescent="0.25">
      <c r="A3499" s="1" t="str">
        <f>HYPERLINK("https://lynxcrm-apac--c.eu19.visual.force.com/0011i000001xo8GAAQ","Ng, Han Seong")</f>
        <v>Ng, Han Seong</v>
      </c>
      <c r="B3499" t="s">
        <v>7073</v>
      </c>
      <c r="C3499" t="s">
        <v>28</v>
      </c>
      <c r="D3499" t="s">
        <v>251</v>
      </c>
      <c r="E3499" t="s">
        <v>8</v>
      </c>
      <c r="F3499" t="s">
        <v>251</v>
      </c>
      <c r="G3499" t="s">
        <v>252</v>
      </c>
      <c r="H3499" t="s">
        <v>252</v>
      </c>
      <c r="I3499" t="s">
        <v>253</v>
      </c>
    </row>
    <row r="3500" spans="1:9" x14ac:dyDescent="0.25">
      <c r="A3500" s="1" t="str">
        <f>HYPERLINK("https://lynxcrm-apac--c.eu19.visual.force.com/0011i000001xo8GAAQ","Ng, Han Seong")</f>
        <v>Ng, Han Seong</v>
      </c>
      <c r="B3500" t="s">
        <v>7073</v>
      </c>
      <c r="C3500" t="s">
        <v>28</v>
      </c>
      <c r="D3500" t="s">
        <v>251</v>
      </c>
      <c r="E3500" t="s">
        <v>8</v>
      </c>
      <c r="F3500" t="s">
        <v>7074</v>
      </c>
      <c r="G3500" t="s">
        <v>252</v>
      </c>
      <c r="H3500" t="s">
        <v>252</v>
      </c>
      <c r="I3500" t="s">
        <v>253</v>
      </c>
    </row>
    <row r="3501" spans="1:9" x14ac:dyDescent="0.25">
      <c r="A3501" s="1" t="str">
        <f>HYPERLINK("https://lynxcrm-apac--c.eu19.visual.force.com/0011i000001xnnhAAA","Ng, Hee")</f>
        <v>Ng, Hee</v>
      </c>
      <c r="B3501" t="s">
        <v>7075</v>
      </c>
      <c r="C3501" t="s">
        <v>28</v>
      </c>
      <c r="D3501" t="s">
        <v>7076</v>
      </c>
      <c r="E3501" t="s">
        <v>8</v>
      </c>
      <c r="F3501" t="s">
        <v>3049</v>
      </c>
      <c r="G3501" t="s">
        <v>4326</v>
      </c>
      <c r="H3501" t="s">
        <v>4327</v>
      </c>
      <c r="I3501" t="s">
        <v>3051</v>
      </c>
    </row>
    <row r="3502" spans="1:9" x14ac:dyDescent="0.25">
      <c r="A3502" s="1" t="str">
        <f>HYPERLINK("https://lynxcrm-apac--c.eu19.visual.force.com/0011i000001xnniAAA","Ng, Hoo Wah")</f>
        <v>Ng, Hoo Wah</v>
      </c>
      <c r="B3502" t="s">
        <v>7077</v>
      </c>
      <c r="C3502" t="s">
        <v>28</v>
      </c>
      <c r="D3502" t="s">
        <v>7078</v>
      </c>
      <c r="E3502" t="s">
        <v>8</v>
      </c>
      <c r="F3502" t="s">
        <v>377</v>
      </c>
      <c r="G3502" t="s">
        <v>6607</v>
      </c>
      <c r="H3502" t="s">
        <v>6607</v>
      </c>
      <c r="I3502" t="s">
        <v>123</v>
      </c>
    </row>
    <row r="3503" spans="1:9" x14ac:dyDescent="0.25">
      <c r="A3503" s="1" t="str">
        <f>HYPERLINK("https://lynxcrm-apac--c.eu19.visual.force.com/0011i000001xoIFAAY","Ng, Hua Bak Ivan")</f>
        <v>Ng, Hua Bak Ivan</v>
      </c>
      <c r="B3503" t="s">
        <v>7079</v>
      </c>
      <c r="C3503" t="s">
        <v>28</v>
      </c>
      <c r="D3503" t="s">
        <v>261</v>
      </c>
      <c r="E3503" t="s">
        <v>8</v>
      </c>
      <c r="F3503" t="s">
        <v>261</v>
      </c>
      <c r="G3503" t="s">
        <v>347</v>
      </c>
      <c r="H3503" t="s">
        <v>347</v>
      </c>
      <c r="I3503" t="s">
        <v>260</v>
      </c>
    </row>
    <row r="3504" spans="1:9" x14ac:dyDescent="0.25">
      <c r="A3504" s="1" t="str">
        <f>HYPERLINK("https://lynxcrm-apac--c.eu19.visual.force.com/0011i000001xoIFAAY","Ng, Hua Bak Ivan")</f>
        <v>Ng, Hua Bak Ivan</v>
      </c>
      <c r="B3504" t="s">
        <v>7079</v>
      </c>
      <c r="C3504" t="s">
        <v>28</v>
      </c>
      <c r="D3504" t="s">
        <v>474</v>
      </c>
      <c r="E3504" t="s">
        <v>8</v>
      </c>
      <c r="F3504" t="s">
        <v>473</v>
      </c>
      <c r="G3504" t="s">
        <v>258</v>
      </c>
      <c r="H3504" t="s">
        <v>258</v>
      </c>
      <c r="I3504" t="s">
        <v>260</v>
      </c>
    </row>
    <row r="3505" spans="1:9" x14ac:dyDescent="0.25">
      <c r="A3505" s="1" t="str">
        <f>HYPERLINK("https://lynxcrm-apac--c.eu19.visual.force.com/0011i000001xniYAAQ","Ng, Hui Yu")</f>
        <v>Ng, Hui Yu</v>
      </c>
      <c r="B3505" t="s">
        <v>7080</v>
      </c>
      <c r="C3505" t="s">
        <v>28</v>
      </c>
      <c r="D3505" t="s">
        <v>540</v>
      </c>
      <c r="E3505" t="s">
        <v>8</v>
      </c>
      <c r="F3505" t="s">
        <v>1548</v>
      </c>
      <c r="G3505" t="s">
        <v>3364</v>
      </c>
      <c r="H3505" t="s">
        <v>3364</v>
      </c>
      <c r="I3505" t="s">
        <v>1550</v>
      </c>
    </row>
    <row r="3506" spans="1:9" x14ac:dyDescent="0.25">
      <c r="A3506" s="1" t="str">
        <f>HYPERLINK("https://lynxcrm-apac--c.eu19.visual.force.com/0011i000001xnnjAAA","Ng, Hwee Hin")</f>
        <v>Ng, Hwee Hin</v>
      </c>
      <c r="B3506" t="s">
        <v>7081</v>
      </c>
      <c r="C3506" t="s">
        <v>28</v>
      </c>
      <c r="D3506" t="s">
        <v>7082</v>
      </c>
      <c r="E3506" t="s">
        <v>8</v>
      </c>
      <c r="F3506" t="s">
        <v>3095</v>
      </c>
      <c r="G3506" t="s">
        <v>1454</v>
      </c>
      <c r="H3506" t="s">
        <v>1454</v>
      </c>
      <c r="I3506" t="s">
        <v>3096</v>
      </c>
    </row>
    <row r="3507" spans="1:9" x14ac:dyDescent="0.25">
      <c r="A3507" s="1" t="str">
        <f>HYPERLINK("https://lynxcrm-apac--c.eu19.visual.force.com/0011i000001xoavAAA","Ng, Ivan")</f>
        <v>Ng, Ivan</v>
      </c>
      <c r="B3507" t="s">
        <v>7083</v>
      </c>
      <c r="C3507" t="s">
        <v>28</v>
      </c>
      <c r="D3507" t="s">
        <v>7084</v>
      </c>
      <c r="E3507" t="s">
        <v>8</v>
      </c>
      <c r="F3507" t="s">
        <v>258</v>
      </c>
      <c r="G3507" t="s">
        <v>261</v>
      </c>
      <c r="H3507" t="s">
        <v>261</v>
      </c>
      <c r="I3507" t="s">
        <v>260</v>
      </c>
    </row>
    <row r="3508" spans="1:9" x14ac:dyDescent="0.25">
      <c r="A3508" s="1" t="str">
        <f>HYPERLINK("https://lynxcrm-apac--c.eu19.visual.force.com/0011i000001xoavAAA","Ng, Ivan")</f>
        <v>Ng, Ivan</v>
      </c>
      <c r="B3508" t="s">
        <v>7083</v>
      </c>
      <c r="C3508" t="s">
        <v>28</v>
      </c>
      <c r="D3508" t="s">
        <v>261</v>
      </c>
      <c r="E3508" t="s">
        <v>8</v>
      </c>
      <c r="F3508" t="s">
        <v>261</v>
      </c>
      <c r="G3508" t="s">
        <v>347</v>
      </c>
      <c r="H3508" t="s">
        <v>347</v>
      </c>
      <c r="I3508" t="s">
        <v>260</v>
      </c>
    </row>
    <row r="3509" spans="1:9" x14ac:dyDescent="0.25">
      <c r="A3509" s="1" t="str">
        <f>HYPERLINK("https://lynxcrm-apac--c.eu19.visual.force.com/0011i000001xoQBAAY","Ng, Jen Min Ben")</f>
        <v>Ng, Jen Min Ben</v>
      </c>
      <c r="B3509" t="s">
        <v>7085</v>
      </c>
      <c r="C3509" t="s">
        <v>28</v>
      </c>
      <c r="D3509" t="s">
        <v>7086</v>
      </c>
      <c r="E3509" t="s">
        <v>8</v>
      </c>
      <c r="F3509" t="s">
        <v>2490</v>
      </c>
      <c r="G3509" t="s">
        <v>7087</v>
      </c>
      <c r="H3509" t="s">
        <v>7087</v>
      </c>
      <c r="I3509" t="s">
        <v>344</v>
      </c>
    </row>
    <row r="3510" spans="1:9" x14ac:dyDescent="0.25">
      <c r="A3510" s="1" t="str">
        <f>HYPERLINK("https://lynxcrm-apac--c.eu19.visual.force.com/0011i000001xnxfAAA","Ng, Jit Beng")</f>
        <v>Ng, Jit Beng</v>
      </c>
      <c r="B3510" t="s">
        <v>7088</v>
      </c>
      <c r="C3510" t="s">
        <v>28</v>
      </c>
      <c r="D3510" t="s">
        <v>583</v>
      </c>
      <c r="E3510" t="s">
        <v>8</v>
      </c>
      <c r="F3510" t="s">
        <v>583</v>
      </c>
      <c r="G3510" t="s">
        <v>584</v>
      </c>
      <c r="H3510" t="s">
        <v>584</v>
      </c>
      <c r="I3510" t="s">
        <v>585</v>
      </c>
    </row>
    <row r="3511" spans="1:9" x14ac:dyDescent="0.25">
      <c r="A3511" s="1" t="str">
        <f>HYPERLINK("https://lynxcrm-apac--c.eu19.visual.force.com/0011i000001xopPAAQ","Ng, Kah Wee")</f>
        <v>Ng, Kah Wee</v>
      </c>
      <c r="B3511" t="s">
        <v>7089</v>
      </c>
      <c r="C3511" t="s">
        <v>28</v>
      </c>
      <c r="D3511" t="s">
        <v>251</v>
      </c>
      <c r="E3511" t="s">
        <v>8</v>
      </c>
      <c r="F3511" t="s">
        <v>251</v>
      </c>
      <c r="G3511" t="s">
        <v>252</v>
      </c>
      <c r="H3511" t="s">
        <v>252</v>
      </c>
      <c r="I3511" t="s">
        <v>253</v>
      </c>
    </row>
    <row r="3512" spans="1:9" x14ac:dyDescent="0.25">
      <c r="A3512" s="1" t="str">
        <f>HYPERLINK("https://lynxcrm-apac--c.eu19.visual.force.com/0011i000001xnnlAAA","Ng, Kai Sum")</f>
        <v>Ng, Kai Sum</v>
      </c>
      <c r="B3512" t="s">
        <v>7090</v>
      </c>
      <c r="C3512" t="s">
        <v>28</v>
      </c>
      <c r="D3512" t="s">
        <v>7091</v>
      </c>
      <c r="E3512" t="s">
        <v>8</v>
      </c>
      <c r="F3512" t="s">
        <v>3398</v>
      </c>
      <c r="G3512" t="s">
        <v>3399</v>
      </c>
      <c r="H3512" t="s">
        <v>3399</v>
      </c>
      <c r="I3512" t="s">
        <v>3400</v>
      </c>
    </row>
    <row r="3513" spans="1:9" x14ac:dyDescent="0.25">
      <c r="A3513" s="1" t="str">
        <f>HYPERLINK("https://lynxcrm-apac--c.eu19.visual.force.com/0011i000001xnkPAAQ","Ng, Kenneth")</f>
        <v>Ng, Kenneth</v>
      </c>
      <c r="B3513" t="s">
        <v>7092</v>
      </c>
      <c r="C3513" t="s">
        <v>28</v>
      </c>
      <c r="D3513" t="s">
        <v>516</v>
      </c>
      <c r="E3513" t="s">
        <v>8</v>
      </c>
      <c r="F3513" t="s">
        <v>517</v>
      </c>
      <c r="G3513" t="s">
        <v>517</v>
      </c>
      <c r="H3513" t="s">
        <v>8</v>
      </c>
      <c r="I3513" t="s">
        <v>518</v>
      </c>
    </row>
    <row r="3514" spans="1:9" x14ac:dyDescent="0.25">
      <c r="A3514" s="1" t="str">
        <f>HYPERLINK("https://lynxcrm-apac--c.eu19.visual.force.com/0011i000001xoC9AAI","Ng, Kevin")</f>
        <v>Ng, Kevin</v>
      </c>
      <c r="B3514" t="s">
        <v>7093</v>
      </c>
      <c r="C3514" t="s">
        <v>28</v>
      </c>
      <c r="D3514" t="s">
        <v>815</v>
      </c>
      <c r="E3514" t="s">
        <v>8</v>
      </c>
      <c r="F3514" t="s">
        <v>816</v>
      </c>
      <c r="G3514" t="s">
        <v>815</v>
      </c>
      <c r="H3514" t="s">
        <v>815</v>
      </c>
      <c r="I3514" t="s">
        <v>817</v>
      </c>
    </row>
    <row r="3515" spans="1:9" x14ac:dyDescent="0.25">
      <c r="A3515" s="1" t="str">
        <f>HYPERLINK("https://lynxcrm-apac--c.eu19.visual.force.com/0011i000001xoJbAAI","Ng, Kheng Hong")</f>
        <v>Ng, Kheng Hong</v>
      </c>
      <c r="B3515" t="s">
        <v>7094</v>
      </c>
      <c r="C3515" t="s">
        <v>28</v>
      </c>
      <c r="D3515" t="s">
        <v>7095</v>
      </c>
      <c r="E3515" t="s">
        <v>8</v>
      </c>
      <c r="F3515" t="s">
        <v>7096</v>
      </c>
      <c r="G3515" t="s">
        <v>65</v>
      </c>
      <c r="H3515" t="s">
        <v>65</v>
      </c>
      <c r="I3515" t="s">
        <v>67</v>
      </c>
    </row>
    <row r="3516" spans="1:9" x14ac:dyDescent="0.25">
      <c r="A3516" s="1" t="str">
        <f>HYPERLINK("https://lynxcrm-apac--c.eu19.visual.force.com/0011i000001xo4lAAA","Ng, Kheng Siang")</f>
        <v>Ng, Kheng Siang</v>
      </c>
      <c r="B3516" t="s">
        <v>7097</v>
      </c>
      <c r="C3516" t="s">
        <v>28</v>
      </c>
      <c r="D3516" t="s">
        <v>7098</v>
      </c>
      <c r="E3516" t="s">
        <v>8</v>
      </c>
      <c r="F3516" t="s">
        <v>69</v>
      </c>
      <c r="G3516" t="s">
        <v>5112</v>
      </c>
      <c r="H3516" t="s">
        <v>5113</v>
      </c>
      <c r="I3516" t="s">
        <v>67</v>
      </c>
    </row>
    <row r="3517" spans="1:9" x14ac:dyDescent="0.25">
      <c r="A3517" s="1" t="str">
        <f>HYPERLINK("https://lynxcrm-apac--c.eu19.visual.force.com/0011i000001xnnmAAA","Ng, Khin Seng")</f>
        <v>Ng, Khin Seng</v>
      </c>
      <c r="B3517" t="s">
        <v>7099</v>
      </c>
      <c r="C3517" t="s">
        <v>28</v>
      </c>
      <c r="D3517" t="s">
        <v>7100</v>
      </c>
      <c r="E3517" t="s">
        <v>8</v>
      </c>
      <c r="F3517" t="s">
        <v>1021</v>
      </c>
      <c r="G3517" t="s">
        <v>1022</v>
      </c>
      <c r="H3517" t="s">
        <v>1023</v>
      </c>
      <c r="I3517" t="s">
        <v>1024</v>
      </c>
    </row>
    <row r="3518" spans="1:9" x14ac:dyDescent="0.25">
      <c r="A3518" s="1" t="str">
        <f>HYPERLINK("https://lynxcrm-apac--c.eu19.visual.force.com/0011i000001xortAAA","Ng, Kok Heng Alvin")</f>
        <v>Ng, Kok Heng Alvin</v>
      </c>
      <c r="B3518" t="s">
        <v>7101</v>
      </c>
      <c r="C3518" t="s">
        <v>28</v>
      </c>
      <c r="D3518" t="s">
        <v>583</v>
      </c>
      <c r="E3518" t="s">
        <v>8</v>
      </c>
      <c r="F3518" t="s">
        <v>583</v>
      </c>
      <c r="G3518" t="s">
        <v>584</v>
      </c>
      <c r="H3518" t="s">
        <v>584</v>
      </c>
      <c r="I3518" t="s">
        <v>585</v>
      </c>
    </row>
    <row r="3519" spans="1:9" x14ac:dyDescent="0.25">
      <c r="A3519" s="1" t="str">
        <f>HYPERLINK("https://lynxcrm-apac--c.eu19.visual.force.com/0011i000001xoGqAAI","Ng, Kwan Chung Kenneth")</f>
        <v>Ng, Kwan Chung Kenneth</v>
      </c>
      <c r="B3519" t="s">
        <v>7102</v>
      </c>
      <c r="C3519" t="s">
        <v>28</v>
      </c>
      <c r="D3519" t="s">
        <v>7103</v>
      </c>
      <c r="E3519" t="s">
        <v>8</v>
      </c>
      <c r="F3519" t="s">
        <v>7104</v>
      </c>
      <c r="G3519" t="s">
        <v>2490</v>
      </c>
      <c r="H3519" t="s">
        <v>2490</v>
      </c>
      <c r="I3519" t="s">
        <v>344</v>
      </c>
    </row>
    <row r="3520" spans="1:9" x14ac:dyDescent="0.25">
      <c r="A3520" s="1" t="str">
        <f>HYPERLINK("https://lynxcrm-apac--c.eu19.visual.force.com/0011i000001xo4mAAA","Ng, Lay Guat")</f>
        <v>Ng, Lay Guat</v>
      </c>
      <c r="B3520" t="s">
        <v>7105</v>
      </c>
      <c r="C3520" t="s">
        <v>28</v>
      </c>
      <c r="D3520" t="s">
        <v>251</v>
      </c>
      <c r="E3520" t="s">
        <v>8</v>
      </c>
      <c r="F3520" t="s">
        <v>251</v>
      </c>
      <c r="G3520" t="s">
        <v>252</v>
      </c>
      <c r="H3520" t="s">
        <v>252</v>
      </c>
      <c r="I3520" t="s">
        <v>253</v>
      </c>
    </row>
    <row r="3521" spans="1:9" x14ac:dyDescent="0.25">
      <c r="A3521" s="1" t="str">
        <f>HYPERLINK("https://lynxcrm-apac--c.eu19.visual.force.com/0011i000001xo4mAAA","Ng, Lay Guat")</f>
        <v>Ng, Lay Guat</v>
      </c>
      <c r="B3521" t="s">
        <v>7105</v>
      </c>
      <c r="C3521" t="s">
        <v>28</v>
      </c>
      <c r="D3521" t="s">
        <v>251</v>
      </c>
      <c r="E3521" t="s">
        <v>8</v>
      </c>
      <c r="F3521" t="s">
        <v>1623</v>
      </c>
      <c r="G3521" t="s">
        <v>252</v>
      </c>
      <c r="H3521" t="s">
        <v>858</v>
      </c>
      <c r="I3521" t="s">
        <v>253</v>
      </c>
    </row>
    <row r="3522" spans="1:9" x14ac:dyDescent="0.25">
      <c r="A3522" s="1" t="str">
        <f>HYPERLINK("https://lynxcrm-apac--c.eu19.visual.force.com/0011i000001xo4nAAA","Ng, Li Ling")</f>
        <v>Ng, Li Ling</v>
      </c>
      <c r="B3522" t="s">
        <v>7106</v>
      </c>
      <c r="C3522" t="s">
        <v>28</v>
      </c>
      <c r="D3522" t="s">
        <v>583</v>
      </c>
      <c r="E3522" t="s">
        <v>8</v>
      </c>
      <c r="F3522" t="s">
        <v>1412</v>
      </c>
      <c r="G3522" t="s">
        <v>584</v>
      </c>
      <c r="H3522" t="s">
        <v>584</v>
      </c>
      <c r="I3522" t="s">
        <v>585</v>
      </c>
    </row>
    <row r="3523" spans="1:9" x14ac:dyDescent="0.25">
      <c r="A3523" s="1" t="str">
        <f>HYPERLINK("https://lynxcrm-apac--c.eu19.visual.force.com/0011i000001xno0AAA","Ng, Linda")</f>
        <v>Ng, Linda</v>
      </c>
      <c r="B3523" t="s">
        <v>7107</v>
      </c>
      <c r="C3523" t="s">
        <v>28</v>
      </c>
      <c r="D3523" t="s">
        <v>6470</v>
      </c>
      <c r="E3523" t="s">
        <v>8</v>
      </c>
      <c r="F3523" t="s">
        <v>2550</v>
      </c>
      <c r="G3523" t="s">
        <v>1442</v>
      </c>
      <c r="H3523" t="s">
        <v>1442</v>
      </c>
      <c r="I3523" t="s">
        <v>2551</v>
      </c>
    </row>
    <row r="3524" spans="1:9" x14ac:dyDescent="0.25">
      <c r="A3524" s="1" t="str">
        <f>HYPERLINK("https://lynxcrm-apac--c.eu19.visual.force.com/0011i000001xoqsAAA","Ng, Lock Pui Amy")</f>
        <v>Ng, Lock Pui Amy</v>
      </c>
      <c r="B3524" t="s">
        <v>7108</v>
      </c>
      <c r="C3524" t="s">
        <v>28</v>
      </c>
      <c r="D3524" t="s">
        <v>545</v>
      </c>
      <c r="E3524" t="s">
        <v>8</v>
      </c>
      <c r="F3524" t="s">
        <v>546</v>
      </c>
      <c r="G3524" t="s">
        <v>547</v>
      </c>
      <c r="H3524" t="s">
        <v>547</v>
      </c>
      <c r="I3524" t="s">
        <v>548</v>
      </c>
    </row>
    <row r="3525" spans="1:9" x14ac:dyDescent="0.25">
      <c r="A3525" s="1" t="str">
        <f>HYPERLINK("https://lynxcrm-apac--c.eu19.visual.force.com/0011i000001xoIXAAY","Ng, Margaret")</f>
        <v>Ng, Margaret</v>
      </c>
      <c r="B3525" t="s">
        <v>7109</v>
      </c>
      <c r="C3525" t="s">
        <v>28</v>
      </c>
      <c r="D3525" t="s">
        <v>6492</v>
      </c>
      <c r="E3525" t="s">
        <v>8</v>
      </c>
      <c r="F3525" t="s">
        <v>6493</v>
      </c>
      <c r="G3525" t="s">
        <v>6494</v>
      </c>
      <c r="H3525" t="s">
        <v>6495</v>
      </c>
      <c r="I3525" t="s">
        <v>6496</v>
      </c>
    </row>
    <row r="3526" spans="1:9" x14ac:dyDescent="0.25">
      <c r="A3526" s="1" t="str">
        <f>HYPERLINK("https://lynxcrm-apac--c.eu19.visual.force.com/0011i00000Xf1GoAAJ","Ng, Matthew Chua Hsien")</f>
        <v>Ng, Matthew Chua Hsien</v>
      </c>
      <c r="B3526" t="s">
        <v>7110</v>
      </c>
      <c r="C3526" t="s">
        <v>28</v>
      </c>
      <c r="D3526" t="s">
        <v>2027</v>
      </c>
      <c r="E3526" t="s">
        <v>8</v>
      </c>
      <c r="F3526" t="s">
        <v>2028</v>
      </c>
      <c r="G3526" t="s">
        <v>2029</v>
      </c>
      <c r="H3526" t="s">
        <v>8</v>
      </c>
      <c r="I3526" t="s">
        <v>488</v>
      </c>
    </row>
    <row r="3527" spans="1:9" x14ac:dyDescent="0.25">
      <c r="A3527" s="1" t="str">
        <f>HYPERLINK("https://lynxcrm-apac--c.eu19.visual.force.com/0011i000001xnnsAAA","Ng, May Mei")</f>
        <v>Ng, May Mei</v>
      </c>
      <c r="B3527" t="s">
        <v>7111</v>
      </c>
      <c r="C3527" t="s">
        <v>28</v>
      </c>
      <c r="D3527" t="s">
        <v>7112</v>
      </c>
      <c r="E3527" t="s">
        <v>8</v>
      </c>
      <c r="F3527" t="s">
        <v>6585</v>
      </c>
      <c r="G3527" t="s">
        <v>2350</v>
      </c>
      <c r="H3527" t="s">
        <v>6586</v>
      </c>
      <c r="I3527" t="s">
        <v>4061</v>
      </c>
    </row>
    <row r="3528" spans="1:9" x14ac:dyDescent="0.25">
      <c r="A3528" s="1" t="str">
        <f>HYPERLINK("https://lynxcrm-apac--c.eu19.visual.force.com/0011i000001xomBAAQ","Ng, Mong Hoo Richard")</f>
        <v>Ng, Mong Hoo Richard</v>
      </c>
      <c r="B3528" t="s">
        <v>7113</v>
      </c>
      <c r="C3528" t="s">
        <v>28</v>
      </c>
      <c r="D3528" t="s">
        <v>7114</v>
      </c>
      <c r="E3528" t="s">
        <v>8</v>
      </c>
      <c r="F3528" t="s">
        <v>4903</v>
      </c>
      <c r="G3528" t="s">
        <v>2191</v>
      </c>
      <c r="H3528" t="s">
        <v>4904</v>
      </c>
      <c r="I3528" t="s">
        <v>4905</v>
      </c>
    </row>
    <row r="3529" spans="1:9" x14ac:dyDescent="0.25">
      <c r="A3529" s="1" t="str">
        <f>HYPERLINK("https://lynxcrm-apac--c.eu19.visual.force.com/0011i00000w07R1AAI","Ng, Natalie")</f>
        <v>Ng, Natalie</v>
      </c>
      <c r="B3529" t="s">
        <v>7115</v>
      </c>
      <c r="C3529" t="s">
        <v>28</v>
      </c>
      <c r="D3529" t="s">
        <v>8</v>
      </c>
      <c r="E3529" t="s">
        <v>8</v>
      </c>
      <c r="F3529" t="s">
        <v>147</v>
      </c>
      <c r="G3529" t="s">
        <v>147</v>
      </c>
      <c r="H3529" t="s">
        <v>534</v>
      </c>
      <c r="I3529" t="s">
        <v>149</v>
      </c>
    </row>
    <row r="3530" spans="1:9" x14ac:dyDescent="0.25">
      <c r="A3530" s="1" t="str">
        <f>HYPERLINK("https://lynxcrm-apac--c.eu19.visual.force.com/0011i00000w07R1AAI","Ng, Natalie")</f>
        <v>Ng, Natalie</v>
      </c>
      <c r="B3530" t="s">
        <v>7115</v>
      </c>
      <c r="C3530" t="s">
        <v>28</v>
      </c>
      <c r="D3530" t="s">
        <v>148</v>
      </c>
      <c r="E3530" t="s">
        <v>8</v>
      </c>
      <c r="F3530" t="s">
        <v>147</v>
      </c>
      <c r="G3530" t="s">
        <v>147</v>
      </c>
      <c r="H3530" t="s">
        <v>534</v>
      </c>
      <c r="I3530" t="s">
        <v>149</v>
      </c>
    </row>
    <row r="3531" spans="1:9" x14ac:dyDescent="0.25">
      <c r="A3531" s="1" t="str">
        <f>HYPERLINK("https://lynxcrm-apac--c.eu19.visual.force.com/0011i000007FFc0AAG","Ng, Perryn Lin Fei")</f>
        <v>Ng, Perryn Lin Fei</v>
      </c>
      <c r="B3531" t="s">
        <v>7116</v>
      </c>
      <c r="C3531" t="s">
        <v>28</v>
      </c>
      <c r="D3531" t="s">
        <v>429</v>
      </c>
      <c r="E3531" t="s">
        <v>8</v>
      </c>
      <c r="F3531" t="s">
        <v>429</v>
      </c>
      <c r="G3531" t="s">
        <v>428</v>
      </c>
      <c r="H3531" t="s">
        <v>428</v>
      </c>
      <c r="I3531" t="s">
        <v>430</v>
      </c>
    </row>
    <row r="3532" spans="1:9" x14ac:dyDescent="0.25">
      <c r="A3532" s="1" t="str">
        <f>HYPERLINK("https://lynxcrm-apac--c.eu19.visual.force.com/0011i000001xnnuAAA","Ng, Pock Liok")</f>
        <v>Ng, Pock Liok</v>
      </c>
      <c r="B3532" t="s">
        <v>7117</v>
      </c>
      <c r="C3532" t="s">
        <v>28</v>
      </c>
      <c r="D3532" t="s">
        <v>7118</v>
      </c>
      <c r="E3532" t="s">
        <v>8</v>
      </c>
      <c r="F3532" t="s">
        <v>373</v>
      </c>
      <c r="G3532" t="s">
        <v>5650</v>
      </c>
      <c r="H3532" t="s">
        <v>6605</v>
      </c>
      <c r="I3532" t="s">
        <v>123</v>
      </c>
    </row>
    <row r="3533" spans="1:9" x14ac:dyDescent="0.25">
      <c r="A3533" s="1" t="str">
        <f>HYPERLINK("https://lynxcrm-apac--c.eu19.visual.force.com/0011i00000Xf1GqAAJ","Ng, Raymond")</f>
        <v>Ng, Raymond</v>
      </c>
      <c r="B3533" t="s">
        <v>7119</v>
      </c>
      <c r="C3533" t="s">
        <v>28</v>
      </c>
      <c r="D3533" t="s">
        <v>2027</v>
      </c>
      <c r="E3533" t="s">
        <v>8</v>
      </c>
      <c r="F3533" t="s">
        <v>2028</v>
      </c>
      <c r="G3533" t="s">
        <v>2029</v>
      </c>
      <c r="H3533" t="s">
        <v>8</v>
      </c>
      <c r="I3533" t="s">
        <v>488</v>
      </c>
    </row>
    <row r="3534" spans="1:9" x14ac:dyDescent="0.25">
      <c r="A3534" s="1" t="str">
        <f>HYPERLINK("https://lynxcrm-apac--c.eu19.visual.force.com/0011i000001xnnxAAA","Ng, Seng Yuen")</f>
        <v>Ng, Seng Yuen</v>
      </c>
      <c r="B3534" t="s">
        <v>7120</v>
      </c>
      <c r="C3534" t="s">
        <v>28</v>
      </c>
      <c r="D3534" t="s">
        <v>7121</v>
      </c>
      <c r="E3534" t="s">
        <v>8</v>
      </c>
      <c r="F3534" t="s">
        <v>7122</v>
      </c>
      <c r="G3534" t="s">
        <v>7123</v>
      </c>
      <c r="H3534" t="s">
        <v>7124</v>
      </c>
      <c r="I3534" t="s">
        <v>7125</v>
      </c>
    </row>
    <row r="3535" spans="1:9" x14ac:dyDescent="0.25">
      <c r="A3535" s="1" t="str">
        <f>HYPERLINK("https://lynxcrm-apac--c.eu19.visual.force.com/0011i00000uRls3AAC","Ng, Shermaine")</f>
        <v>Ng, Shermaine</v>
      </c>
      <c r="B3535" t="s">
        <v>7126</v>
      </c>
      <c r="C3535" t="s">
        <v>28</v>
      </c>
      <c r="D3535" t="s">
        <v>21</v>
      </c>
      <c r="E3535" t="s">
        <v>8</v>
      </c>
      <c r="F3535" t="s">
        <v>699</v>
      </c>
      <c r="G3535" t="s">
        <v>699</v>
      </c>
      <c r="H3535" t="s">
        <v>8</v>
      </c>
      <c r="I3535" t="s">
        <v>22</v>
      </c>
    </row>
    <row r="3536" spans="1:9" x14ac:dyDescent="0.25">
      <c r="A3536" s="1" t="str">
        <f>HYPERLINK("https://lynxcrm-apac--c.eu19.visual.force.com/0011i000001xoKAAAY","Ng, Siau Peng")</f>
        <v>Ng, Siau Peng</v>
      </c>
      <c r="B3536" t="s">
        <v>7127</v>
      </c>
      <c r="C3536" t="s">
        <v>28</v>
      </c>
      <c r="D3536" t="s">
        <v>7128</v>
      </c>
      <c r="E3536" t="s">
        <v>8</v>
      </c>
      <c r="F3536" t="s">
        <v>7129</v>
      </c>
      <c r="G3536" t="s">
        <v>3341</v>
      </c>
      <c r="H3536" t="s">
        <v>7130</v>
      </c>
      <c r="I3536" t="s">
        <v>1065</v>
      </c>
    </row>
    <row r="3537" spans="1:9" x14ac:dyDescent="0.25">
      <c r="A3537" s="1" t="str">
        <f>HYPERLINK("https://lynxcrm-apac--c.eu19.visual.force.com/0011i000001xo4vAAA","Ng, Sok Hoon")</f>
        <v>Ng, Sok Hoon</v>
      </c>
      <c r="B3537" t="s">
        <v>7131</v>
      </c>
      <c r="C3537" t="s">
        <v>28</v>
      </c>
      <c r="D3537" t="s">
        <v>1318</v>
      </c>
      <c r="E3537" t="s">
        <v>8</v>
      </c>
      <c r="F3537" t="s">
        <v>252</v>
      </c>
      <c r="G3537" t="s">
        <v>251</v>
      </c>
      <c r="H3537" t="s">
        <v>251</v>
      </c>
      <c r="I3537" t="s">
        <v>253</v>
      </c>
    </row>
    <row r="3538" spans="1:9" x14ac:dyDescent="0.25">
      <c r="A3538" s="1" t="str">
        <f>HYPERLINK("https://lynxcrm-apac--c.eu19.visual.force.com/0011i000001xo4vAAA","Ng, Sok Hoon")</f>
        <v>Ng, Sok Hoon</v>
      </c>
      <c r="B3538" t="s">
        <v>7131</v>
      </c>
      <c r="C3538" t="s">
        <v>28</v>
      </c>
      <c r="D3538" t="s">
        <v>251</v>
      </c>
      <c r="E3538" t="s">
        <v>8</v>
      </c>
      <c r="F3538" t="s">
        <v>251</v>
      </c>
      <c r="G3538" t="s">
        <v>252</v>
      </c>
      <c r="H3538" t="s">
        <v>252</v>
      </c>
      <c r="I3538" t="s">
        <v>253</v>
      </c>
    </row>
    <row r="3539" spans="1:9" x14ac:dyDescent="0.25">
      <c r="A3539" s="1" t="str">
        <f>HYPERLINK("https://lynxcrm-apac--c.eu19.visual.force.com/0011i000001xo8HAAQ","Ng, Soon Chye")</f>
        <v>Ng, Soon Chye</v>
      </c>
      <c r="B3539" t="s">
        <v>7132</v>
      </c>
      <c r="C3539" t="s">
        <v>28</v>
      </c>
      <c r="D3539" t="s">
        <v>5132</v>
      </c>
      <c r="E3539" t="s">
        <v>8</v>
      </c>
      <c r="F3539" t="s">
        <v>7133</v>
      </c>
      <c r="G3539" t="s">
        <v>7134</v>
      </c>
      <c r="H3539" t="s">
        <v>7135</v>
      </c>
      <c r="I3539" t="s">
        <v>67</v>
      </c>
    </row>
    <row r="3540" spans="1:9" x14ac:dyDescent="0.25">
      <c r="A3540" s="1" t="str">
        <f>HYPERLINK("https://lynxcrm-apac--c.eu19.visual.force.com/0011i000001xno3AAA","Ng, Soon Yin")</f>
        <v>Ng, Soon Yin</v>
      </c>
      <c r="B3540" t="s">
        <v>7136</v>
      </c>
      <c r="C3540" t="s">
        <v>28</v>
      </c>
      <c r="D3540" t="s">
        <v>7137</v>
      </c>
      <c r="E3540" t="s">
        <v>8</v>
      </c>
      <c r="F3540" t="s">
        <v>272</v>
      </c>
      <c r="G3540" t="s">
        <v>277</v>
      </c>
      <c r="H3540" t="s">
        <v>277</v>
      </c>
      <c r="I3540" t="s">
        <v>275</v>
      </c>
    </row>
    <row r="3541" spans="1:9" x14ac:dyDescent="0.25">
      <c r="A3541" s="1" t="str">
        <f>HYPERLINK("https://lynxcrm-apac--c.eu19.visual.force.com/0011i000001xoKlAAI","Ng, Suat Tong")</f>
        <v>Ng, Suat Tong</v>
      </c>
      <c r="B3541" t="s">
        <v>7138</v>
      </c>
      <c r="C3541" t="s">
        <v>28</v>
      </c>
      <c r="D3541" t="s">
        <v>1661</v>
      </c>
      <c r="E3541" t="s">
        <v>8</v>
      </c>
      <c r="F3541" t="s">
        <v>627</v>
      </c>
      <c r="G3541" t="s">
        <v>628</v>
      </c>
      <c r="H3541" t="s">
        <v>628</v>
      </c>
      <c r="I3541" t="s">
        <v>624</v>
      </c>
    </row>
    <row r="3542" spans="1:9" x14ac:dyDescent="0.25">
      <c r="A3542" s="1" t="str">
        <f>HYPERLINK("https://lynxcrm-apac--c.eu19.visual.force.com/0011i000001xoKwAAI","Ng, Su Lyn")</f>
        <v>Ng, Su Lyn</v>
      </c>
      <c r="B3542" t="s">
        <v>7139</v>
      </c>
      <c r="C3542" t="s">
        <v>28</v>
      </c>
      <c r="D3542" t="s">
        <v>58</v>
      </c>
      <c r="E3542" t="s">
        <v>8</v>
      </c>
      <c r="F3542" t="s">
        <v>57</v>
      </c>
      <c r="G3542" t="s">
        <v>57</v>
      </c>
      <c r="H3542" t="s">
        <v>8</v>
      </c>
      <c r="I3542" t="s">
        <v>59</v>
      </c>
    </row>
    <row r="3543" spans="1:9" x14ac:dyDescent="0.25">
      <c r="A3543" s="1" t="str">
        <f>HYPERLINK("https://lynxcrm-apac--c.eu19.visual.force.com/0011i000001xoKwAAI","Ng, Su Lyn")</f>
        <v>Ng, Su Lyn</v>
      </c>
      <c r="B3543" t="s">
        <v>7139</v>
      </c>
      <c r="C3543" t="s">
        <v>28</v>
      </c>
      <c r="D3543" t="s">
        <v>57</v>
      </c>
      <c r="E3543" t="s">
        <v>8</v>
      </c>
      <c r="F3543" t="s">
        <v>57</v>
      </c>
      <c r="G3543" t="s">
        <v>58</v>
      </c>
      <c r="H3543" t="s">
        <v>58</v>
      </c>
      <c r="I3543" t="s">
        <v>59</v>
      </c>
    </row>
    <row r="3544" spans="1:9" x14ac:dyDescent="0.25">
      <c r="A3544" s="1" t="str">
        <f>HYPERLINK("https://lynxcrm-apac--c.eu19.visual.force.com/0011i000001xo4wAAA","Ng, Tay Meng")</f>
        <v>Ng, Tay Meng</v>
      </c>
      <c r="B3544" t="s">
        <v>7140</v>
      </c>
      <c r="C3544" t="s">
        <v>28</v>
      </c>
      <c r="D3544" t="s">
        <v>7141</v>
      </c>
      <c r="E3544" t="s">
        <v>8</v>
      </c>
      <c r="F3544" t="s">
        <v>7142</v>
      </c>
      <c r="G3544" t="s">
        <v>7143</v>
      </c>
      <c r="H3544" t="s">
        <v>7143</v>
      </c>
      <c r="I3544" t="s">
        <v>67</v>
      </c>
    </row>
    <row r="3545" spans="1:9" x14ac:dyDescent="0.25">
      <c r="A3545" s="1" t="str">
        <f>HYPERLINK("https://lynxcrm-apac--c.eu19.visual.force.com/0011i000001xno4AAA","Ng, Teck Hwee Peter")</f>
        <v>Ng, Teck Hwee Peter</v>
      </c>
      <c r="B3545" t="s">
        <v>7144</v>
      </c>
      <c r="C3545" t="s">
        <v>28</v>
      </c>
      <c r="D3545" t="s">
        <v>7145</v>
      </c>
      <c r="E3545" t="s">
        <v>8</v>
      </c>
      <c r="F3545" t="s">
        <v>7146</v>
      </c>
      <c r="G3545" t="s">
        <v>7147</v>
      </c>
      <c r="H3545" t="s">
        <v>7148</v>
      </c>
      <c r="I3545" t="s">
        <v>2302</v>
      </c>
    </row>
    <row r="3546" spans="1:9" x14ac:dyDescent="0.25">
      <c r="A3546" s="1" t="str">
        <f>HYPERLINK("https://lynxcrm-apac--c.eu19.visual.force.com/0011i000001xo8yAAA","Ng, Teck Keng")</f>
        <v>Ng, Teck Keng</v>
      </c>
      <c r="B3546" t="s">
        <v>7149</v>
      </c>
      <c r="C3546" t="s">
        <v>28</v>
      </c>
      <c r="D3546" t="s">
        <v>7150</v>
      </c>
      <c r="E3546" t="s">
        <v>8</v>
      </c>
      <c r="F3546" t="s">
        <v>7151</v>
      </c>
      <c r="G3546" t="s">
        <v>564</v>
      </c>
      <c r="H3546" t="s">
        <v>7152</v>
      </c>
      <c r="I3546" t="s">
        <v>7153</v>
      </c>
    </row>
    <row r="3547" spans="1:9" x14ac:dyDescent="0.25">
      <c r="A3547" s="1" t="str">
        <f>HYPERLINK("https://lynxcrm-apac--c.eu19.visual.force.com/0011i000001xo8qAAA","Ng, Tsong How")</f>
        <v>Ng, Tsong How</v>
      </c>
      <c r="B3547" t="s">
        <v>7154</v>
      </c>
      <c r="C3547" t="s">
        <v>28</v>
      </c>
      <c r="D3547" t="s">
        <v>7155</v>
      </c>
      <c r="E3547" t="s">
        <v>8</v>
      </c>
      <c r="F3547" t="s">
        <v>258</v>
      </c>
      <c r="G3547" t="s">
        <v>261</v>
      </c>
      <c r="H3547" t="s">
        <v>261</v>
      </c>
      <c r="I3547" t="s">
        <v>260</v>
      </c>
    </row>
    <row r="3548" spans="1:9" x14ac:dyDescent="0.25">
      <c r="A3548" s="1" t="str">
        <f>HYPERLINK("https://lynxcrm-apac--c.eu19.visual.force.com/0011i000001xno6AAA","Ng, Tsorng Chinn")</f>
        <v>Ng, Tsorng Chinn</v>
      </c>
      <c r="B3548" t="s">
        <v>7156</v>
      </c>
      <c r="C3548" t="s">
        <v>28</v>
      </c>
      <c r="D3548" t="s">
        <v>7157</v>
      </c>
      <c r="E3548" t="s">
        <v>8</v>
      </c>
      <c r="F3548" t="s">
        <v>7158</v>
      </c>
      <c r="G3548" t="s">
        <v>7159</v>
      </c>
      <c r="H3548" t="s">
        <v>7160</v>
      </c>
      <c r="I3548" t="s">
        <v>7161</v>
      </c>
    </row>
    <row r="3549" spans="1:9" x14ac:dyDescent="0.25">
      <c r="A3549" s="1" t="str">
        <f>HYPERLINK("https://lynxcrm-apac--c.eu19.visual.force.com/0011i000007DsK9AAK","Ng, TSUN GUN")</f>
        <v>Ng, TSUN GUN</v>
      </c>
      <c r="B3549" t="s">
        <v>7162</v>
      </c>
      <c r="C3549" t="s">
        <v>28</v>
      </c>
      <c r="D3549" t="s">
        <v>7163</v>
      </c>
      <c r="E3549" t="s">
        <v>8</v>
      </c>
      <c r="F3549" t="s">
        <v>7164</v>
      </c>
      <c r="G3549" t="s">
        <v>7165</v>
      </c>
      <c r="H3549" t="s">
        <v>8</v>
      </c>
      <c r="I3549" t="s">
        <v>67</v>
      </c>
    </row>
    <row r="3550" spans="1:9" x14ac:dyDescent="0.25">
      <c r="A3550" s="1" t="str">
        <f>HYPERLINK("https://lynxcrm-apac--c.eu19.visual.force.com/0011i000001xoLBAAY","Ng, Tze Kiat")</f>
        <v>Ng, Tze Kiat</v>
      </c>
      <c r="B3550" t="s">
        <v>7166</v>
      </c>
      <c r="C3550" t="s">
        <v>28</v>
      </c>
      <c r="D3550" t="s">
        <v>366</v>
      </c>
      <c r="E3550" t="s">
        <v>8</v>
      </c>
      <c r="F3550" t="s">
        <v>360</v>
      </c>
      <c r="G3550" t="s">
        <v>1253</v>
      </c>
      <c r="H3550" t="s">
        <v>1253</v>
      </c>
      <c r="I3550" t="s">
        <v>362</v>
      </c>
    </row>
    <row r="3551" spans="1:9" x14ac:dyDescent="0.25">
      <c r="A3551" s="1" t="str">
        <f>HYPERLINK("https://lynxcrm-apac--c.eu19.visual.force.com/0011i000001xo8zAAA","Ng, Wai Chong")</f>
        <v>Ng, Wai Chong</v>
      </c>
      <c r="B3551" t="s">
        <v>7167</v>
      </c>
      <c r="C3551" t="s">
        <v>28</v>
      </c>
      <c r="D3551" t="s">
        <v>368</v>
      </c>
      <c r="E3551" t="s">
        <v>8</v>
      </c>
      <c r="F3551" t="s">
        <v>360</v>
      </c>
      <c r="G3551" t="s">
        <v>1253</v>
      </c>
      <c r="H3551" t="s">
        <v>1253</v>
      </c>
      <c r="I3551" t="s">
        <v>362</v>
      </c>
    </row>
    <row r="3552" spans="1:9" x14ac:dyDescent="0.25">
      <c r="A3552" s="1" t="str">
        <f>HYPERLINK("https://lynxcrm-apac--c.eu19.visual.force.com/0011i000001xoW1AAI","Ng, Wai Lin")</f>
        <v>Ng, Wai Lin</v>
      </c>
      <c r="B3552" t="s">
        <v>7168</v>
      </c>
      <c r="C3552" t="s">
        <v>28</v>
      </c>
      <c r="D3552" t="s">
        <v>164</v>
      </c>
      <c r="E3552" t="s">
        <v>8</v>
      </c>
      <c r="F3552" t="s">
        <v>163</v>
      </c>
      <c r="G3552" t="s">
        <v>228</v>
      </c>
      <c r="H3552" t="s">
        <v>228</v>
      </c>
      <c r="I3552" t="s">
        <v>165</v>
      </c>
    </row>
    <row r="3553" spans="1:9" x14ac:dyDescent="0.25">
      <c r="A3553" s="1" t="str">
        <f>HYPERLINK("https://lynxcrm-apac--c.eu19.visual.force.com/0011i000001xoW1AAI","Ng, Wai Lin")</f>
        <v>Ng, Wai Lin</v>
      </c>
      <c r="B3553" t="s">
        <v>7168</v>
      </c>
      <c r="C3553" t="s">
        <v>28</v>
      </c>
      <c r="D3553" t="s">
        <v>164</v>
      </c>
      <c r="E3553" t="s">
        <v>8</v>
      </c>
      <c r="F3553" t="s">
        <v>229</v>
      </c>
      <c r="G3553" t="s">
        <v>163</v>
      </c>
      <c r="H3553" t="s">
        <v>163</v>
      </c>
      <c r="I3553" t="s">
        <v>165</v>
      </c>
    </row>
    <row r="3554" spans="1:9" x14ac:dyDescent="0.25">
      <c r="A3554" s="1" t="str">
        <f>HYPERLINK("https://lynxcrm-apac--c.eu19.visual.force.com/0011i000001xoVOAAY","Ng, Wei Bunn")</f>
        <v>Ng, Wei Bunn</v>
      </c>
      <c r="B3554" t="s">
        <v>7169</v>
      </c>
      <c r="C3554" t="s">
        <v>28</v>
      </c>
      <c r="D3554" t="s">
        <v>578</v>
      </c>
      <c r="E3554" t="s">
        <v>8</v>
      </c>
      <c r="F3554" t="s">
        <v>730</v>
      </c>
      <c r="G3554" t="s">
        <v>3523</v>
      </c>
      <c r="H3554" t="s">
        <v>3523</v>
      </c>
      <c r="I3554" t="s">
        <v>733</v>
      </c>
    </row>
    <row r="3555" spans="1:9" x14ac:dyDescent="0.25">
      <c r="A3555" s="1" t="str">
        <f>HYPERLINK("https://lynxcrm-apac--c.eu19.visual.force.com/0011i000001xo4xAAA","Ng, Wei Keong Alan")</f>
        <v>Ng, Wei Keong Alan</v>
      </c>
      <c r="B3555" t="s">
        <v>7170</v>
      </c>
      <c r="C3555" t="s">
        <v>28</v>
      </c>
      <c r="D3555" t="s">
        <v>261</v>
      </c>
      <c r="E3555" t="s">
        <v>8</v>
      </c>
      <c r="F3555" t="s">
        <v>239</v>
      </c>
      <c r="G3555" t="s">
        <v>258</v>
      </c>
      <c r="H3555" t="s">
        <v>259</v>
      </c>
      <c r="I3555" t="s">
        <v>260</v>
      </c>
    </row>
    <row r="3556" spans="1:9" x14ac:dyDescent="0.25">
      <c r="A3556" s="1" t="str">
        <f>HYPERLINK("https://lynxcrm-apac--c.eu19.visual.force.com/0011i000001xo4xAAA","Ng, Wei Keong Alan")</f>
        <v>Ng, Wei Keong Alan</v>
      </c>
      <c r="B3556" t="s">
        <v>7170</v>
      </c>
      <c r="C3556" t="s">
        <v>28</v>
      </c>
      <c r="D3556" t="s">
        <v>261</v>
      </c>
      <c r="E3556" t="s">
        <v>8</v>
      </c>
      <c r="F3556" t="s">
        <v>261</v>
      </c>
      <c r="G3556" t="s">
        <v>347</v>
      </c>
      <c r="H3556" t="s">
        <v>347</v>
      </c>
      <c r="I3556" t="s">
        <v>260</v>
      </c>
    </row>
    <row r="3557" spans="1:9" x14ac:dyDescent="0.25">
      <c r="A3557" s="1" t="str">
        <f>HYPERLINK("https://lynxcrm-apac--c.eu19.visual.force.com/0011i000001xnmlAAA","Ng, Wei Kian")</f>
        <v>Ng, Wei Kian</v>
      </c>
      <c r="B3557" t="s">
        <v>7171</v>
      </c>
      <c r="C3557" t="s">
        <v>28</v>
      </c>
      <c r="D3557" t="s">
        <v>545</v>
      </c>
      <c r="E3557" t="s">
        <v>8</v>
      </c>
      <c r="F3557" t="s">
        <v>844</v>
      </c>
      <c r="G3557" t="s">
        <v>845</v>
      </c>
      <c r="H3557" t="s">
        <v>846</v>
      </c>
      <c r="I3557" t="s">
        <v>847</v>
      </c>
    </row>
    <row r="3558" spans="1:9" x14ac:dyDescent="0.25">
      <c r="A3558" s="1" t="str">
        <f>HYPERLINK("https://lynxcrm-apac--c.eu19.visual.force.com/0011i000001xnpGAAQ","Ng, Wei Ling")</f>
        <v>Ng, Wei Ling</v>
      </c>
      <c r="B3558" t="s">
        <v>7172</v>
      </c>
      <c r="C3558" t="s">
        <v>28</v>
      </c>
      <c r="D3558" t="s">
        <v>752</v>
      </c>
      <c r="E3558" t="s">
        <v>8</v>
      </c>
      <c r="F3558" t="s">
        <v>753</v>
      </c>
      <c r="G3558" t="s">
        <v>753</v>
      </c>
      <c r="H3558" t="s">
        <v>8</v>
      </c>
      <c r="I3558" t="s">
        <v>137</v>
      </c>
    </row>
    <row r="3559" spans="1:9" x14ac:dyDescent="0.25">
      <c r="A3559" s="1" t="str">
        <f>HYPERLINK("https://lynxcrm-apac--c.eu19.visual.force.com/0011i000001xoDjAAI","Ng, Wei Seng")</f>
        <v>Ng, Wei Seng</v>
      </c>
      <c r="B3559" t="s">
        <v>7173</v>
      </c>
      <c r="C3559" t="s">
        <v>28</v>
      </c>
      <c r="D3559" t="s">
        <v>7174</v>
      </c>
      <c r="E3559" t="s">
        <v>8</v>
      </c>
      <c r="F3559" t="s">
        <v>6341</v>
      </c>
      <c r="G3559" t="s">
        <v>6342</v>
      </c>
      <c r="H3559" t="s">
        <v>6343</v>
      </c>
      <c r="I3559" t="s">
        <v>4998</v>
      </c>
    </row>
    <row r="3560" spans="1:9" x14ac:dyDescent="0.25">
      <c r="A3560" s="1" t="str">
        <f>HYPERLINK("https://lynxcrm-apac--c.eu19.visual.force.com/0011i000001xoteAAA","Ng, Yau Tung")</f>
        <v>Ng, Yau Tung</v>
      </c>
      <c r="B3560" t="s">
        <v>7175</v>
      </c>
      <c r="C3560" t="s">
        <v>28</v>
      </c>
      <c r="D3560" t="s">
        <v>5238</v>
      </c>
      <c r="E3560" t="s">
        <v>8</v>
      </c>
      <c r="F3560" t="s">
        <v>4051</v>
      </c>
      <c r="G3560" t="s">
        <v>1515</v>
      </c>
      <c r="H3560" t="s">
        <v>1515</v>
      </c>
      <c r="I3560" t="s">
        <v>4052</v>
      </c>
    </row>
    <row r="3561" spans="1:9" x14ac:dyDescent="0.25">
      <c r="A3561" s="1" t="str">
        <f>HYPERLINK("https://lynxcrm-apac--c.eu19.visual.force.com/0011i000001xoEXAAY","Ng, Yew Sang")</f>
        <v>Ng, Yew Sang</v>
      </c>
      <c r="B3561" t="s">
        <v>7176</v>
      </c>
      <c r="C3561" t="s">
        <v>28</v>
      </c>
      <c r="D3561" t="s">
        <v>251</v>
      </c>
      <c r="E3561" t="s">
        <v>8</v>
      </c>
      <c r="F3561" t="s">
        <v>241</v>
      </c>
      <c r="G3561" t="s">
        <v>252</v>
      </c>
      <c r="H3561" t="s">
        <v>252</v>
      </c>
      <c r="I3561" t="s">
        <v>253</v>
      </c>
    </row>
    <row r="3562" spans="1:9" x14ac:dyDescent="0.25">
      <c r="A3562" s="1" t="str">
        <f>HYPERLINK("https://lynxcrm-apac--c.eu19.visual.force.com/0011i000001xoEXAAY","Ng, Yew Sang")</f>
        <v>Ng, Yew Sang</v>
      </c>
      <c r="B3562" t="s">
        <v>7176</v>
      </c>
      <c r="C3562" t="s">
        <v>28</v>
      </c>
      <c r="D3562" t="s">
        <v>251</v>
      </c>
      <c r="E3562" t="s">
        <v>8</v>
      </c>
      <c r="F3562" t="s">
        <v>251</v>
      </c>
      <c r="G3562" t="s">
        <v>252</v>
      </c>
      <c r="H3562" t="s">
        <v>252</v>
      </c>
      <c r="I3562" t="s">
        <v>253</v>
      </c>
    </row>
    <row r="3563" spans="1:9" x14ac:dyDescent="0.25">
      <c r="A3563" s="1" t="str">
        <f>HYPERLINK("https://lynxcrm-apac--c.eu19.visual.force.com/0011i000001xnHmAAI","Ng Beng Yeong Psych Medicine Clinic")</f>
        <v>Ng Beng Yeong Psych Medicine Clinic</v>
      </c>
      <c r="B3563" t="s">
        <v>7177</v>
      </c>
      <c r="C3563" t="s">
        <v>10</v>
      </c>
      <c r="D3563" t="s">
        <v>8</v>
      </c>
      <c r="E3563" t="s">
        <v>8</v>
      </c>
      <c r="F3563" t="s">
        <v>7023</v>
      </c>
      <c r="G3563" t="s">
        <v>121</v>
      </c>
      <c r="H3563" t="s">
        <v>121</v>
      </c>
      <c r="I3563" t="s">
        <v>123</v>
      </c>
    </row>
    <row r="3564" spans="1:9" x14ac:dyDescent="0.25">
      <c r="A3564" s="1" t="str">
        <f>HYPERLINK("https://lynxcrm-apac--c.eu19.visual.force.com/0011i000001xoXaAAI","Ngiam, Shih Kwang Kelvin")</f>
        <v>Ngiam, Shih Kwang Kelvin</v>
      </c>
      <c r="B3564" t="s">
        <v>7178</v>
      </c>
      <c r="C3564" t="s">
        <v>28</v>
      </c>
      <c r="D3564" t="s">
        <v>449</v>
      </c>
      <c r="E3564" t="s">
        <v>8</v>
      </c>
      <c r="F3564" t="s">
        <v>7179</v>
      </c>
      <c r="G3564" t="s">
        <v>452</v>
      </c>
      <c r="H3564" t="s">
        <v>453</v>
      </c>
      <c r="I3564" t="s">
        <v>454</v>
      </c>
    </row>
    <row r="3565" spans="1:9" x14ac:dyDescent="0.25">
      <c r="A3565" s="1" t="str">
        <f>HYPERLINK("https://lynxcrm-apac--c.eu19.visual.force.com/0011i000001xoXaAAI","Ngiam, Shih Kwang Kelvin")</f>
        <v>Ngiam, Shih Kwang Kelvin</v>
      </c>
      <c r="B3565" t="s">
        <v>7178</v>
      </c>
      <c r="C3565" t="s">
        <v>28</v>
      </c>
      <c r="D3565" t="s">
        <v>449</v>
      </c>
      <c r="E3565" t="s">
        <v>8</v>
      </c>
      <c r="F3565" t="s">
        <v>450</v>
      </c>
      <c r="G3565" t="s">
        <v>449</v>
      </c>
      <c r="H3565" t="s">
        <v>449</v>
      </c>
      <c r="I3565" t="s">
        <v>451</v>
      </c>
    </row>
    <row r="3566" spans="1:9" x14ac:dyDescent="0.25">
      <c r="A3566" s="1" t="str">
        <f>HYPERLINK("https://lynxcrm-apac--c.eu19.visual.force.com/0011i000001xoXaAAI","Ngiam, Shih Kwang Kelvin")</f>
        <v>Ngiam, Shih Kwang Kelvin</v>
      </c>
      <c r="B3566" t="s">
        <v>7178</v>
      </c>
      <c r="C3566" t="s">
        <v>28</v>
      </c>
      <c r="D3566" t="s">
        <v>449</v>
      </c>
      <c r="E3566" t="s">
        <v>8</v>
      </c>
      <c r="F3566" t="s">
        <v>234</v>
      </c>
      <c r="G3566" t="s">
        <v>452</v>
      </c>
      <c r="H3566" t="s">
        <v>453</v>
      </c>
      <c r="I3566" t="s">
        <v>454</v>
      </c>
    </row>
    <row r="3567" spans="1:9" x14ac:dyDescent="0.25">
      <c r="A3567" s="1" t="str">
        <f>HYPERLINK("https://lynxcrm-apac--c.eu19.visual.force.com/0011i00000Xf1ImAAJ","Ngo, Lynette")</f>
        <v>Ngo, Lynette</v>
      </c>
      <c r="B3567" t="s">
        <v>7180</v>
      </c>
      <c r="C3567" t="s">
        <v>28</v>
      </c>
      <c r="D3567" t="s">
        <v>7181</v>
      </c>
      <c r="E3567" t="s">
        <v>8</v>
      </c>
      <c r="F3567" t="s">
        <v>2525</v>
      </c>
      <c r="G3567" t="s">
        <v>2526</v>
      </c>
      <c r="H3567" t="s">
        <v>8</v>
      </c>
      <c r="I3567" t="s">
        <v>344</v>
      </c>
    </row>
    <row r="3568" spans="1:9" x14ac:dyDescent="0.25">
      <c r="A3568" s="1" t="str">
        <f>HYPERLINK("https://lynxcrm-apac--c.eu19.visual.force.com/0011i000001xo90AAA","Ngoh, Sharon")</f>
        <v>Ngoh, Sharon</v>
      </c>
      <c r="B3568" t="s">
        <v>7182</v>
      </c>
      <c r="C3568" t="s">
        <v>28</v>
      </c>
      <c r="D3568" t="s">
        <v>58</v>
      </c>
      <c r="E3568" t="s">
        <v>8</v>
      </c>
      <c r="F3568" t="s">
        <v>57</v>
      </c>
      <c r="G3568" t="s">
        <v>57</v>
      </c>
      <c r="H3568" t="s">
        <v>8</v>
      </c>
      <c r="I3568" t="s">
        <v>59</v>
      </c>
    </row>
    <row r="3569" spans="1:9" x14ac:dyDescent="0.25">
      <c r="A3569" s="1" t="str">
        <f>HYPERLINK("https://lynxcrm-apac--c.eu19.visual.force.com/0011i000001xo90AAA","Ngoh, Sharon")</f>
        <v>Ngoh, Sharon</v>
      </c>
      <c r="B3569" t="s">
        <v>7182</v>
      </c>
      <c r="C3569" t="s">
        <v>28</v>
      </c>
      <c r="D3569" t="s">
        <v>701</v>
      </c>
      <c r="E3569" t="s">
        <v>8</v>
      </c>
      <c r="F3569" t="s">
        <v>1123</v>
      </c>
      <c r="G3569" t="s">
        <v>1123</v>
      </c>
      <c r="H3569" t="s">
        <v>8</v>
      </c>
      <c r="I3569" t="s">
        <v>703</v>
      </c>
    </row>
    <row r="3570" spans="1:9" x14ac:dyDescent="0.25">
      <c r="A3570" s="1" t="str">
        <f>HYPERLINK("https://lynxcrm-apac--c.eu19.visual.force.com/0011i000001xohIAAQ","Ngoh, Yew Sing")</f>
        <v>Ngoh, Yew Sing</v>
      </c>
      <c r="B3570" t="s">
        <v>7183</v>
      </c>
      <c r="C3570" t="s">
        <v>28</v>
      </c>
      <c r="D3570" t="s">
        <v>701</v>
      </c>
      <c r="E3570" t="s">
        <v>8</v>
      </c>
      <c r="F3570" t="s">
        <v>1123</v>
      </c>
      <c r="G3570" t="s">
        <v>1123</v>
      </c>
      <c r="H3570" t="s">
        <v>8</v>
      </c>
      <c r="I3570" t="s">
        <v>703</v>
      </c>
    </row>
    <row r="3571" spans="1:9" x14ac:dyDescent="0.25">
      <c r="A3571" s="1" t="str">
        <f>HYPERLINK("https://lynxcrm-apac--c.eu19.visual.force.com/0011i00000Xf1HPAAZ","Ngoi, Natalie")</f>
        <v>Ngoi, Natalie</v>
      </c>
      <c r="B3571" t="s">
        <v>7184</v>
      </c>
      <c r="C3571" t="s">
        <v>28</v>
      </c>
      <c r="D3571" t="s">
        <v>429</v>
      </c>
      <c r="E3571" t="s">
        <v>8</v>
      </c>
      <c r="F3571" t="s">
        <v>594</v>
      </c>
      <c r="G3571" t="s">
        <v>595</v>
      </c>
      <c r="H3571" t="s">
        <v>8</v>
      </c>
      <c r="I3571" t="s">
        <v>596</v>
      </c>
    </row>
    <row r="3572" spans="1:9" x14ac:dyDescent="0.25">
      <c r="A3572" s="1" t="str">
        <f>HYPERLINK("https://lynxcrm-apac--c.eu19.visual.force.com/0011i000001xnEzAAI","Ngoi Surgery")</f>
        <v>Ngoi Surgery</v>
      </c>
      <c r="B3572" t="s">
        <v>7185</v>
      </c>
      <c r="C3572" t="s">
        <v>10</v>
      </c>
      <c r="D3572" t="s">
        <v>8</v>
      </c>
      <c r="E3572" t="s">
        <v>8</v>
      </c>
      <c r="F3572" t="s">
        <v>69</v>
      </c>
      <c r="G3572" t="s">
        <v>7186</v>
      </c>
      <c r="H3572" t="s">
        <v>7187</v>
      </c>
      <c r="I3572" t="s">
        <v>67</v>
      </c>
    </row>
    <row r="3573" spans="1:9" x14ac:dyDescent="0.25">
      <c r="A3573" s="1" t="str">
        <f>HYPERLINK("https://lynxcrm-apac--c.eu19.visual.force.com/0011i000001xmctAAA","Ng Tay Meng Gastrointestinal &amp; Liver Clinic")</f>
        <v>Ng Tay Meng Gastrointestinal &amp; Liver Clinic</v>
      </c>
      <c r="B3573" t="s">
        <v>7188</v>
      </c>
      <c r="C3573" t="s">
        <v>10</v>
      </c>
      <c r="D3573" t="s">
        <v>8</v>
      </c>
      <c r="E3573" t="s">
        <v>8</v>
      </c>
      <c r="F3573" t="s">
        <v>7142</v>
      </c>
      <c r="G3573" t="s">
        <v>7143</v>
      </c>
      <c r="H3573" t="s">
        <v>7143</v>
      </c>
      <c r="I3573" t="s">
        <v>67</v>
      </c>
    </row>
    <row r="3574" spans="1:9" x14ac:dyDescent="0.25">
      <c r="A3574" s="1" t="str">
        <f>HYPERLINK("https://lynxcrm-apac--c.eu19.visual.force.com/0011i000001xnVWAAY","Ng Teng Fong General Hospital")</f>
        <v>Ng Teng Fong General Hospital</v>
      </c>
      <c r="B3574" t="s">
        <v>7189</v>
      </c>
      <c r="C3574" t="s">
        <v>10</v>
      </c>
      <c r="D3574" t="s">
        <v>8</v>
      </c>
      <c r="E3574" t="s">
        <v>8</v>
      </c>
      <c r="F3574" t="s">
        <v>662</v>
      </c>
      <c r="G3574" t="s">
        <v>663</v>
      </c>
      <c r="H3574" t="s">
        <v>663</v>
      </c>
      <c r="I3574" t="s">
        <v>664</v>
      </c>
    </row>
    <row r="3575" spans="1:9" x14ac:dyDescent="0.25">
      <c r="A3575" s="1" t="str">
        <f>HYPERLINK("https://lynxcrm-apac--c.eu19.visual.force.com/0011i000001xngRAAQ","Ngu, Haidee")</f>
        <v>Ngu, Haidee</v>
      </c>
      <c r="B3575" t="s">
        <v>7190</v>
      </c>
      <c r="C3575" t="s">
        <v>28</v>
      </c>
      <c r="D3575" t="s">
        <v>1126</v>
      </c>
      <c r="E3575" t="s">
        <v>8</v>
      </c>
      <c r="F3575" t="s">
        <v>994</v>
      </c>
      <c r="G3575" t="s">
        <v>995</v>
      </c>
      <c r="H3575" t="s">
        <v>995</v>
      </c>
      <c r="I3575" t="s">
        <v>996</v>
      </c>
    </row>
    <row r="3576" spans="1:9" x14ac:dyDescent="0.25">
      <c r="A3576" s="1" t="str">
        <f>HYPERLINK("https://lynxcrm-apac--c.eu19.visual.force.com/0011i000001xobHAAQ","Ngui, Nicholas")</f>
        <v>Ngui, Nicholas</v>
      </c>
      <c r="B3576" t="s">
        <v>7191</v>
      </c>
      <c r="C3576" t="s">
        <v>28</v>
      </c>
      <c r="D3576" t="s">
        <v>937</v>
      </c>
      <c r="E3576" t="s">
        <v>8</v>
      </c>
      <c r="F3576" t="s">
        <v>4054</v>
      </c>
      <c r="G3576" t="s">
        <v>4047</v>
      </c>
      <c r="H3576" t="s">
        <v>4047</v>
      </c>
      <c r="I3576" t="s">
        <v>4048</v>
      </c>
    </row>
    <row r="3577" spans="1:9" x14ac:dyDescent="0.25">
      <c r="A3577" s="1" t="str">
        <f>HYPERLINK("https://lynxcrm-apac--c.eu19.visual.force.com/0011i000001xo4yAAA","Ngui, Tet Shin Francis")</f>
        <v>Ngui, Tet Shin Francis</v>
      </c>
      <c r="B3577" t="s">
        <v>7192</v>
      </c>
      <c r="C3577" t="s">
        <v>28</v>
      </c>
      <c r="D3577" t="s">
        <v>7193</v>
      </c>
      <c r="E3577" t="s">
        <v>8</v>
      </c>
      <c r="F3577" t="s">
        <v>7194</v>
      </c>
      <c r="G3577" t="s">
        <v>885</v>
      </c>
      <c r="H3577" t="s">
        <v>885</v>
      </c>
      <c r="I3577" t="s">
        <v>887</v>
      </c>
    </row>
    <row r="3578" spans="1:9" x14ac:dyDescent="0.25">
      <c r="A3578" s="1" t="str">
        <f>HYPERLINK("https://lynxcrm-apac--c.eu19.visual.force.com/0011i000001xnGYAAY","Ngui Psychiatry &amp; Associates")</f>
        <v>Ngui Psychiatry &amp; Associates</v>
      </c>
      <c r="B3578" t="s">
        <v>7195</v>
      </c>
      <c r="C3578" t="s">
        <v>10</v>
      </c>
      <c r="D3578" t="s">
        <v>8</v>
      </c>
      <c r="E3578" t="s">
        <v>8</v>
      </c>
      <c r="F3578" t="s">
        <v>7194</v>
      </c>
      <c r="G3578" t="s">
        <v>885</v>
      </c>
      <c r="H3578" t="s">
        <v>885</v>
      </c>
      <c r="I3578" t="s">
        <v>887</v>
      </c>
    </row>
    <row r="3579" spans="1:9" x14ac:dyDescent="0.25">
      <c r="A3579" s="1" t="str">
        <f>HYPERLINK("https://lynxcrm-apac--c.eu19.visual.force.com/0011i000001xmkrAAA","Nihon Premium Clinic")</f>
        <v>Nihon Premium Clinic</v>
      </c>
      <c r="B3579" t="s">
        <v>7196</v>
      </c>
      <c r="C3579" t="s">
        <v>10</v>
      </c>
      <c r="D3579" t="s">
        <v>8</v>
      </c>
      <c r="E3579" t="s">
        <v>8</v>
      </c>
      <c r="F3579" t="s">
        <v>417</v>
      </c>
      <c r="G3579" t="s">
        <v>4200</v>
      </c>
      <c r="H3579" t="s">
        <v>4201</v>
      </c>
      <c r="I3579" t="s">
        <v>887</v>
      </c>
    </row>
    <row r="3580" spans="1:9" x14ac:dyDescent="0.25">
      <c r="A3580" s="1" t="str">
        <f>HYPERLINK("https://lynxcrm-apac--c.eu19.visual.force.com/0011i000001xoGzAAI","Nikolas, Wanahita")</f>
        <v>Nikolas, Wanahita</v>
      </c>
      <c r="B3580" t="s">
        <v>7197</v>
      </c>
      <c r="C3580" t="s">
        <v>28</v>
      </c>
      <c r="D3580" t="s">
        <v>7198</v>
      </c>
      <c r="E3580" t="s">
        <v>8</v>
      </c>
      <c r="F3580" t="s">
        <v>3657</v>
      </c>
      <c r="G3580" t="s">
        <v>2731</v>
      </c>
      <c r="H3580" t="s">
        <v>2731</v>
      </c>
      <c r="I3580" t="s">
        <v>344</v>
      </c>
    </row>
    <row r="3581" spans="1:9" x14ac:dyDescent="0.25">
      <c r="A3581" s="1" t="str">
        <f>HYPERLINK("https://lynxcrm-apac--c.eu19.visual.force.com/0011i000001xndJAAQ","Niks Professional Pte Ltd")</f>
        <v>Niks Professional Pte Ltd</v>
      </c>
      <c r="B3581" t="s">
        <v>7199</v>
      </c>
      <c r="C3581" t="s">
        <v>10</v>
      </c>
      <c r="D3581" t="s">
        <v>8</v>
      </c>
      <c r="E3581" t="s">
        <v>8</v>
      </c>
      <c r="F3581" t="s">
        <v>7200</v>
      </c>
      <c r="G3581" t="s">
        <v>7201</v>
      </c>
      <c r="H3581" t="s">
        <v>7201</v>
      </c>
      <c r="I3581" t="s">
        <v>1619</v>
      </c>
    </row>
    <row r="3582" spans="1:9" x14ac:dyDescent="0.25">
      <c r="A3582" s="1" t="str">
        <f>HYPERLINK("https://lynxcrm-apac--c.eu19.visual.force.com/0011i000001xmsbAAA","Nippon Medical Care")</f>
        <v>Nippon Medical Care</v>
      </c>
      <c r="B3582" t="s">
        <v>7202</v>
      </c>
      <c r="C3582" t="s">
        <v>10</v>
      </c>
      <c r="D3582" t="s">
        <v>8</v>
      </c>
      <c r="E3582" t="s">
        <v>8</v>
      </c>
      <c r="F3582" t="s">
        <v>7203</v>
      </c>
      <c r="G3582" t="s">
        <v>65</v>
      </c>
      <c r="H3582" t="s">
        <v>65</v>
      </c>
      <c r="I3582" t="s">
        <v>466</v>
      </c>
    </row>
    <row r="3583" spans="1:9" x14ac:dyDescent="0.25">
      <c r="A3583" s="1" t="str">
        <f>HYPERLINK("https://lynxcrm-apac--c.eu19.visual.force.com/0011i000001xoFdAAI","Nisha, Chandwani")</f>
        <v>Nisha, Chandwani</v>
      </c>
      <c r="B3583" t="s">
        <v>7204</v>
      </c>
      <c r="C3583" t="s">
        <v>28</v>
      </c>
      <c r="D3583" t="s">
        <v>815</v>
      </c>
      <c r="E3583" t="s">
        <v>8</v>
      </c>
      <c r="F3583" t="s">
        <v>816</v>
      </c>
      <c r="G3583" t="s">
        <v>815</v>
      </c>
      <c r="H3583" t="s">
        <v>815</v>
      </c>
      <c r="I3583" t="s">
        <v>817</v>
      </c>
    </row>
    <row r="3584" spans="1:9" x14ac:dyDescent="0.25">
      <c r="A3584" s="1" t="str">
        <f>HYPERLINK("https://lynxcrm-apac--c.eu19.visual.force.com/0011i000001xnfoAAA","Nisha, Tharu")</f>
        <v>Nisha, Tharu</v>
      </c>
      <c r="B3584" t="s">
        <v>7205</v>
      </c>
      <c r="C3584" t="s">
        <v>28</v>
      </c>
      <c r="D3584" t="s">
        <v>520</v>
      </c>
      <c r="E3584" t="s">
        <v>8</v>
      </c>
      <c r="F3584" t="s">
        <v>90</v>
      </c>
      <c r="G3584" t="s">
        <v>521</v>
      </c>
      <c r="H3584" t="s">
        <v>521</v>
      </c>
      <c r="I3584" t="s">
        <v>92</v>
      </c>
    </row>
    <row r="3585" spans="1:9" x14ac:dyDescent="0.25">
      <c r="A3585" s="1" t="str">
        <f>HYPERLINK("https://lynxcrm-apac--c.eu19.visual.force.com/0011i000001xnLxAAI","N K Chin Chest &amp; Medical Clinic")</f>
        <v>N K Chin Chest &amp; Medical Clinic</v>
      </c>
      <c r="B3585" t="s">
        <v>7206</v>
      </c>
      <c r="C3585" t="s">
        <v>10</v>
      </c>
      <c r="D3585" t="s">
        <v>8</v>
      </c>
      <c r="E3585" t="s">
        <v>8</v>
      </c>
      <c r="F3585" t="s">
        <v>377</v>
      </c>
      <c r="G3585" t="s">
        <v>1938</v>
      </c>
      <c r="H3585" t="s">
        <v>1938</v>
      </c>
      <c r="I3585" t="s">
        <v>123</v>
      </c>
    </row>
    <row r="3586" spans="1:9" x14ac:dyDescent="0.25">
      <c r="A3586" s="1" t="str">
        <f>HYPERLINK("https://lynxcrm-apac--c.eu19.visual.force.com/0011i000001xmznAAA","Nobel Heart Centre")</f>
        <v>Nobel Heart Centre</v>
      </c>
      <c r="B3586" t="s">
        <v>7207</v>
      </c>
      <c r="C3586" t="s">
        <v>10</v>
      </c>
      <c r="D3586" t="s">
        <v>8</v>
      </c>
      <c r="E3586" t="s">
        <v>8</v>
      </c>
      <c r="F3586" t="s">
        <v>7208</v>
      </c>
      <c r="G3586" t="s">
        <v>7209</v>
      </c>
      <c r="H3586" t="s">
        <v>7209</v>
      </c>
      <c r="I3586" t="s">
        <v>200</v>
      </c>
    </row>
    <row r="3587" spans="1:9" x14ac:dyDescent="0.25">
      <c r="A3587" s="1" t="str">
        <f>HYPERLINK("https://lynxcrm-apac--c.eu19.visual.force.com/0011i000001xnFUAAY","Nobel Surgery Centre")</f>
        <v>Nobel Surgery Centre</v>
      </c>
      <c r="B3587" t="s">
        <v>7210</v>
      </c>
      <c r="C3587" t="s">
        <v>10</v>
      </c>
      <c r="D3587" t="s">
        <v>8</v>
      </c>
      <c r="E3587" t="s">
        <v>8</v>
      </c>
      <c r="F3587" t="s">
        <v>5641</v>
      </c>
      <c r="G3587" t="s">
        <v>198</v>
      </c>
      <c r="H3587" t="s">
        <v>198</v>
      </c>
      <c r="I3587" t="s">
        <v>200</v>
      </c>
    </row>
    <row r="3588" spans="1:9" x14ac:dyDescent="0.25">
      <c r="A3588" s="1" t="str">
        <f>HYPERLINK("https://lynxcrm-apac--c.eu19.visual.force.com/0011i000001xosyAAA","Noor, Hazlina")</f>
        <v>Noor, Hazlina</v>
      </c>
      <c r="B3588" t="s">
        <v>7211</v>
      </c>
      <c r="C3588" t="s">
        <v>28</v>
      </c>
      <c r="D3588" t="s">
        <v>261</v>
      </c>
      <c r="E3588" t="s">
        <v>8</v>
      </c>
      <c r="F3588" t="s">
        <v>359</v>
      </c>
      <c r="G3588" t="s">
        <v>347</v>
      </c>
      <c r="H3588" t="s">
        <v>347</v>
      </c>
      <c r="I3588" t="s">
        <v>415</v>
      </c>
    </row>
    <row r="3589" spans="1:9" x14ac:dyDescent="0.25">
      <c r="A3589" s="1" t="str">
        <f>HYPERLINK("https://lynxcrm-apac--c.eu19.visual.force.com/0011i000001xoqdAAA","Noor Eliza")</f>
        <v>Noor Eliza</v>
      </c>
      <c r="B3589" t="s">
        <v>7212</v>
      </c>
      <c r="C3589" t="s">
        <v>28</v>
      </c>
      <c r="D3589" t="s">
        <v>7213</v>
      </c>
      <c r="E3589" t="s">
        <v>8</v>
      </c>
      <c r="F3589" t="s">
        <v>5832</v>
      </c>
      <c r="G3589" t="s">
        <v>7214</v>
      </c>
      <c r="H3589" t="s">
        <v>7214</v>
      </c>
      <c r="I3589" t="s">
        <v>5834</v>
      </c>
    </row>
    <row r="3590" spans="1:9" x14ac:dyDescent="0.25">
      <c r="A3590" s="1" t="str">
        <f>HYPERLINK("https://lynxcrm-apac--c.eu19.visual.force.com/0011i000001xoErAAI","Nor Azhar, bin Mohd Zam")</f>
        <v>Nor Azhar, bin Mohd Zam</v>
      </c>
      <c r="B3590" t="s">
        <v>7215</v>
      </c>
      <c r="C3590" t="s">
        <v>28</v>
      </c>
      <c r="D3590" t="s">
        <v>7216</v>
      </c>
      <c r="E3590" t="s">
        <v>8</v>
      </c>
      <c r="F3590" t="s">
        <v>7217</v>
      </c>
      <c r="G3590" t="s">
        <v>1027</v>
      </c>
      <c r="H3590" t="s">
        <v>7218</v>
      </c>
      <c r="I3590" t="s">
        <v>3857</v>
      </c>
    </row>
    <row r="3591" spans="1:9" x14ac:dyDescent="0.25">
      <c r="A3591" s="1" t="str">
        <f>HYPERLINK("https://lynxcrm-apac--c.eu19.visual.force.com/0011i000001xnt2AAA","Norazieda, Mohd Yassin")</f>
        <v>Norazieda, Mohd Yassin</v>
      </c>
      <c r="B3591" t="s">
        <v>7219</v>
      </c>
      <c r="C3591" t="s">
        <v>28</v>
      </c>
      <c r="D3591" t="s">
        <v>474</v>
      </c>
      <c r="E3591" t="s">
        <v>8</v>
      </c>
      <c r="F3591" t="s">
        <v>1263</v>
      </c>
      <c r="G3591" t="s">
        <v>258</v>
      </c>
      <c r="H3591" t="s">
        <v>259</v>
      </c>
      <c r="I3591" t="s">
        <v>260</v>
      </c>
    </row>
    <row r="3592" spans="1:9" x14ac:dyDescent="0.25">
      <c r="A3592" s="1" t="str">
        <f t="shared" ref="A3592:A3597" si="30">HYPERLINK("https://lynxcrm-apac--c.eu19.visual.force.com/0011i000001xoA8AAI","Norhisham, Bin Main")</f>
        <v>Norhisham, Bin Main</v>
      </c>
      <c r="B3592" t="s">
        <v>7220</v>
      </c>
      <c r="C3592" t="s">
        <v>28</v>
      </c>
      <c r="D3592" t="s">
        <v>501</v>
      </c>
      <c r="E3592" t="s">
        <v>8</v>
      </c>
      <c r="F3592" t="s">
        <v>359</v>
      </c>
      <c r="G3592" t="s">
        <v>502</v>
      </c>
      <c r="H3592" t="s">
        <v>503</v>
      </c>
      <c r="I3592" t="s">
        <v>506</v>
      </c>
    </row>
    <row r="3593" spans="1:9" x14ac:dyDescent="0.25">
      <c r="A3593" s="1" t="str">
        <f t="shared" si="30"/>
        <v>Norhisham, Bin Main</v>
      </c>
      <c r="B3593" t="s">
        <v>7220</v>
      </c>
      <c r="C3593" t="s">
        <v>28</v>
      </c>
      <c r="D3593" t="s">
        <v>501</v>
      </c>
      <c r="E3593" t="s">
        <v>8</v>
      </c>
      <c r="F3593" t="s">
        <v>501</v>
      </c>
      <c r="G3593" t="s">
        <v>502</v>
      </c>
      <c r="H3593" t="s">
        <v>502</v>
      </c>
      <c r="I3593" t="s">
        <v>506</v>
      </c>
    </row>
    <row r="3594" spans="1:9" x14ac:dyDescent="0.25">
      <c r="A3594" s="1" t="str">
        <f t="shared" si="30"/>
        <v>Norhisham, Bin Main</v>
      </c>
      <c r="B3594" t="s">
        <v>7220</v>
      </c>
      <c r="C3594" t="s">
        <v>28</v>
      </c>
      <c r="D3594" t="s">
        <v>501</v>
      </c>
      <c r="E3594" t="s">
        <v>8</v>
      </c>
      <c r="F3594" t="s">
        <v>502</v>
      </c>
      <c r="G3594" t="s">
        <v>502</v>
      </c>
      <c r="H3594" t="s">
        <v>503</v>
      </c>
      <c r="I3594" t="s">
        <v>504</v>
      </c>
    </row>
    <row r="3595" spans="1:9" x14ac:dyDescent="0.25">
      <c r="A3595" s="1" t="str">
        <f t="shared" si="30"/>
        <v>Norhisham, Bin Main</v>
      </c>
      <c r="B3595" t="s">
        <v>7220</v>
      </c>
      <c r="C3595" t="s">
        <v>28</v>
      </c>
      <c r="D3595" t="s">
        <v>501</v>
      </c>
      <c r="E3595" t="s">
        <v>8</v>
      </c>
      <c r="F3595" t="s">
        <v>246</v>
      </c>
      <c r="G3595" t="s">
        <v>502</v>
      </c>
      <c r="H3595" t="s">
        <v>503</v>
      </c>
      <c r="I3595" t="s">
        <v>504</v>
      </c>
    </row>
    <row r="3596" spans="1:9" x14ac:dyDescent="0.25">
      <c r="A3596" s="1" t="str">
        <f t="shared" si="30"/>
        <v>Norhisham, Bin Main</v>
      </c>
      <c r="B3596" t="s">
        <v>7220</v>
      </c>
      <c r="C3596" t="s">
        <v>28</v>
      </c>
      <c r="D3596" t="s">
        <v>501</v>
      </c>
      <c r="E3596" t="s">
        <v>8</v>
      </c>
      <c r="F3596" t="s">
        <v>246</v>
      </c>
      <c r="G3596" t="s">
        <v>502</v>
      </c>
      <c r="H3596" t="s">
        <v>503</v>
      </c>
      <c r="I3596" t="s">
        <v>505</v>
      </c>
    </row>
    <row r="3597" spans="1:9" x14ac:dyDescent="0.25">
      <c r="A3597" s="1" t="str">
        <f t="shared" si="30"/>
        <v>Norhisham, Bin Main</v>
      </c>
      <c r="B3597" t="s">
        <v>7220</v>
      </c>
      <c r="C3597" t="s">
        <v>28</v>
      </c>
      <c r="D3597" t="s">
        <v>501</v>
      </c>
      <c r="E3597" t="s">
        <v>8</v>
      </c>
      <c r="F3597" t="s">
        <v>234</v>
      </c>
      <c r="G3597" t="s">
        <v>502</v>
      </c>
      <c r="H3597" t="s">
        <v>503</v>
      </c>
      <c r="I3597" t="s">
        <v>504</v>
      </c>
    </row>
    <row r="3598" spans="1:9" x14ac:dyDescent="0.25">
      <c r="A3598" s="1" t="str">
        <f>HYPERLINK("https://lynxcrm-apac--c.eu19.visual.force.com/0011i000001xmyWAAQ","Northeast (Simei) Medical Centre")</f>
        <v>Northeast (Simei) Medical Centre</v>
      </c>
      <c r="B3598" t="s">
        <v>7221</v>
      </c>
      <c r="C3598" t="s">
        <v>10</v>
      </c>
      <c r="D3598" t="s">
        <v>8</v>
      </c>
      <c r="E3598" t="s">
        <v>8</v>
      </c>
      <c r="F3598" t="s">
        <v>3527</v>
      </c>
      <c r="G3598" t="s">
        <v>3528</v>
      </c>
      <c r="H3598" t="s">
        <v>3528</v>
      </c>
      <c r="I3598" t="s">
        <v>3529</v>
      </c>
    </row>
    <row r="3599" spans="1:9" x14ac:dyDescent="0.25">
      <c r="A3599" s="1" t="str">
        <f>HYPERLINK("https://lynxcrm-apac--c.eu19.visual.force.com/0011i000001xnT0AAI","Northeast (TMA) Medical Associates")</f>
        <v>Northeast (TMA) Medical Associates</v>
      </c>
      <c r="B3599" t="s">
        <v>7222</v>
      </c>
      <c r="C3599" t="s">
        <v>10</v>
      </c>
      <c r="D3599" t="s">
        <v>8</v>
      </c>
      <c r="E3599" t="s">
        <v>8</v>
      </c>
      <c r="F3599" t="s">
        <v>7223</v>
      </c>
      <c r="G3599" t="s">
        <v>7224</v>
      </c>
      <c r="H3599" t="s">
        <v>7224</v>
      </c>
      <c r="I3599" t="s">
        <v>2034</v>
      </c>
    </row>
    <row r="3600" spans="1:9" x14ac:dyDescent="0.25">
      <c r="A3600" s="1" t="str">
        <f>HYPERLINK("https://lynxcrm-apac--c.eu19.visual.force.com/0011i000001xmlVAAQ","Northeast Clinic")</f>
        <v>Northeast Clinic</v>
      </c>
      <c r="B3600" t="s">
        <v>7225</v>
      </c>
      <c r="C3600" t="s">
        <v>10</v>
      </c>
      <c r="D3600" t="s">
        <v>8</v>
      </c>
      <c r="E3600" t="s">
        <v>8</v>
      </c>
      <c r="F3600" t="s">
        <v>2032</v>
      </c>
      <c r="G3600" t="s">
        <v>7226</v>
      </c>
      <c r="H3600" t="s">
        <v>7226</v>
      </c>
      <c r="I3600" t="s">
        <v>7227</v>
      </c>
    </row>
    <row r="3601" spans="1:9" x14ac:dyDescent="0.25">
      <c r="A3601" s="1" t="str">
        <f>HYPERLINK("https://lynxcrm-apac--c.eu19.visual.force.com/0011i000001xnKYAAY","Northeast Health International")</f>
        <v>Northeast Health International</v>
      </c>
      <c r="B3601" t="s">
        <v>7228</v>
      </c>
      <c r="C3601" t="s">
        <v>10</v>
      </c>
      <c r="D3601" t="s">
        <v>8</v>
      </c>
      <c r="E3601" t="s">
        <v>8</v>
      </c>
      <c r="F3601" t="s">
        <v>7229</v>
      </c>
      <c r="G3601" t="s">
        <v>7230</v>
      </c>
      <c r="H3601" t="s">
        <v>7230</v>
      </c>
      <c r="I3601" t="s">
        <v>7231</v>
      </c>
    </row>
    <row r="3602" spans="1:9" x14ac:dyDescent="0.25">
      <c r="A3602" s="1" t="str">
        <f>HYPERLINK("https://lynxcrm-apac--c.eu19.visual.force.com/0011i000001xmfmAAA","Northeast Medical Group")</f>
        <v>Northeast Medical Group</v>
      </c>
      <c r="B3602" t="s">
        <v>7232</v>
      </c>
      <c r="C3602" t="s">
        <v>10</v>
      </c>
      <c r="D3602" t="s">
        <v>8</v>
      </c>
      <c r="E3602" t="s">
        <v>8</v>
      </c>
      <c r="F3602" t="s">
        <v>7233</v>
      </c>
      <c r="G3602" t="s">
        <v>7234</v>
      </c>
      <c r="H3602" t="s">
        <v>7234</v>
      </c>
      <c r="I3602" t="s">
        <v>7235</v>
      </c>
    </row>
    <row r="3603" spans="1:9" x14ac:dyDescent="0.25">
      <c r="A3603" s="1" t="str">
        <f>HYPERLINK("https://lynxcrm-apac--c.eu19.visual.force.com/0011i000001xnKSAAY","Northeast Medical Group")</f>
        <v>Northeast Medical Group</v>
      </c>
      <c r="B3603" t="s">
        <v>7236</v>
      </c>
      <c r="C3603" t="s">
        <v>10</v>
      </c>
      <c r="D3603" t="s">
        <v>8</v>
      </c>
      <c r="E3603" t="s">
        <v>8</v>
      </c>
      <c r="F3603" t="s">
        <v>7237</v>
      </c>
      <c r="G3603" t="s">
        <v>7238</v>
      </c>
      <c r="H3603" t="s">
        <v>7238</v>
      </c>
      <c r="I3603" t="s">
        <v>7239</v>
      </c>
    </row>
    <row r="3604" spans="1:9" x14ac:dyDescent="0.25">
      <c r="A3604" s="1" t="str">
        <f>HYPERLINK("https://lynxcrm-apac--c.eu19.visual.force.com/0011i000001xmioAAA","Northeast Medical Group")</f>
        <v>Northeast Medical Group</v>
      </c>
      <c r="B3604" t="s">
        <v>7240</v>
      </c>
      <c r="C3604" t="s">
        <v>10</v>
      </c>
      <c r="D3604" t="s">
        <v>8</v>
      </c>
      <c r="E3604" t="s">
        <v>8</v>
      </c>
      <c r="F3604" t="s">
        <v>2016</v>
      </c>
      <c r="G3604" t="s">
        <v>1642</v>
      </c>
      <c r="H3604" t="s">
        <v>1642</v>
      </c>
      <c r="I3604" t="s">
        <v>2017</v>
      </c>
    </row>
    <row r="3605" spans="1:9" x14ac:dyDescent="0.25">
      <c r="A3605" s="1" t="str">
        <f>HYPERLINK("https://lynxcrm-apac--c.eu19.visual.force.com/0011i000007FG5ZAAW","Northeast Medical Group Raffles Place")</f>
        <v>Northeast Medical Group Raffles Place</v>
      </c>
      <c r="B3605" t="s">
        <v>7241</v>
      </c>
      <c r="C3605" t="s">
        <v>10</v>
      </c>
      <c r="D3605" t="s">
        <v>8</v>
      </c>
      <c r="E3605" t="s">
        <v>8</v>
      </c>
      <c r="F3605" t="s">
        <v>6140</v>
      </c>
      <c r="G3605" t="s">
        <v>6141</v>
      </c>
      <c r="H3605" t="s">
        <v>8</v>
      </c>
      <c r="I3605" t="s">
        <v>6142</v>
      </c>
    </row>
    <row r="3606" spans="1:9" x14ac:dyDescent="0.25">
      <c r="A3606" s="1" t="str">
        <f>HYPERLINK("https://lynxcrm-apac--c.eu19.visual.force.com/0011i000001xmstAAA","Northland Family Cl. &amp; Surgery")</f>
        <v>Northland Family Cl. &amp; Surgery</v>
      </c>
      <c r="B3606" t="s">
        <v>7242</v>
      </c>
      <c r="C3606" t="s">
        <v>10</v>
      </c>
      <c r="D3606" t="s">
        <v>8</v>
      </c>
      <c r="E3606" t="s">
        <v>8</v>
      </c>
      <c r="F3606" t="s">
        <v>5391</v>
      </c>
      <c r="G3606" t="s">
        <v>5392</v>
      </c>
      <c r="H3606" t="s">
        <v>5393</v>
      </c>
      <c r="I3606" t="s">
        <v>5394</v>
      </c>
    </row>
    <row r="3607" spans="1:9" x14ac:dyDescent="0.25">
      <c r="A3607" s="1" t="str">
        <f>HYPERLINK("https://lynxcrm-apac--c.eu19.visual.force.com/0011i000001xn22AAA","Northland Family Clinic &amp; Surgery")</f>
        <v>Northland Family Clinic &amp; Surgery</v>
      </c>
      <c r="B3607" t="s">
        <v>7243</v>
      </c>
      <c r="C3607" t="s">
        <v>10</v>
      </c>
      <c r="D3607" t="s">
        <v>8</v>
      </c>
      <c r="E3607" t="s">
        <v>8</v>
      </c>
      <c r="F3607" t="s">
        <v>5391</v>
      </c>
      <c r="G3607" t="s">
        <v>5392</v>
      </c>
      <c r="H3607" t="s">
        <v>5393</v>
      </c>
      <c r="I3607" t="s">
        <v>5394</v>
      </c>
    </row>
    <row r="3608" spans="1:9" x14ac:dyDescent="0.25">
      <c r="A3608" s="1" t="str">
        <f>HYPERLINK("https://lynxcrm-apac--c.eu19.visual.force.com/0011i000007EavqAAC","Norwood Medical Clinic")</f>
        <v>Norwood Medical Clinic</v>
      </c>
      <c r="B3608" t="s">
        <v>7244</v>
      </c>
      <c r="C3608" t="s">
        <v>10</v>
      </c>
      <c r="D3608" t="s">
        <v>8</v>
      </c>
      <c r="E3608" t="s">
        <v>8</v>
      </c>
      <c r="F3608" t="s">
        <v>7245</v>
      </c>
      <c r="G3608" t="s">
        <v>564</v>
      </c>
      <c r="H3608" t="s">
        <v>8</v>
      </c>
      <c r="I3608" t="s">
        <v>7246</v>
      </c>
    </row>
    <row r="3609" spans="1:9" x14ac:dyDescent="0.25">
      <c r="A3609" s="1" t="str">
        <f>HYPERLINK("https://lynxcrm-apac--c.eu19.visual.force.com/0011i000001xmfJAAQ","Novena Cancer Centre")</f>
        <v>Novena Cancer Centre</v>
      </c>
      <c r="B3609" t="s">
        <v>7247</v>
      </c>
      <c r="C3609" t="s">
        <v>10</v>
      </c>
      <c r="D3609" t="s">
        <v>8</v>
      </c>
      <c r="E3609" t="s">
        <v>8</v>
      </c>
      <c r="F3609" t="s">
        <v>1838</v>
      </c>
      <c r="G3609" t="s">
        <v>7248</v>
      </c>
      <c r="H3609" t="s">
        <v>7248</v>
      </c>
      <c r="I3609" t="s">
        <v>344</v>
      </c>
    </row>
    <row r="3610" spans="1:9" x14ac:dyDescent="0.25">
      <c r="A3610" s="1" t="str">
        <f>HYPERLINK("https://lynxcrm-apac--c.eu19.visual.force.com/0011i000001xnAjAAI","Novena Heart Centre")</f>
        <v>Novena Heart Centre</v>
      </c>
      <c r="B3610" t="s">
        <v>7249</v>
      </c>
      <c r="C3610" t="s">
        <v>10</v>
      </c>
      <c r="D3610" t="s">
        <v>8</v>
      </c>
      <c r="E3610" t="s">
        <v>8</v>
      </c>
      <c r="F3610" t="s">
        <v>7104</v>
      </c>
      <c r="G3610" t="s">
        <v>2490</v>
      </c>
      <c r="H3610" t="s">
        <v>2490</v>
      </c>
      <c r="I3610" t="s">
        <v>344</v>
      </c>
    </row>
    <row r="3611" spans="1:9" x14ac:dyDescent="0.25">
      <c r="A3611" s="1" t="str">
        <f>HYPERLINK("https://lynxcrm-apac--c.eu19.visual.force.com/0011i000001xnEPAAY","Novena Heart Centre")</f>
        <v>Novena Heart Centre</v>
      </c>
      <c r="B3611" t="s">
        <v>7250</v>
      </c>
      <c r="C3611" t="s">
        <v>10</v>
      </c>
      <c r="D3611" t="s">
        <v>8</v>
      </c>
      <c r="E3611" t="s">
        <v>8</v>
      </c>
      <c r="F3611" t="s">
        <v>417</v>
      </c>
      <c r="G3611" t="s">
        <v>7251</v>
      </c>
      <c r="H3611" t="s">
        <v>7251</v>
      </c>
      <c r="I3611" t="s">
        <v>7252</v>
      </c>
    </row>
    <row r="3612" spans="1:9" x14ac:dyDescent="0.25">
      <c r="A3612" s="1" t="str">
        <f>HYPERLINK("https://lynxcrm-apac--c.eu19.visual.force.com/0011i000001xmjNAAQ","Novena Heart Centre")</f>
        <v>Novena Heart Centre</v>
      </c>
      <c r="B3612" t="s">
        <v>7253</v>
      </c>
      <c r="C3612" t="s">
        <v>10</v>
      </c>
      <c r="D3612" t="s">
        <v>8</v>
      </c>
      <c r="E3612" t="s">
        <v>8</v>
      </c>
      <c r="F3612" t="s">
        <v>417</v>
      </c>
      <c r="G3612" t="s">
        <v>7254</v>
      </c>
      <c r="H3612" t="s">
        <v>7252</v>
      </c>
      <c r="I3612" t="s">
        <v>887</v>
      </c>
    </row>
    <row r="3613" spans="1:9" x14ac:dyDescent="0.25">
      <c r="A3613" s="1" t="str">
        <f>HYPERLINK("https://lynxcrm-apac--c.eu19.visual.force.com/0011i000001xnAiAAI","Novena Heart Centre")</f>
        <v>Novena Heart Centre</v>
      </c>
      <c r="B3613" t="s">
        <v>7255</v>
      </c>
      <c r="C3613" t="s">
        <v>10</v>
      </c>
      <c r="D3613" t="s">
        <v>8</v>
      </c>
      <c r="E3613" t="s">
        <v>8</v>
      </c>
      <c r="F3613" t="s">
        <v>7256</v>
      </c>
      <c r="G3613" t="s">
        <v>2490</v>
      </c>
      <c r="H3613" t="s">
        <v>2490</v>
      </c>
      <c r="I3613" t="s">
        <v>344</v>
      </c>
    </row>
    <row r="3614" spans="1:9" x14ac:dyDescent="0.25">
      <c r="A3614" s="1" t="str">
        <f>HYPERLINK("https://lynxcrm-apac--c.eu19.visual.force.com/0011i000001xnEhAAI","Novena Heart Centre")</f>
        <v>Novena Heart Centre</v>
      </c>
      <c r="B3614" t="s">
        <v>7257</v>
      </c>
      <c r="C3614" t="s">
        <v>10</v>
      </c>
      <c r="D3614" t="s">
        <v>8</v>
      </c>
      <c r="E3614" t="s">
        <v>8</v>
      </c>
      <c r="F3614" t="s">
        <v>417</v>
      </c>
      <c r="G3614" t="s">
        <v>7254</v>
      </c>
      <c r="H3614" t="s">
        <v>7252</v>
      </c>
      <c r="I3614" t="s">
        <v>887</v>
      </c>
    </row>
    <row r="3615" spans="1:9" x14ac:dyDescent="0.25">
      <c r="A3615" s="1" t="str">
        <f>HYPERLINK("https://lynxcrm-apac--c.eu19.visual.force.com/0011i000001xmwGAAQ","Novena Psychiatric Clinic")</f>
        <v>Novena Psychiatric Clinic</v>
      </c>
      <c r="B3615" t="s">
        <v>7258</v>
      </c>
      <c r="C3615" t="s">
        <v>10</v>
      </c>
      <c r="D3615" t="s">
        <v>8</v>
      </c>
      <c r="E3615" t="s">
        <v>8</v>
      </c>
      <c r="F3615" t="s">
        <v>7259</v>
      </c>
      <c r="G3615" t="s">
        <v>7260</v>
      </c>
      <c r="H3615" t="s">
        <v>7260</v>
      </c>
      <c r="I3615" t="s">
        <v>887</v>
      </c>
    </row>
    <row r="3616" spans="1:9" x14ac:dyDescent="0.25">
      <c r="A3616" s="1" t="str">
        <f>HYPERLINK("https://lynxcrm-apac--c.eu19.visual.force.com/0011i000001xmvBAAQ","Nuffield Medical")</f>
        <v>Nuffield Medical</v>
      </c>
      <c r="B3616" t="s">
        <v>7261</v>
      </c>
      <c r="C3616" t="s">
        <v>10</v>
      </c>
      <c r="D3616" t="s">
        <v>8</v>
      </c>
      <c r="E3616" t="s">
        <v>8</v>
      </c>
      <c r="F3616" t="s">
        <v>7262</v>
      </c>
      <c r="G3616" t="s">
        <v>7263</v>
      </c>
      <c r="H3616" t="s">
        <v>7263</v>
      </c>
      <c r="I3616" t="s">
        <v>7264</v>
      </c>
    </row>
    <row r="3617" spans="1:9" x14ac:dyDescent="0.25">
      <c r="A3617" s="1" t="str">
        <f>HYPERLINK("https://lynxcrm-apac--c.eu19.visual.force.com/0011i00000oYBGvAAO","Nur, Shaheda Bte Abd Kadir")</f>
        <v>Nur, Shaheda Bte Abd Kadir</v>
      </c>
      <c r="B3617" t="s">
        <v>7265</v>
      </c>
      <c r="C3617" t="s">
        <v>28</v>
      </c>
      <c r="D3617" t="s">
        <v>392</v>
      </c>
      <c r="E3617" t="s">
        <v>8</v>
      </c>
      <c r="F3617" t="s">
        <v>393</v>
      </c>
      <c r="G3617" t="s">
        <v>394</v>
      </c>
      <c r="H3617" t="s">
        <v>395</v>
      </c>
      <c r="I3617" t="s">
        <v>396</v>
      </c>
    </row>
    <row r="3618" spans="1:9" x14ac:dyDescent="0.25">
      <c r="A3618" s="1" t="str">
        <f>HYPERLINK("https://lynxcrm-apac--c.eu19.visual.force.com/0011i00000oYBGvAAO","Nur, Shaheda Bte Abd Kadir")</f>
        <v>Nur, Shaheda Bte Abd Kadir</v>
      </c>
      <c r="B3618" t="s">
        <v>7265</v>
      </c>
      <c r="C3618" t="s">
        <v>28</v>
      </c>
      <c r="D3618" t="s">
        <v>8</v>
      </c>
      <c r="E3618" t="s">
        <v>8</v>
      </c>
      <c r="F3618" t="s">
        <v>393</v>
      </c>
      <c r="G3618" t="s">
        <v>394</v>
      </c>
      <c r="H3618" t="s">
        <v>395</v>
      </c>
      <c r="I3618" t="s">
        <v>396</v>
      </c>
    </row>
    <row r="3619" spans="1:9" x14ac:dyDescent="0.25">
      <c r="A3619" s="1" t="str">
        <f>HYPERLINK("https://lynxcrm-apac--c.eu19.visual.force.com/0011i000001xn69AAA","Nyam Colon, Rectal &amp; General Surgery Pte Ltd")</f>
        <v>Nyam Colon, Rectal &amp; General Surgery Pte Ltd</v>
      </c>
      <c r="B3619" t="s">
        <v>7266</v>
      </c>
      <c r="C3619" t="s">
        <v>10</v>
      </c>
      <c r="D3619" t="s">
        <v>8</v>
      </c>
      <c r="E3619" t="s">
        <v>8</v>
      </c>
      <c r="F3619" t="s">
        <v>377</v>
      </c>
      <c r="G3619" t="s">
        <v>7267</v>
      </c>
      <c r="H3619" t="s">
        <v>7268</v>
      </c>
      <c r="I3619" t="s">
        <v>123</v>
      </c>
    </row>
    <row r="3620" spans="1:9" x14ac:dyDescent="0.25">
      <c r="A3620" s="1" t="str">
        <f>HYPERLINK("https://lynxcrm-apac--c.eu19.visual.force.com/0011i000001xnd8AAA","Nyam Family Clinic")</f>
        <v>Nyam Family Clinic</v>
      </c>
      <c r="B3620" t="s">
        <v>7269</v>
      </c>
      <c r="C3620" t="s">
        <v>10</v>
      </c>
      <c r="D3620" t="s">
        <v>8</v>
      </c>
      <c r="E3620" t="s">
        <v>8</v>
      </c>
      <c r="F3620" t="s">
        <v>7270</v>
      </c>
      <c r="G3620" t="s">
        <v>7270</v>
      </c>
      <c r="H3620" t="s">
        <v>7271</v>
      </c>
      <c r="I3620" t="s">
        <v>7272</v>
      </c>
    </row>
    <row r="3621" spans="1:9" x14ac:dyDescent="0.25">
      <c r="A3621" s="1" t="str">
        <f>HYPERLINK("https://lynxcrm-apac--c.eu19.visual.force.com/0011i000001xmkZAAQ","NY Wong Surgery")</f>
        <v>NY Wong Surgery</v>
      </c>
      <c r="B3621" t="s">
        <v>7273</v>
      </c>
      <c r="C3621" t="s">
        <v>10</v>
      </c>
      <c r="D3621" t="s">
        <v>8</v>
      </c>
      <c r="E3621" t="s">
        <v>8</v>
      </c>
      <c r="F3621" t="s">
        <v>377</v>
      </c>
      <c r="G3621" t="s">
        <v>971</v>
      </c>
      <c r="H3621" t="s">
        <v>7274</v>
      </c>
      <c r="I3621" t="s">
        <v>123</v>
      </c>
    </row>
    <row r="3622" spans="1:9" x14ac:dyDescent="0.25">
      <c r="A3622" s="1" t="str">
        <f>HYPERLINK("https://lynxcrm-apac--c.eu19.visual.force.com/0011i000001xnZdAAI","O&amp;G Care Clinic")</f>
        <v>O&amp;G Care Clinic</v>
      </c>
      <c r="B3622" t="s">
        <v>7275</v>
      </c>
      <c r="C3622" t="s">
        <v>10</v>
      </c>
      <c r="D3622" t="s">
        <v>8</v>
      </c>
      <c r="E3622" t="s">
        <v>8</v>
      </c>
      <c r="F3622" t="s">
        <v>885</v>
      </c>
      <c r="G3622" t="s">
        <v>7276</v>
      </c>
      <c r="H3622" t="s">
        <v>7276</v>
      </c>
      <c r="I3622" t="s">
        <v>887</v>
      </c>
    </row>
    <row r="3623" spans="1:9" x14ac:dyDescent="0.25">
      <c r="A3623" s="1" t="str">
        <f>HYPERLINK("https://lynxcrm-apac--c.eu19.visual.force.com/0011i000001xmyVAAQ","O &amp; G Centre")</f>
        <v>O &amp; G Centre</v>
      </c>
      <c r="B3623" t="s">
        <v>7277</v>
      </c>
      <c r="C3623" t="s">
        <v>10</v>
      </c>
      <c r="D3623" t="s">
        <v>8</v>
      </c>
      <c r="E3623" t="s">
        <v>8</v>
      </c>
      <c r="F3623" t="s">
        <v>469</v>
      </c>
      <c r="G3623" t="s">
        <v>7278</v>
      </c>
      <c r="H3623" t="s">
        <v>7279</v>
      </c>
      <c r="I3623" t="s">
        <v>466</v>
      </c>
    </row>
    <row r="3624" spans="1:9" x14ac:dyDescent="0.25">
      <c r="A3624" s="1" t="str">
        <f>HYPERLINK("https://lynxcrm-apac--c.eu19.visual.force.com/0011i000001xmiDAAQ","O &amp; G Partners Clinic For Women")</f>
        <v>O &amp; G Partners Clinic For Women</v>
      </c>
      <c r="B3624" t="s">
        <v>7280</v>
      </c>
      <c r="C3624" t="s">
        <v>10</v>
      </c>
      <c r="D3624" t="s">
        <v>8</v>
      </c>
      <c r="E3624" t="s">
        <v>8</v>
      </c>
      <c r="F3624" t="s">
        <v>469</v>
      </c>
      <c r="G3624" t="s">
        <v>5133</v>
      </c>
      <c r="H3624" t="s">
        <v>5134</v>
      </c>
      <c r="I3624" t="s">
        <v>466</v>
      </c>
    </row>
    <row r="3625" spans="1:9" x14ac:dyDescent="0.25">
      <c r="A3625" s="1" t="str">
        <f>HYPERLINK("https://lynxcrm-apac--c.eu19.visual.force.com/0011i000001xnJRAAY","O &amp; G Partners Clinic For Women")</f>
        <v>O &amp; G Partners Clinic For Women</v>
      </c>
      <c r="B3625" t="s">
        <v>7281</v>
      </c>
      <c r="C3625" t="s">
        <v>10</v>
      </c>
      <c r="D3625" t="s">
        <v>8</v>
      </c>
      <c r="E3625" t="s">
        <v>8</v>
      </c>
      <c r="F3625" t="s">
        <v>469</v>
      </c>
      <c r="G3625" t="s">
        <v>5133</v>
      </c>
      <c r="H3625" t="s">
        <v>7282</v>
      </c>
      <c r="I3625" t="s">
        <v>466</v>
      </c>
    </row>
    <row r="3626" spans="1:9" x14ac:dyDescent="0.25">
      <c r="A3626" s="1" t="str">
        <f>HYPERLINK("https://lynxcrm-apac--c.eu19.visual.force.com/0011i000001xnUIAAY","Oasis Family Clinic")</f>
        <v>Oasis Family Clinic</v>
      </c>
      <c r="B3626" t="s">
        <v>7283</v>
      </c>
      <c r="C3626" t="s">
        <v>10</v>
      </c>
      <c r="D3626" t="s">
        <v>8</v>
      </c>
      <c r="E3626" t="s">
        <v>8</v>
      </c>
      <c r="F3626" t="s">
        <v>7284</v>
      </c>
      <c r="G3626" t="s">
        <v>7285</v>
      </c>
      <c r="H3626" t="s">
        <v>7286</v>
      </c>
      <c r="I3626" t="s">
        <v>4935</v>
      </c>
    </row>
    <row r="3627" spans="1:9" x14ac:dyDescent="0.25">
      <c r="A3627" s="1" t="str">
        <f>HYPERLINK("https://lynxcrm-apac--c.eu19.visual.force.com/0011i000001xoQtAAI","Oei, Pau Ling")</f>
        <v>Oei, Pau Ling</v>
      </c>
      <c r="B3627" t="s">
        <v>7287</v>
      </c>
      <c r="C3627" t="s">
        <v>28</v>
      </c>
      <c r="D3627" t="s">
        <v>7288</v>
      </c>
      <c r="E3627" t="s">
        <v>8</v>
      </c>
      <c r="F3627" t="s">
        <v>6834</v>
      </c>
      <c r="G3627" t="s">
        <v>65</v>
      </c>
      <c r="H3627" t="s">
        <v>6835</v>
      </c>
      <c r="I3627" t="s">
        <v>67</v>
      </c>
    </row>
    <row r="3628" spans="1:9" x14ac:dyDescent="0.25">
      <c r="A3628" s="1" t="str">
        <f>HYPERLINK("https://lynxcrm-apac--c.eu19.visual.force.com/0011i000001xnoCAAQ","Oei, Su Kai")</f>
        <v>Oei, Su Kai</v>
      </c>
      <c r="B3628" t="s">
        <v>7289</v>
      </c>
      <c r="C3628" t="s">
        <v>28</v>
      </c>
      <c r="D3628" t="s">
        <v>7290</v>
      </c>
      <c r="E3628" t="s">
        <v>8</v>
      </c>
      <c r="F3628" t="s">
        <v>7291</v>
      </c>
      <c r="G3628" t="s">
        <v>7292</v>
      </c>
      <c r="H3628" t="s">
        <v>7292</v>
      </c>
      <c r="I3628" t="s">
        <v>6162</v>
      </c>
    </row>
    <row r="3629" spans="1:9" x14ac:dyDescent="0.25">
      <c r="A3629" s="1" t="str">
        <f>HYPERLINK("https://lynxcrm-apac--c.eu19.visual.force.com/0011i000001xmwlAAA","Oei Clinic")</f>
        <v>Oei Clinic</v>
      </c>
      <c r="B3629" t="s">
        <v>7293</v>
      </c>
      <c r="C3629" t="s">
        <v>10</v>
      </c>
      <c r="D3629" t="s">
        <v>8</v>
      </c>
      <c r="E3629" t="s">
        <v>8</v>
      </c>
      <c r="F3629" t="s">
        <v>7291</v>
      </c>
      <c r="G3629" t="s">
        <v>7292</v>
      </c>
      <c r="H3629" t="s">
        <v>7292</v>
      </c>
      <c r="I3629" t="s">
        <v>6162</v>
      </c>
    </row>
    <row r="3630" spans="1:9" x14ac:dyDescent="0.25">
      <c r="A3630" s="1" t="str">
        <f>HYPERLINK("https://lynxcrm-apac--c.eu19.visual.force.com/0011i000001xo7YAAQ","Oentung, Catherine")</f>
        <v>Oentung, Catherine</v>
      </c>
      <c r="B3630" t="s">
        <v>7294</v>
      </c>
      <c r="C3630" t="s">
        <v>28</v>
      </c>
      <c r="D3630" t="s">
        <v>7295</v>
      </c>
      <c r="E3630" t="s">
        <v>8</v>
      </c>
      <c r="F3630" t="s">
        <v>7296</v>
      </c>
      <c r="G3630" t="s">
        <v>7297</v>
      </c>
      <c r="H3630" t="s">
        <v>505</v>
      </c>
      <c r="I3630" t="s">
        <v>7298</v>
      </c>
    </row>
    <row r="3631" spans="1:9" x14ac:dyDescent="0.25">
      <c r="A3631" s="1" t="str">
        <f>HYPERLINK("https://lynxcrm-apac--c.eu19.visual.force.com/0011i000001xnchAAA","OG Clinic for Women")</f>
        <v>OG Clinic for Women</v>
      </c>
      <c r="B3631" t="s">
        <v>7299</v>
      </c>
      <c r="C3631" t="s">
        <v>10</v>
      </c>
      <c r="D3631" t="s">
        <v>8</v>
      </c>
      <c r="E3631" t="s">
        <v>8</v>
      </c>
      <c r="F3631" t="s">
        <v>373</v>
      </c>
      <c r="G3631" t="s">
        <v>7300</v>
      </c>
      <c r="H3631" t="s">
        <v>7301</v>
      </c>
      <c r="I3631" t="s">
        <v>123</v>
      </c>
    </row>
    <row r="3632" spans="1:9" x14ac:dyDescent="0.25">
      <c r="A3632" s="1" t="str">
        <f>HYPERLINK("https://lynxcrm-apac--c.eu19.visual.force.com/0011i000001xnBSAAY","OG Clinic for Women")</f>
        <v>OG Clinic for Women</v>
      </c>
      <c r="B3632" t="s">
        <v>7302</v>
      </c>
      <c r="C3632" t="s">
        <v>10</v>
      </c>
      <c r="D3632" t="s">
        <v>8</v>
      </c>
      <c r="E3632" t="s">
        <v>8</v>
      </c>
      <c r="F3632" t="s">
        <v>373</v>
      </c>
      <c r="G3632" t="s">
        <v>7300</v>
      </c>
      <c r="H3632" t="s">
        <v>7301</v>
      </c>
      <c r="I3632" t="s">
        <v>123</v>
      </c>
    </row>
    <row r="3633" spans="1:9" x14ac:dyDescent="0.25">
      <c r="A3633" s="1" t="str">
        <f>HYPERLINK("https://lynxcrm-apac--c.eu19.visual.force.com/0011i000001xoCgAAI","Oh, Ann")</f>
        <v>Oh, Ann</v>
      </c>
      <c r="B3633" t="s">
        <v>7303</v>
      </c>
      <c r="C3633" t="s">
        <v>28</v>
      </c>
      <c r="D3633" t="s">
        <v>7304</v>
      </c>
      <c r="E3633" t="s">
        <v>8</v>
      </c>
      <c r="F3633" t="s">
        <v>3201</v>
      </c>
      <c r="G3633" t="s">
        <v>6938</v>
      </c>
      <c r="H3633" t="s">
        <v>6938</v>
      </c>
      <c r="I3633" t="s">
        <v>6940</v>
      </c>
    </row>
    <row r="3634" spans="1:9" x14ac:dyDescent="0.25">
      <c r="A3634" s="1" t="str">
        <f>HYPERLINK("https://lynxcrm-apac--c.eu19.visual.force.com/0011i000001xofnAAA","Oh, Cher Ming")</f>
        <v>Oh, Cher Ming</v>
      </c>
      <c r="B3634" t="s">
        <v>7305</v>
      </c>
      <c r="C3634" t="s">
        <v>28</v>
      </c>
      <c r="D3634" t="s">
        <v>7306</v>
      </c>
      <c r="E3634" t="s">
        <v>8</v>
      </c>
      <c r="F3634" t="s">
        <v>3186</v>
      </c>
      <c r="G3634" t="s">
        <v>3187</v>
      </c>
      <c r="H3634" t="s">
        <v>3187</v>
      </c>
      <c r="I3634" t="s">
        <v>3188</v>
      </c>
    </row>
    <row r="3635" spans="1:9" x14ac:dyDescent="0.25">
      <c r="A3635" s="1" t="str">
        <f>HYPERLINK("https://lynxcrm-apac--c.eu19.visual.force.com/0011i000001xnoDAAQ","Oh, Ming Chung Winston")</f>
        <v>Oh, Ming Chung Winston</v>
      </c>
      <c r="B3635" t="s">
        <v>7307</v>
      </c>
      <c r="C3635" t="s">
        <v>28</v>
      </c>
      <c r="D3635" t="s">
        <v>7308</v>
      </c>
      <c r="E3635" t="s">
        <v>8</v>
      </c>
      <c r="F3635" t="s">
        <v>377</v>
      </c>
      <c r="G3635" t="s">
        <v>2914</v>
      </c>
      <c r="H3635" t="s">
        <v>2915</v>
      </c>
      <c r="I3635" t="s">
        <v>123</v>
      </c>
    </row>
    <row r="3636" spans="1:9" x14ac:dyDescent="0.25">
      <c r="A3636" s="1" t="str">
        <f>HYPERLINK("https://lynxcrm-apac--c.eu19.visual.force.com/0011i00000Ju23GAAR","Ohn, Thiha")</f>
        <v>Ohn, Thiha</v>
      </c>
      <c r="B3636" t="s">
        <v>7309</v>
      </c>
      <c r="C3636" t="s">
        <v>28</v>
      </c>
      <c r="D3636" t="s">
        <v>429</v>
      </c>
      <c r="E3636" t="s">
        <v>8</v>
      </c>
      <c r="F3636" t="s">
        <v>429</v>
      </c>
      <c r="G3636" t="s">
        <v>428</v>
      </c>
      <c r="H3636" t="s">
        <v>428</v>
      </c>
      <c r="I3636" t="s">
        <v>430</v>
      </c>
    </row>
    <row r="3637" spans="1:9" x14ac:dyDescent="0.25">
      <c r="A3637" s="1" t="str">
        <f>HYPERLINK("https://lynxcrm-apac--c.eu19.visual.force.com/0011i000007DNLeAAO","Olives, Christer Dany")</f>
        <v>Olives, Christer Dany</v>
      </c>
      <c r="B3637" t="s">
        <v>7310</v>
      </c>
      <c r="C3637" t="s">
        <v>28</v>
      </c>
      <c r="D3637" t="s">
        <v>709</v>
      </c>
      <c r="E3637" t="s">
        <v>8</v>
      </c>
      <c r="F3637" t="s">
        <v>710</v>
      </c>
      <c r="G3637" t="s">
        <v>135</v>
      </c>
      <c r="H3637" t="s">
        <v>135</v>
      </c>
      <c r="I3637" t="s">
        <v>711</v>
      </c>
    </row>
    <row r="3638" spans="1:9" x14ac:dyDescent="0.25">
      <c r="A3638" s="1" t="str">
        <f>HYPERLINK("https://lynxcrm-apac--c.eu19.visual.force.com/0011i000005IdSTAA0","Olivia Tan Xian-Li")</f>
        <v>Olivia Tan Xian-Li</v>
      </c>
      <c r="B3638" t="s">
        <v>7311</v>
      </c>
      <c r="C3638" t="s">
        <v>10</v>
      </c>
      <c r="D3638" t="s">
        <v>8</v>
      </c>
      <c r="E3638" t="s">
        <v>8</v>
      </c>
      <c r="F3638" t="s">
        <v>8</v>
      </c>
      <c r="G3638" t="s">
        <v>8</v>
      </c>
      <c r="H3638" t="s">
        <v>8</v>
      </c>
      <c r="I3638" t="s">
        <v>8</v>
      </c>
    </row>
    <row r="3639" spans="1:9" x14ac:dyDescent="0.25">
      <c r="A3639" s="1" t="str">
        <f>HYPERLINK("https://lynxcrm-apac--c.eu19.visual.force.com/0011i000001xnoEAAQ","Omar, Bin Saleh Talib")</f>
        <v>Omar, Bin Saleh Talib</v>
      </c>
      <c r="B3639" t="s">
        <v>7312</v>
      </c>
      <c r="C3639" t="s">
        <v>28</v>
      </c>
      <c r="D3639" t="s">
        <v>7313</v>
      </c>
      <c r="E3639" t="s">
        <v>8</v>
      </c>
      <c r="F3639" t="s">
        <v>4933</v>
      </c>
      <c r="G3639" t="s">
        <v>4934</v>
      </c>
      <c r="H3639" t="s">
        <v>4934</v>
      </c>
      <c r="I3639" t="s">
        <v>4935</v>
      </c>
    </row>
    <row r="3640" spans="1:9" x14ac:dyDescent="0.25">
      <c r="A3640" s="1" t="str">
        <f>HYPERLINK("https://lynxcrm-apac--c.eu19.visual.force.com/0011i00000Xf13uAAB","OncoCare Cancer Centre")</f>
        <v>OncoCare Cancer Centre</v>
      </c>
      <c r="B3640" t="s">
        <v>7314</v>
      </c>
      <c r="C3640" t="s">
        <v>10</v>
      </c>
      <c r="D3640" t="s">
        <v>8</v>
      </c>
      <c r="E3640" t="s">
        <v>8</v>
      </c>
      <c r="F3640" t="s">
        <v>568</v>
      </c>
      <c r="G3640" t="s">
        <v>569</v>
      </c>
      <c r="H3640" t="s">
        <v>8</v>
      </c>
      <c r="I3640" t="s">
        <v>344</v>
      </c>
    </row>
    <row r="3641" spans="1:9" x14ac:dyDescent="0.25">
      <c r="A3641" s="1" t="str">
        <f>HYPERLINK("https://lynxcrm-apac--c.eu19.visual.force.com/0011i00000Xf13wAAB","OncoCare Cancer CentrE")</f>
        <v>OncoCare Cancer CentrE</v>
      </c>
      <c r="B3641" t="s">
        <v>7315</v>
      </c>
      <c r="C3641" t="s">
        <v>10</v>
      </c>
      <c r="D3641" t="s">
        <v>8</v>
      </c>
      <c r="E3641" t="s">
        <v>8</v>
      </c>
      <c r="F3641" t="s">
        <v>7316</v>
      </c>
      <c r="G3641" t="s">
        <v>7317</v>
      </c>
      <c r="H3641" t="s">
        <v>8</v>
      </c>
      <c r="I3641" t="s">
        <v>344</v>
      </c>
    </row>
    <row r="3642" spans="1:9" x14ac:dyDescent="0.25">
      <c r="A3642" s="1" t="str">
        <f>HYPERLINK("https://lynxcrm-apac--c.eu19.visual.force.com/0011i00000Xf13qAAB","OncoCare Cancer CNTR")</f>
        <v>OncoCare Cancer CNTR</v>
      </c>
      <c r="B3642" t="s">
        <v>7318</v>
      </c>
      <c r="C3642" t="s">
        <v>10</v>
      </c>
      <c r="D3642" t="s">
        <v>8</v>
      </c>
      <c r="E3642" t="s">
        <v>8</v>
      </c>
      <c r="F3642" t="s">
        <v>5653</v>
      </c>
      <c r="G3642" t="s">
        <v>388</v>
      </c>
      <c r="H3642" t="s">
        <v>8</v>
      </c>
      <c r="I3642" t="s">
        <v>123</v>
      </c>
    </row>
    <row r="3643" spans="1:9" x14ac:dyDescent="0.25">
      <c r="A3643" s="1" t="str">
        <f>HYPERLINK("https://lynxcrm-apac--c.eu19.visual.force.com/0011i00000Xf13rAAB","OncoCare Cancer CNTRE")</f>
        <v>OncoCare Cancer CNTRE</v>
      </c>
      <c r="B3643" t="s">
        <v>7319</v>
      </c>
      <c r="C3643" t="s">
        <v>10</v>
      </c>
      <c r="D3643" t="s">
        <v>8</v>
      </c>
      <c r="E3643" t="s">
        <v>8</v>
      </c>
      <c r="F3643" t="s">
        <v>2162</v>
      </c>
      <c r="G3643" t="s">
        <v>2163</v>
      </c>
      <c r="H3643" t="s">
        <v>8</v>
      </c>
      <c r="I3643" t="s">
        <v>466</v>
      </c>
    </row>
    <row r="3644" spans="1:9" x14ac:dyDescent="0.25">
      <c r="A3644" s="1" t="str">
        <f>HYPERLINK("https://lynxcrm-apac--c.eu19.visual.force.com/0011i00000Xf13tAAB","OncoCare Women's Cancer Clinic")</f>
        <v>OncoCare Women's Cancer Clinic</v>
      </c>
      <c r="B3644" t="s">
        <v>7320</v>
      </c>
      <c r="C3644" t="s">
        <v>10</v>
      </c>
      <c r="D3644" t="s">
        <v>8</v>
      </c>
      <c r="E3644" t="s">
        <v>8</v>
      </c>
      <c r="F3644" t="s">
        <v>5868</v>
      </c>
      <c r="G3644" t="s">
        <v>569</v>
      </c>
      <c r="H3644" t="s">
        <v>8</v>
      </c>
      <c r="I3644" t="s">
        <v>344</v>
      </c>
    </row>
    <row r="3645" spans="1:9" x14ac:dyDescent="0.25">
      <c r="A3645" s="1" t="str">
        <f>HYPERLINK("https://lynxcrm-apac--c.eu19.visual.force.com/0011i000001xmkOAAQ","One Care Clinic")</f>
        <v>One Care Clinic</v>
      </c>
      <c r="B3645" t="s">
        <v>7321</v>
      </c>
      <c r="C3645" t="s">
        <v>10</v>
      </c>
      <c r="D3645" t="s">
        <v>8</v>
      </c>
      <c r="E3645" t="s">
        <v>8</v>
      </c>
      <c r="F3645" t="s">
        <v>4996</v>
      </c>
      <c r="G3645" t="s">
        <v>4997</v>
      </c>
      <c r="H3645" t="s">
        <v>4997</v>
      </c>
      <c r="I3645" t="s">
        <v>4998</v>
      </c>
    </row>
    <row r="3646" spans="1:9" x14ac:dyDescent="0.25">
      <c r="A3646" s="1" t="str">
        <f>HYPERLINK("https://lynxcrm-apac--c.eu19.visual.force.com/0011i000001xnECAAY","One Care Medical")</f>
        <v>One Care Medical</v>
      </c>
      <c r="B3646" t="s">
        <v>7322</v>
      </c>
      <c r="C3646" t="s">
        <v>10</v>
      </c>
      <c r="D3646" t="s">
        <v>8</v>
      </c>
      <c r="E3646" t="s">
        <v>8</v>
      </c>
      <c r="F3646" t="s">
        <v>4996</v>
      </c>
      <c r="G3646" t="s">
        <v>4997</v>
      </c>
      <c r="H3646" t="s">
        <v>4997</v>
      </c>
      <c r="I3646" t="s">
        <v>4998</v>
      </c>
    </row>
    <row r="3647" spans="1:9" x14ac:dyDescent="0.25">
      <c r="A3647" s="1" t="str">
        <f>HYPERLINK("https://lynxcrm-apac--c.eu19.visual.force.com/0011i000001xmkYAAQ","One Care Medical")</f>
        <v>One Care Medical</v>
      </c>
      <c r="B3647" t="s">
        <v>7323</v>
      </c>
      <c r="C3647" t="s">
        <v>10</v>
      </c>
      <c r="D3647" t="s">
        <v>8</v>
      </c>
      <c r="E3647" t="s">
        <v>8</v>
      </c>
      <c r="F3647" t="s">
        <v>4996</v>
      </c>
      <c r="G3647" t="s">
        <v>4997</v>
      </c>
      <c r="H3647" t="s">
        <v>4997</v>
      </c>
      <c r="I3647" t="s">
        <v>4998</v>
      </c>
    </row>
    <row r="3648" spans="1:9" x14ac:dyDescent="0.25">
      <c r="A3648" s="1" t="str">
        <f>HYPERLINK("https://lynxcrm-apac--c.eu19.visual.force.com/0011i000001xnGDAAY","One Care Medical Clinic")</f>
        <v>One Care Medical Clinic</v>
      </c>
      <c r="B3648" t="s">
        <v>7324</v>
      </c>
      <c r="C3648" t="s">
        <v>10</v>
      </c>
      <c r="D3648" t="s">
        <v>8</v>
      </c>
      <c r="E3648" t="s">
        <v>8</v>
      </c>
      <c r="F3648" t="s">
        <v>7325</v>
      </c>
      <c r="G3648" t="s">
        <v>7326</v>
      </c>
      <c r="H3648" t="s">
        <v>7326</v>
      </c>
      <c r="I3648" t="s">
        <v>7327</v>
      </c>
    </row>
    <row r="3649" spans="1:9" x14ac:dyDescent="0.25">
      <c r="A3649" s="1" t="str">
        <f>HYPERLINK("https://lynxcrm-apac--c.eu19.visual.force.com/0011i000001xnT5AAI","OneDoctors Family Clinic")</f>
        <v>OneDoctors Family Clinic</v>
      </c>
      <c r="B3649" t="s">
        <v>7328</v>
      </c>
      <c r="C3649" t="s">
        <v>10</v>
      </c>
      <c r="D3649" t="s">
        <v>8</v>
      </c>
      <c r="E3649" t="s">
        <v>8</v>
      </c>
      <c r="F3649" t="s">
        <v>191</v>
      </c>
      <c r="G3649" t="s">
        <v>7329</v>
      </c>
      <c r="H3649" t="s">
        <v>7330</v>
      </c>
      <c r="I3649" t="s">
        <v>193</v>
      </c>
    </row>
    <row r="3650" spans="1:9" x14ac:dyDescent="0.25">
      <c r="A3650" s="1" t="str">
        <f>HYPERLINK("https://lynxcrm-apac--c.eu19.visual.force.com/0011i000001xmhOAAQ","OneDoctors Family Clinic")</f>
        <v>OneDoctors Family Clinic</v>
      </c>
      <c r="B3650" t="s">
        <v>7331</v>
      </c>
      <c r="C3650" t="s">
        <v>10</v>
      </c>
      <c r="D3650" t="s">
        <v>8</v>
      </c>
      <c r="E3650" t="s">
        <v>8</v>
      </c>
      <c r="F3650" t="s">
        <v>191</v>
      </c>
      <c r="G3650" t="s">
        <v>7329</v>
      </c>
      <c r="H3650" t="s">
        <v>7330</v>
      </c>
      <c r="I3650" t="s">
        <v>193</v>
      </c>
    </row>
    <row r="3651" spans="1:9" x14ac:dyDescent="0.25">
      <c r="A3651" s="1" t="str">
        <f>HYPERLINK("https://lynxcrm-apac--c.eu19.visual.force.com/0011i000001xnOgAAI","OneDoctors Family Clinic")</f>
        <v>OneDoctors Family Clinic</v>
      </c>
      <c r="B3651" t="s">
        <v>7332</v>
      </c>
      <c r="C3651" t="s">
        <v>10</v>
      </c>
      <c r="D3651" t="s">
        <v>8</v>
      </c>
      <c r="E3651" t="s">
        <v>8</v>
      </c>
      <c r="F3651" t="s">
        <v>2391</v>
      </c>
      <c r="G3651" t="s">
        <v>2392</v>
      </c>
      <c r="H3651" t="s">
        <v>2392</v>
      </c>
      <c r="I3651" t="s">
        <v>2393</v>
      </c>
    </row>
    <row r="3652" spans="1:9" x14ac:dyDescent="0.25">
      <c r="A3652" s="1" t="str">
        <f>HYPERLINK("https://lynxcrm-apac--c.eu19.visual.force.com/0011i000001xmkqAAA","OneDoctors Family Clinic")</f>
        <v>OneDoctors Family Clinic</v>
      </c>
      <c r="B3652" t="s">
        <v>7333</v>
      </c>
      <c r="C3652" t="s">
        <v>10</v>
      </c>
      <c r="D3652" t="s">
        <v>8</v>
      </c>
      <c r="E3652" t="s">
        <v>8</v>
      </c>
      <c r="F3652" t="s">
        <v>7334</v>
      </c>
      <c r="G3652" t="s">
        <v>7335</v>
      </c>
      <c r="H3652" t="s">
        <v>7335</v>
      </c>
      <c r="I3652" t="s">
        <v>7336</v>
      </c>
    </row>
    <row r="3653" spans="1:9" x14ac:dyDescent="0.25">
      <c r="A3653" s="1" t="str">
        <f>HYPERLINK("https://lynxcrm-apac--c.eu19.visual.force.com/0011i000002Id6xAAC","OneDoctors Family Clinic")</f>
        <v>OneDoctors Family Clinic</v>
      </c>
      <c r="B3653" t="s">
        <v>7337</v>
      </c>
      <c r="C3653" t="s">
        <v>10</v>
      </c>
      <c r="D3653" t="s">
        <v>8</v>
      </c>
      <c r="E3653" t="s">
        <v>8</v>
      </c>
      <c r="F3653" t="s">
        <v>5956</v>
      </c>
      <c r="G3653" t="s">
        <v>5957</v>
      </c>
      <c r="H3653" t="s">
        <v>5957</v>
      </c>
      <c r="I3653" t="s">
        <v>5958</v>
      </c>
    </row>
    <row r="3654" spans="1:9" x14ac:dyDescent="0.25">
      <c r="A3654" s="1" t="str">
        <f>HYPERLINK("https://lynxcrm-apac--c.eu19.visual.force.com/0011i000001xmlKAAQ","OneDoctors Family Clinic")</f>
        <v>OneDoctors Family Clinic</v>
      </c>
      <c r="B3654" t="s">
        <v>7338</v>
      </c>
      <c r="C3654" t="s">
        <v>10</v>
      </c>
      <c r="D3654" t="s">
        <v>8</v>
      </c>
      <c r="E3654" t="s">
        <v>8</v>
      </c>
      <c r="F3654" t="s">
        <v>5050</v>
      </c>
      <c r="G3654" t="s">
        <v>2392</v>
      </c>
      <c r="H3654" t="s">
        <v>2392</v>
      </c>
      <c r="I3654" t="s">
        <v>2393</v>
      </c>
    </row>
    <row r="3655" spans="1:9" x14ac:dyDescent="0.25">
      <c r="A3655" s="1" t="str">
        <f>HYPERLINK("https://lynxcrm-apac--c.eu19.visual.force.com/0011i000001xndDAAQ","One Doctors Family Clinic")</f>
        <v>One Doctors Family Clinic</v>
      </c>
      <c r="B3655" t="s">
        <v>7339</v>
      </c>
      <c r="C3655" t="s">
        <v>10</v>
      </c>
      <c r="D3655" t="s">
        <v>8</v>
      </c>
      <c r="E3655" t="s">
        <v>8</v>
      </c>
      <c r="F3655" t="s">
        <v>7340</v>
      </c>
      <c r="G3655" t="s">
        <v>5957</v>
      </c>
      <c r="H3655" t="s">
        <v>5957</v>
      </c>
      <c r="I3655" t="s">
        <v>5958</v>
      </c>
    </row>
    <row r="3656" spans="1:9" x14ac:dyDescent="0.25">
      <c r="A3656" s="1" t="str">
        <f>HYPERLINK("https://lynxcrm-apac--c.eu19.visual.force.com/0011i00000wQqA7AAK","Ong, Alicia")</f>
        <v>Ong, Alicia</v>
      </c>
      <c r="B3656" t="s">
        <v>7341</v>
      </c>
      <c r="C3656" t="s">
        <v>28</v>
      </c>
      <c r="D3656" t="s">
        <v>8</v>
      </c>
      <c r="E3656" t="s">
        <v>8</v>
      </c>
      <c r="F3656" t="s">
        <v>1165</v>
      </c>
      <c r="G3656" t="s">
        <v>1165</v>
      </c>
      <c r="H3656" t="s">
        <v>3621</v>
      </c>
      <c r="I3656" t="s">
        <v>1167</v>
      </c>
    </row>
    <row r="3657" spans="1:9" x14ac:dyDescent="0.25">
      <c r="A3657" s="1" t="str">
        <f>HYPERLINK("https://lynxcrm-apac--c.eu19.visual.force.com/0011i00000wQqA7AAK","Ong, Alicia")</f>
        <v>Ong, Alicia</v>
      </c>
      <c r="B3657" t="s">
        <v>7341</v>
      </c>
      <c r="C3657" t="s">
        <v>28</v>
      </c>
      <c r="D3657" t="s">
        <v>1164</v>
      </c>
      <c r="E3657" t="s">
        <v>8</v>
      </c>
      <c r="F3657" t="s">
        <v>1165</v>
      </c>
      <c r="G3657" t="s">
        <v>1165</v>
      </c>
      <c r="H3657" t="s">
        <v>3621</v>
      </c>
      <c r="I3657" t="s">
        <v>1167</v>
      </c>
    </row>
    <row r="3658" spans="1:9" x14ac:dyDescent="0.25">
      <c r="A3658" s="1" t="str">
        <f>HYPERLINK("https://lynxcrm-apac--c.eu19.visual.force.com/0011i000001xoOVAAY","Ong, Anthony")</f>
        <v>Ong, Anthony</v>
      </c>
      <c r="B3658" t="s">
        <v>7342</v>
      </c>
      <c r="C3658" t="s">
        <v>28</v>
      </c>
      <c r="D3658" t="s">
        <v>5750</v>
      </c>
      <c r="E3658" t="s">
        <v>8</v>
      </c>
      <c r="F3658" t="s">
        <v>7343</v>
      </c>
      <c r="G3658" t="s">
        <v>5752</v>
      </c>
      <c r="H3658" t="s">
        <v>5752</v>
      </c>
      <c r="I3658" t="s">
        <v>5753</v>
      </c>
    </row>
    <row r="3659" spans="1:9" x14ac:dyDescent="0.25">
      <c r="A3659" s="1" t="str">
        <f>HYPERLINK("https://lynxcrm-apac--c.eu19.visual.force.com/0011i000001xoXbAAI","Ong, Biauw Chi")</f>
        <v>Ong, Biauw Chi</v>
      </c>
      <c r="B3659" t="s">
        <v>7344</v>
      </c>
      <c r="C3659" t="s">
        <v>28</v>
      </c>
      <c r="D3659" t="s">
        <v>3563</v>
      </c>
      <c r="E3659" t="s">
        <v>8</v>
      </c>
      <c r="F3659" t="s">
        <v>452</v>
      </c>
      <c r="G3659" t="s">
        <v>449</v>
      </c>
      <c r="H3659" t="s">
        <v>449</v>
      </c>
      <c r="I3659" t="s">
        <v>454</v>
      </c>
    </row>
    <row r="3660" spans="1:9" x14ac:dyDescent="0.25">
      <c r="A3660" s="1" t="str">
        <f>HYPERLINK("https://lynxcrm-apac--c.eu19.visual.force.com/0011i000001xoXbAAI","Ong, Biauw Chi")</f>
        <v>Ong, Biauw Chi</v>
      </c>
      <c r="B3660" t="s">
        <v>7344</v>
      </c>
      <c r="C3660" t="s">
        <v>28</v>
      </c>
      <c r="D3660" t="s">
        <v>449</v>
      </c>
      <c r="E3660" t="s">
        <v>8</v>
      </c>
      <c r="F3660" t="s">
        <v>450</v>
      </c>
      <c r="G3660" t="s">
        <v>449</v>
      </c>
      <c r="H3660" t="s">
        <v>449</v>
      </c>
      <c r="I3660" t="s">
        <v>451</v>
      </c>
    </row>
    <row r="3661" spans="1:9" x14ac:dyDescent="0.25">
      <c r="A3661" s="1" t="str">
        <f>HYPERLINK("https://lynxcrm-apac--c.eu19.visual.force.com/0011i000001xoXbAAI","Ong, Biauw Chi")</f>
        <v>Ong, Biauw Chi</v>
      </c>
      <c r="B3661" t="s">
        <v>7344</v>
      </c>
      <c r="C3661" t="s">
        <v>28</v>
      </c>
      <c r="D3661" t="s">
        <v>449</v>
      </c>
      <c r="E3661" t="s">
        <v>8</v>
      </c>
      <c r="F3661" t="s">
        <v>234</v>
      </c>
      <c r="G3661" t="s">
        <v>452</v>
      </c>
      <c r="H3661" t="s">
        <v>453</v>
      </c>
      <c r="I3661" t="s">
        <v>454</v>
      </c>
    </row>
    <row r="3662" spans="1:9" x14ac:dyDescent="0.25">
      <c r="A3662" s="1" t="str">
        <f>HYPERLINK("https://lynxcrm-apac--c.eu19.visual.force.com/0011i000001xnoLAAQ","Ong, Chee Hooi")</f>
        <v>Ong, Chee Hooi</v>
      </c>
      <c r="B3662" t="s">
        <v>7345</v>
      </c>
      <c r="C3662" t="s">
        <v>28</v>
      </c>
      <c r="D3662" t="s">
        <v>7346</v>
      </c>
      <c r="E3662" t="s">
        <v>8</v>
      </c>
      <c r="F3662" t="s">
        <v>7347</v>
      </c>
      <c r="G3662" t="s">
        <v>7348</v>
      </c>
      <c r="H3662" t="s">
        <v>7348</v>
      </c>
      <c r="I3662" t="s">
        <v>7349</v>
      </c>
    </row>
    <row r="3663" spans="1:9" x14ac:dyDescent="0.25">
      <c r="A3663" s="1" t="str">
        <f>HYPERLINK("https://lynxcrm-apac--c.eu19.visual.force.com/0011i000001xo99AAA","Ong, Chee Meng Robert")</f>
        <v>Ong, Chee Meng Robert</v>
      </c>
      <c r="B3663" t="s">
        <v>7350</v>
      </c>
      <c r="C3663" t="s">
        <v>28</v>
      </c>
      <c r="D3663" t="s">
        <v>4291</v>
      </c>
      <c r="E3663" t="s">
        <v>8</v>
      </c>
      <c r="F3663" t="s">
        <v>4292</v>
      </c>
      <c r="G3663" t="s">
        <v>3429</v>
      </c>
      <c r="H3663" t="s">
        <v>4293</v>
      </c>
      <c r="I3663" t="s">
        <v>4294</v>
      </c>
    </row>
    <row r="3664" spans="1:9" x14ac:dyDescent="0.25">
      <c r="A3664" s="1" t="str">
        <f>HYPERLINK("https://lynxcrm-apac--c.eu19.visual.force.com/0011i000001xo9AAAQ","Ong, Cheng Choon")</f>
        <v>Ong, Cheng Choon</v>
      </c>
      <c r="B3664" t="s">
        <v>7351</v>
      </c>
      <c r="C3664" t="s">
        <v>28</v>
      </c>
      <c r="D3664" t="s">
        <v>7352</v>
      </c>
      <c r="E3664" t="s">
        <v>8</v>
      </c>
      <c r="F3664" t="s">
        <v>7353</v>
      </c>
      <c r="G3664" t="s">
        <v>7354</v>
      </c>
      <c r="H3664" t="s">
        <v>7355</v>
      </c>
      <c r="I3664" t="s">
        <v>7356</v>
      </c>
    </row>
    <row r="3665" spans="1:9" x14ac:dyDescent="0.25">
      <c r="A3665" s="1" t="str">
        <f>HYPERLINK("https://lynxcrm-apac--c.eu19.visual.force.com/0011i000001xnoMAAQ","Ong, Cheng Yue Mary")</f>
        <v>Ong, Cheng Yue Mary</v>
      </c>
      <c r="B3665" t="s">
        <v>7357</v>
      </c>
      <c r="C3665" t="s">
        <v>28</v>
      </c>
      <c r="D3665" t="s">
        <v>7358</v>
      </c>
      <c r="E3665" t="s">
        <v>8</v>
      </c>
      <c r="F3665" t="s">
        <v>7359</v>
      </c>
      <c r="G3665" t="s">
        <v>7360</v>
      </c>
      <c r="H3665" t="s">
        <v>7361</v>
      </c>
      <c r="I3665" t="s">
        <v>7362</v>
      </c>
    </row>
    <row r="3666" spans="1:9" x14ac:dyDescent="0.25">
      <c r="A3666" s="1" t="str">
        <f>HYPERLINK("https://lynxcrm-apac--c.eu19.visual.force.com/0011i000007DNLFAA4","Ong, Chin Chieun")</f>
        <v>Ong, Chin Chieun</v>
      </c>
      <c r="B3666" t="s">
        <v>7363</v>
      </c>
      <c r="C3666" t="s">
        <v>28</v>
      </c>
      <c r="D3666" t="s">
        <v>709</v>
      </c>
      <c r="E3666" t="s">
        <v>8</v>
      </c>
      <c r="F3666" t="s">
        <v>710</v>
      </c>
      <c r="G3666" t="s">
        <v>135</v>
      </c>
      <c r="H3666" t="s">
        <v>135</v>
      </c>
      <c r="I3666" t="s">
        <v>711</v>
      </c>
    </row>
    <row r="3667" spans="1:9" x14ac:dyDescent="0.25">
      <c r="A3667" s="1" t="str">
        <f>HYPERLINK("https://lynxcrm-apac--c.eu19.visual.force.com/0011i000001xoFKAAY","Ong, Chin Fung")</f>
        <v>Ong, Chin Fung</v>
      </c>
      <c r="B3667" t="s">
        <v>7364</v>
      </c>
      <c r="C3667" t="s">
        <v>28</v>
      </c>
      <c r="D3667" t="s">
        <v>545</v>
      </c>
      <c r="E3667" t="s">
        <v>8</v>
      </c>
      <c r="F3667" t="s">
        <v>849</v>
      </c>
      <c r="G3667" t="s">
        <v>845</v>
      </c>
      <c r="H3667" t="s">
        <v>845</v>
      </c>
      <c r="I3667" t="s">
        <v>847</v>
      </c>
    </row>
    <row r="3668" spans="1:9" x14ac:dyDescent="0.25">
      <c r="A3668" s="1" t="str">
        <f>HYPERLINK("https://lynxcrm-apac--c.eu19.visual.force.com/0011i000001xoMwAAI","Ong, Chong Sen")</f>
        <v>Ong, Chong Sen</v>
      </c>
      <c r="B3668" t="s">
        <v>7365</v>
      </c>
      <c r="C3668" t="s">
        <v>28</v>
      </c>
      <c r="D3668" t="s">
        <v>7366</v>
      </c>
      <c r="E3668" t="s">
        <v>8</v>
      </c>
      <c r="F3668" t="s">
        <v>6556</v>
      </c>
      <c r="G3668" t="s">
        <v>4012</v>
      </c>
      <c r="H3668" t="s">
        <v>4012</v>
      </c>
      <c r="I3668" t="s">
        <v>6557</v>
      </c>
    </row>
    <row r="3669" spans="1:9" x14ac:dyDescent="0.25">
      <c r="A3669" s="1" t="str">
        <f>HYPERLINK("https://lynxcrm-apac--c.eu19.visual.force.com/0011i000001xoksAAA","Ong, Desmond")</f>
        <v>Ong, Desmond</v>
      </c>
      <c r="B3669" t="s">
        <v>7367</v>
      </c>
      <c r="C3669" t="s">
        <v>28</v>
      </c>
      <c r="D3669" t="s">
        <v>709</v>
      </c>
      <c r="E3669" t="s">
        <v>8</v>
      </c>
      <c r="F3669" t="s">
        <v>710</v>
      </c>
      <c r="G3669" t="s">
        <v>135</v>
      </c>
      <c r="H3669" t="s">
        <v>135</v>
      </c>
      <c r="I3669" t="s">
        <v>711</v>
      </c>
    </row>
    <row r="3670" spans="1:9" x14ac:dyDescent="0.25">
      <c r="A3670" s="1" t="str">
        <f>HYPERLINK("https://lynxcrm-apac--c.eu19.visual.force.com/0011i000007DNMSAA4","Ong, Desmond")</f>
        <v>Ong, Desmond</v>
      </c>
      <c r="B3670" t="s">
        <v>7368</v>
      </c>
      <c r="C3670" t="s">
        <v>28</v>
      </c>
      <c r="D3670" t="s">
        <v>709</v>
      </c>
      <c r="E3670" t="s">
        <v>8</v>
      </c>
      <c r="F3670" t="s">
        <v>710</v>
      </c>
      <c r="G3670" t="s">
        <v>135</v>
      </c>
      <c r="H3670" t="s">
        <v>135</v>
      </c>
      <c r="I3670" t="s">
        <v>711</v>
      </c>
    </row>
    <row r="3671" spans="1:9" x14ac:dyDescent="0.25">
      <c r="A3671" s="1" t="str">
        <f>HYPERLINK("https://lynxcrm-apac--c.eu19.visual.force.com/0011i000001xoP1AAI","Ong, Eu Jin")</f>
        <v>Ong, Eu Jin</v>
      </c>
      <c r="B3671" t="s">
        <v>7369</v>
      </c>
      <c r="C3671" t="s">
        <v>28</v>
      </c>
      <c r="D3671" t="s">
        <v>7370</v>
      </c>
      <c r="E3671" t="s">
        <v>8</v>
      </c>
      <c r="F3671" t="s">
        <v>7371</v>
      </c>
      <c r="G3671" t="s">
        <v>7372</v>
      </c>
      <c r="H3671" t="s">
        <v>7372</v>
      </c>
      <c r="I3671" t="s">
        <v>7373</v>
      </c>
    </row>
    <row r="3672" spans="1:9" x14ac:dyDescent="0.25">
      <c r="A3672" s="1" t="str">
        <f>HYPERLINK("https://lynxcrm-apac--c.eu19.visual.force.com/0011i000001xoJjAAI","Ong, Heng Ann Jimmy")</f>
        <v>Ong, Heng Ann Jimmy</v>
      </c>
      <c r="B3672" t="s">
        <v>7374</v>
      </c>
      <c r="C3672" t="s">
        <v>28</v>
      </c>
      <c r="D3672" t="s">
        <v>662</v>
      </c>
      <c r="E3672" t="s">
        <v>8</v>
      </c>
      <c r="F3672" t="s">
        <v>662</v>
      </c>
      <c r="G3672" t="s">
        <v>663</v>
      </c>
      <c r="H3672" t="s">
        <v>663</v>
      </c>
      <c r="I3672" t="s">
        <v>664</v>
      </c>
    </row>
    <row r="3673" spans="1:9" x14ac:dyDescent="0.25">
      <c r="A3673" s="1" t="str">
        <f>HYPERLINK("https://lynxcrm-apac--c.eu19.visual.force.com/0011i000001xo52AAA","Ong, Hock Soo")</f>
        <v>Ong, Hock Soo</v>
      </c>
      <c r="B3673" t="s">
        <v>7375</v>
      </c>
      <c r="C3673" t="s">
        <v>28</v>
      </c>
      <c r="D3673" t="s">
        <v>251</v>
      </c>
      <c r="E3673" t="s">
        <v>8</v>
      </c>
      <c r="F3673" t="s">
        <v>251</v>
      </c>
      <c r="G3673" t="s">
        <v>252</v>
      </c>
      <c r="H3673" t="s">
        <v>252</v>
      </c>
      <c r="I3673" t="s">
        <v>253</v>
      </c>
    </row>
    <row r="3674" spans="1:9" x14ac:dyDescent="0.25">
      <c r="A3674" s="1" t="str">
        <f>HYPERLINK("https://lynxcrm-apac--c.eu19.visual.force.com/0011i000001xo52AAA","Ong, Hock Soo")</f>
        <v>Ong, Hock Soo</v>
      </c>
      <c r="B3674" t="s">
        <v>7375</v>
      </c>
      <c r="C3674" t="s">
        <v>28</v>
      </c>
      <c r="D3674" t="s">
        <v>3418</v>
      </c>
      <c r="E3674" t="s">
        <v>8</v>
      </c>
      <c r="F3674" t="s">
        <v>252</v>
      </c>
      <c r="G3674" t="s">
        <v>251</v>
      </c>
      <c r="H3674" t="s">
        <v>251</v>
      </c>
      <c r="I3674" t="s">
        <v>253</v>
      </c>
    </row>
    <row r="3675" spans="1:9" x14ac:dyDescent="0.25">
      <c r="A3675" s="1" t="str">
        <f>HYPERLINK("https://lynxcrm-apac--c.eu19.visual.force.com/0011i000001xo2hAAA","Ong, Jin Ai")</f>
        <v>Ong, Jin Ai</v>
      </c>
      <c r="B3675" t="s">
        <v>7376</v>
      </c>
      <c r="C3675" t="s">
        <v>28</v>
      </c>
      <c r="D3675" t="s">
        <v>1661</v>
      </c>
      <c r="E3675" t="s">
        <v>8</v>
      </c>
      <c r="F3675" t="s">
        <v>622</v>
      </c>
      <c r="G3675" t="s">
        <v>623</v>
      </c>
      <c r="H3675" t="s">
        <v>623</v>
      </c>
      <c r="I3675" t="s">
        <v>624</v>
      </c>
    </row>
    <row r="3676" spans="1:9" x14ac:dyDescent="0.25">
      <c r="A3676" s="1" t="str">
        <f>HYPERLINK("https://lynxcrm-apac--c.eu19.visual.force.com/0011i000001xo8MAAQ","Ong, Joo Kheng")</f>
        <v>Ong, Joo Kheng</v>
      </c>
      <c r="B3676" t="s">
        <v>7377</v>
      </c>
      <c r="C3676" t="s">
        <v>28</v>
      </c>
      <c r="D3676" t="s">
        <v>1187</v>
      </c>
      <c r="E3676" t="s">
        <v>8</v>
      </c>
      <c r="F3676" t="s">
        <v>7378</v>
      </c>
      <c r="G3676" t="s">
        <v>7379</v>
      </c>
      <c r="H3676" t="s">
        <v>7380</v>
      </c>
      <c r="I3676" t="s">
        <v>7381</v>
      </c>
    </row>
    <row r="3677" spans="1:9" x14ac:dyDescent="0.25">
      <c r="A3677" s="1" t="str">
        <f>HYPERLINK("https://lynxcrm-apac--c.eu19.visual.force.com/0011i000001xo2dAAA","Ong, Joseph")</f>
        <v>Ong, Joseph</v>
      </c>
      <c r="B3677" t="s">
        <v>7382</v>
      </c>
      <c r="C3677" t="s">
        <v>28</v>
      </c>
      <c r="D3677" t="s">
        <v>54</v>
      </c>
      <c r="E3677" t="s">
        <v>8</v>
      </c>
      <c r="F3677" t="s">
        <v>1225</v>
      </c>
      <c r="G3677" t="s">
        <v>1225</v>
      </c>
      <c r="H3677" t="s">
        <v>1226</v>
      </c>
      <c r="I3677" t="s">
        <v>55</v>
      </c>
    </row>
    <row r="3678" spans="1:9" x14ac:dyDescent="0.25">
      <c r="A3678" s="1" t="str">
        <f>HYPERLINK("https://lynxcrm-apac--c.eu19.visual.force.com/0011i000001xo2dAAA","Ong, Joseph")</f>
        <v>Ong, Joseph</v>
      </c>
      <c r="B3678" t="s">
        <v>7382</v>
      </c>
      <c r="C3678" t="s">
        <v>28</v>
      </c>
      <c r="D3678" t="s">
        <v>54</v>
      </c>
      <c r="E3678" t="s">
        <v>8</v>
      </c>
      <c r="F3678" t="s">
        <v>1225</v>
      </c>
      <c r="G3678" t="s">
        <v>1225</v>
      </c>
      <c r="H3678" t="s">
        <v>8</v>
      </c>
      <c r="I3678" t="s">
        <v>55</v>
      </c>
    </row>
    <row r="3679" spans="1:9" x14ac:dyDescent="0.25">
      <c r="A3679" s="1" t="str">
        <f>HYPERLINK("https://lynxcrm-apac--c.eu19.visual.force.com/0011i00000FIGMBAA5","Ong, Keith")</f>
        <v>Ong, Keith</v>
      </c>
      <c r="B3679" t="s">
        <v>7383</v>
      </c>
      <c r="C3679" t="s">
        <v>28</v>
      </c>
      <c r="D3679" t="s">
        <v>7384</v>
      </c>
      <c r="E3679" t="s">
        <v>8</v>
      </c>
      <c r="F3679" t="s">
        <v>7385</v>
      </c>
      <c r="G3679" t="s">
        <v>7386</v>
      </c>
      <c r="H3679" t="s">
        <v>8</v>
      </c>
      <c r="I3679" t="s">
        <v>6402</v>
      </c>
    </row>
    <row r="3680" spans="1:9" x14ac:dyDescent="0.25">
      <c r="A3680" s="1" t="str">
        <f>HYPERLINK("https://lynxcrm-apac--c.eu19.visual.force.com/0011i000001xnoSAAQ","Ong, Kian Giap Daniel")</f>
        <v>Ong, Kian Giap Daniel</v>
      </c>
      <c r="B3680" t="s">
        <v>7387</v>
      </c>
      <c r="C3680" t="s">
        <v>28</v>
      </c>
      <c r="D3680" t="s">
        <v>6981</v>
      </c>
      <c r="E3680" t="s">
        <v>8</v>
      </c>
      <c r="F3680" t="s">
        <v>6982</v>
      </c>
      <c r="G3680" t="s">
        <v>6983</v>
      </c>
      <c r="H3680" t="s">
        <v>6984</v>
      </c>
      <c r="I3680" t="s">
        <v>6985</v>
      </c>
    </row>
    <row r="3681" spans="1:9" x14ac:dyDescent="0.25">
      <c r="A3681" s="1" t="str">
        <f>HYPERLINK("https://lynxcrm-apac--c.eu19.visual.force.com/0011i000001xoDfAAI","Ong, Kian Peng Julian")</f>
        <v>Ong, Kian Peng Julian</v>
      </c>
      <c r="B3681" t="s">
        <v>7388</v>
      </c>
      <c r="C3681" t="s">
        <v>28</v>
      </c>
      <c r="D3681" t="s">
        <v>7389</v>
      </c>
      <c r="E3681" t="s">
        <v>8</v>
      </c>
      <c r="F3681" t="s">
        <v>4622</v>
      </c>
      <c r="G3681" t="s">
        <v>2731</v>
      </c>
      <c r="H3681" t="s">
        <v>2731</v>
      </c>
      <c r="I3681" t="s">
        <v>344</v>
      </c>
    </row>
    <row r="3682" spans="1:9" x14ac:dyDescent="0.25">
      <c r="A3682" s="1" t="str">
        <f>HYPERLINK("https://lynxcrm-apac--c.eu19.visual.force.com/0011i000001xoFsAAI","Ong, Kiat Hoe")</f>
        <v>Ong, Kiat Hoe</v>
      </c>
      <c r="B3682" t="s">
        <v>7390</v>
      </c>
      <c r="C3682" t="s">
        <v>28</v>
      </c>
      <c r="D3682" t="s">
        <v>261</v>
      </c>
      <c r="E3682" t="s">
        <v>8</v>
      </c>
      <c r="F3682" t="s">
        <v>261</v>
      </c>
      <c r="G3682" t="s">
        <v>347</v>
      </c>
      <c r="H3682" t="s">
        <v>347</v>
      </c>
      <c r="I3682" t="s">
        <v>260</v>
      </c>
    </row>
    <row r="3683" spans="1:9" x14ac:dyDescent="0.25">
      <c r="A3683" s="1" t="str">
        <f>HYPERLINK("https://lynxcrm-apac--c.eu19.visual.force.com/0011i000001xoFsAAI","Ong, Kiat Hoe")</f>
        <v>Ong, Kiat Hoe</v>
      </c>
      <c r="B3683" t="s">
        <v>7390</v>
      </c>
      <c r="C3683" t="s">
        <v>28</v>
      </c>
      <c r="D3683" t="s">
        <v>7391</v>
      </c>
      <c r="E3683" t="s">
        <v>8</v>
      </c>
      <c r="F3683" t="s">
        <v>258</v>
      </c>
      <c r="G3683" t="s">
        <v>261</v>
      </c>
      <c r="H3683" t="s">
        <v>261</v>
      </c>
      <c r="I3683" t="s">
        <v>260</v>
      </c>
    </row>
    <row r="3684" spans="1:9" x14ac:dyDescent="0.25">
      <c r="A3684" s="1" t="str">
        <f>HYPERLINK("https://lynxcrm-apac--c.eu19.visual.force.com/0011i000001xnoUAAQ","Ong, Kim Kiat")</f>
        <v>Ong, Kim Kiat</v>
      </c>
      <c r="B3684" t="s">
        <v>7392</v>
      </c>
      <c r="C3684" t="s">
        <v>28</v>
      </c>
      <c r="D3684" t="s">
        <v>7393</v>
      </c>
      <c r="E3684" t="s">
        <v>8</v>
      </c>
      <c r="F3684" t="s">
        <v>69</v>
      </c>
      <c r="G3684" t="s">
        <v>4646</v>
      </c>
      <c r="H3684" t="s">
        <v>4647</v>
      </c>
      <c r="I3684" t="s">
        <v>67</v>
      </c>
    </row>
    <row r="3685" spans="1:9" x14ac:dyDescent="0.25">
      <c r="A3685" s="1" t="str">
        <f>HYPERLINK("https://lynxcrm-apac--c.eu19.visual.force.com/0011i000001xoFRAAY","Ong, King Jane")</f>
        <v>Ong, King Jane</v>
      </c>
      <c r="B3685" t="s">
        <v>7394</v>
      </c>
      <c r="C3685" t="s">
        <v>28</v>
      </c>
      <c r="D3685" t="s">
        <v>261</v>
      </c>
      <c r="E3685" t="s">
        <v>8</v>
      </c>
      <c r="F3685" t="s">
        <v>261</v>
      </c>
      <c r="G3685" t="s">
        <v>347</v>
      </c>
      <c r="H3685" t="s">
        <v>347</v>
      </c>
      <c r="I3685" t="s">
        <v>260</v>
      </c>
    </row>
    <row r="3686" spans="1:9" x14ac:dyDescent="0.25">
      <c r="A3686" s="1" t="str">
        <f>HYPERLINK("https://lynxcrm-apac--c.eu19.visual.force.com/0011i000001xoFRAAY","Ong, King Jane")</f>
        <v>Ong, King Jane</v>
      </c>
      <c r="B3686" t="s">
        <v>7394</v>
      </c>
      <c r="C3686" t="s">
        <v>28</v>
      </c>
      <c r="D3686" t="s">
        <v>1930</v>
      </c>
      <c r="E3686" t="s">
        <v>8</v>
      </c>
      <c r="F3686" t="s">
        <v>258</v>
      </c>
      <c r="G3686" t="s">
        <v>261</v>
      </c>
      <c r="H3686" t="s">
        <v>261</v>
      </c>
      <c r="I3686" t="s">
        <v>260</v>
      </c>
    </row>
    <row r="3687" spans="1:9" x14ac:dyDescent="0.25">
      <c r="A3687" s="1" t="str">
        <f>HYPERLINK("https://lynxcrm-apac--c.eu19.visual.force.com/0011i00000PG8N1AAL","Ong, Kingsfield")</f>
        <v>Ong, Kingsfield</v>
      </c>
      <c r="B3687" t="s">
        <v>7395</v>
      </c>
      <c r="C3687" t="s">
        <v>28</v>
      </c>
      <c r="D3687" t="s">
        <v>8</v>
      </c>
      <c r="E3687" t="s">
        <v>8</v>
      </c>
      <c r="F3687" t="s">
        <v>6399</v>
      </c>
      <c r="G3687" t="s">
        <v>6400</v>
      </c>
      <c r="H3687" t="s">
        <v>6401</v>
      </c>
      <c r="I3687" t="s">
        <v>6402</v>
      </c>
    </row>
    <row r="3688" spans="1:9" x14ac:dyDescent="0.25">
      <c r="A3688" s="1" t="str">
        <f>HYPERLINK("https://lynxcrm-apac--c.eu19.visual.force.com/0011i00000PG8N1AAL","Ong, Kingsfield")</f>
        <v>Ong, Kingsfield</v>
      </c>
      <c r="B3688" t="s">
        <v>7395</v>
      </c>
      <c r="C3688" t="s">
        <v>28</v>
      </c>
      <c r="D3688" t="s">
        <v>6398</v>
      </c>
      <c r="E3688" t="s">
        <v>8</v>
      </c>
      <c r="F3688" t="s">
        <v>6399</v>
      </c>
      <c r="G3688" t="s">
        <v>6400</v>
      </c>
      <c r="H3688" t="s">
        <v>6401</v>
      </c>
      <c r="I3688" t="s">
        <v>6402</v>
      </c>
    </row>
    <row r="3689" spans="1:9" x14ac:dyDescent="0.25">
      <c r="A3689" s="1" t="str">
        <f>HYPERLINK("https://lynxcrm-apac--c.eu19.visual.force.com/0011i00000rb9HIAAY","Ong, Kok Kiong")</f>
        <v>Ong, Kok Kiong</v>
      </c>
      <c r="B3689" t="s">
        <v>7396</v>
      </c>
      <c r="C3689" t="s">
        <v>28</v>
      </c>
      <c r="D3689" t="s">
        <v>8</v>
      </c>
      <c r="E3689" t="s">
        <v>8</v>
      </c>
      <c r="F3689" t="s">
        <v>753</v>
      </c>
      <c r="G3689" t="s">
        <v>929</v>
      </c>
      <c r="H3689" t="s">
        <v>139</v>
      </c>
      <c r="I3689" t="s">
        <v>137</v>
      </c>
    </row>
    <row r="3690" spans="1:9" x14ac:dyDescent="0.25">
      <c r="A3690" s="1" t="str">
        <f>HYPERLINK("https://lynxcrm-apac--c.eu19.visual.force.com/0011i00000rb9HIAAY","Ong, Kok Kiong")</f>
        <v>Ong, Kok Kiong</v>
      </c>
      <c r="B3690" t="s">
        <v>7396</v>
      </c>
      <c r="C3690" t="s">
        <v>28</v>
      </c>
      <c r="D3690" t="s">
        <v>928</v>
      </c>
      <c r="E3690" t="s">
        <v>8</v>
      </c>
      <c r="F3690" t="s">
        <v>753</v>
      </c>
      <c r="G3690" t="s">
        <v>929</v>
      </c>
      <c r="H3690" t="s">
        <v>139</v>
      </c>
      <c r="I3690" t="s">
        <v>137</v>
      </c>
    </row>
    <row r="3691" spans="1:9" x14ac:dyDescent="0.25">
      <c r="A3691" s="1" t="str">
        <f>HYPERLINK("https://lynxcrm-apac--c.eu19.visual.force.com/0011i000001xo9GAAQ","Ong, Lee Hiang Irene")</f>
        <v>Ong, Lee Hiang Irene</v>
      </c>
      <c r="B3691" t="s">
        <v>7397</v>
      </c>
      <c r="C3691" t="s">
        <v>28</v>
      </c>
      <c r="D3691" t="s">
        <v>7398</v>
      </c>
      <c r="E3691" t="s">
        <v>8</v>
      </c>
      <c r="F3691" t="s">
        <v>7399</v>
      </c>
      <c r="G3691" t="s">
        <v>7400</v>
      </c>
      <c r="H3691" t="s">
        <v>303</v>
      </c>
      <c r="I3691" t="s">
        <v>7401</v>
      </c>
    </row>
    <row r="3692" spans="1:9" x14ac:dyDescent="0.25">
      <c r="A3692" s="1" t="str">
        <f>HYPERLINK("https://lynxcrm-apac--c.eu19.visual.force.com/0011i000001xnoWAAQ","Ong, Leong Boon")</f>
        <v>Ong, Leong Boon</v>
      </c>
      <c r="B3692" t="s">
        <v>7402</v>
      </c>
      <c r="C3692" t="s">
        <v>28</v>
      </c>
      <c r="D3692" t="s">
        <v>5554</v>
      </c>
      <c r="E3692" t="s">
        <v>8</v>
      </c>
      <c r="F3692" t="s">
        <v>373</v>
      </c>
      <c r="G3692" t="s">
        <v>5555</v>
      </c>
      <c r="H3692" t="s">
        <v>5556</v>
      </c>
      <c r="I3692" t="s">
        <v>123</v>
      </c>
    </row>
    <row r="3693" spans="1:9" x14ac:dyDescent="0.25">
      <c r="A3693" s="1" t="str">
        <f>HYPERLINK("https://lynxcrm-apac--c.eu19.visual.force.com/0011i00000tVKLXAA4","Ong, Li Ling")</f>
        <v>Ong, Li Ling</v>
      </c>
      <c r="B3693" t="s">
        <v>7403</v>
      </c>
      <c r="C3693" t="s">
        <v>28</v>
      </c>
      <c r="D3693" t="s">
        <v>7404</v>
      </c>
      <c r="E3693" t="s">
        <v>8</v>
      </c>
      <c r="F3693" t="s">
        <v>7405</v>
      </c>
      <c r="G3693" t="s">
        <v>7406</v>
      </c>
      <c r="H3693" t="s">
        <v>8</v>
      </c>
      <c r="I3693" t="s">
        <v>7407</v>
      </c>
    </row>
    <row r="3694" spans="1:9" x14ac:dyDescent="0.25">
      <c r="A3694" s="1" t="str">
        <f>HYPERLINK("https://lynxcrm-apac--c.eu19.visual.force.com/0011i000001xo55AAA","Ong, Peck Leong")</f>
        <v>Ong, Peck Leong</v>
      </c>
      <c r="B3694" t="s">
        <v>7408</v>
      </c>
      <c r="C3694" t="s">
        <v>28</v>
      </c>
      <c r="D3694" t="s">
        <v>473</v>
      </c>
      <c r="E3694" t="s">
        <v>8</v>
      </c>
      <c r="F3694" t="s">
        <v>258</v>
      </c>
      <c r="G3694" t="s">
        <v>474</v>
      </c>
      <c r="H3694" t="s">
        <v>474</v>
      </c>
      <c r="I3694" t="s">
        <v>260</v>
      </c>
    </row>
    <row r="3695" spans="1:9" x14ac:dyDescent="0.25">
      <c r="A3695" s="1" t="str">
        <f>HYPERLINK("https://lynxcrm-apac--c.eu19.visual.force.com/0011i000001xo55AAA","Ong, Peck Leong")</f>
        <v>Ong, Peck Leong</v>
      </c>
      <c r="B3695" t="s">
        <v>7408</v>
      </c>
      <c r="C3695" t="s">
        <v>28</v>
      </c>
      <c r="D3695" t="s">
        <v>261</v>
      </c>
      <c r="E3695" t="s">
        <v>8</v>
      </c>
      <c r="F3695" t="s">
        <v>261</v>
      </c>
      <c r="G3695" t="s">
        <v>347</v>
      </c>
      <c r="H3695" t="s">
        <v>347</v>
      </c>
      <c r="I3695" t="s">
        <v>260</v>
      </c>
    </row>
    <row r="3696" spans="1:9" x14ac:dyDescent="0.25">
      <c r="A3696" s="1" t="str">
        <f>HYPERLINK("https://lynxcrm-apac--c.eu19.visual.force.com/0011i000007DNKqAAO","Ong, Pie yi")</f>
        <v>Ong, Pie yi</v>
      </c>
      <c r="B3696" t="s">
        <v>7409</v>
      </c>
      <c r="C3696" t="s">
        <v>28</v>
      </c>
      <c r="D3696" t="s">
        <v>709</v>
      </c>
      <c r="E3696" t="s">
        <v>8</v>
      </c>
      <c r="F3696" t="s">
        <v>710</v>
      </c>
      <c r="G3696" t="s">
        <v>135</v>
      </c>
      <c r="H3696" t="s">
        <v>135</v>
      </c>
      <c r="I3696" t="s">
        <v>711</v>
      </c>
    </row>
    <row r="3697" spans="1:9" x14ac:dyDescent="0.25">
      <c r="A3697" s="1" t="str">
        <f>HYPERLINK("https://lynxcrm-apac--c.eu19.visual.force.com/0011i000001xo9KAAQ","Ong, Poh Kheng")</f>
        <v>Ong, Poh Kheng</v>
      </c>
      <c r="B3697" t="s">
        <v>7410</v>
      </c>
      <c r="C3697" t="s">
        <v>28</v>
      </c>
      <c r="D3697" t="s">
        <v>7304</v>
      </c>
      <c r="E3697" t="s">
        <v>8</v>
      </c>
      <c r="F3697" t="s">
        <v>7411</v>
      </c>
      <c r="G3697" t="s">
        <v>7412</v>
      </c>
      <c r="H3697" t="s">
        <v>7413</v>
      </c>
      <c r="I3697" t="s">
        <v>6936</v>
      </c>
    </row>
    <row r="3698" spans="1:9" x14ac:dyDescent="0.25">
      <c r="A3698" s="1" t="str">
        <f>HYPERLINK("https://lynxcrm-apac--c.eu19.visual.force.com/0011i000001xo56AAA","Ong, Pui Sim")</f>
        <v>Ong, Pui Sim</v>
      </c>
      <c r="B3698" t="s">
        <v>7414</v>
      </c>
      <c r="C3698" t="s">
        <v>28</v>
      </c>
      <c r="D3698" t="s">
        <v>583</v>
      </c>
      <c r="E3698" t="s">
        <v>8</v>
      </c>
      <c r="F3698" t="s">
        <v>583</v>
      </c>
      <c r="G3698" t="s">
        <v>584</v>
      </c>
      <c r="H3698" t="s">
        <v>584</v>
      </c>
      <c r="I3698" t="s">
        <v>585</v>
      </c>
    </row>
    <row r="3699" spans="1:9" x14ac:dyDescent="0.25">
      <c r="A3699" s="1" t="str">
        <f>HYPERLINK("https://lynxcrm-apac--c.eu19.visual.force.com/0011i00000ufvJcAAI","Ong, Raymond")</f>
        <v>Ong, Raymond</v>
      </c>
      <c r="B3699" t="s">
        <v>7415</v>
      </c>
      <c r="C3699" t="s">
        <v>28</v>
      </c>
      <c r="D3699" t="s">
        <v>4489</v>
      </c>
      <c r="E3699" t="s">
        <v>8</v>
      </c>
      <c r="F3699" t="s">
        <v>4489</v>
      </c>
      <c r="G3699" t="s">
        <v>4490</v>
      </c>
      <c r="H3699" t="s">
        <v>8</v>
      </c>
      <c r="I3699" t="s">
        <v>4491</v>
      </c>
    </row>
    <row r="3700" spans="1:9" x14ac:dyDescent="0.25">
      <c r="A3700" s="1" t="str">
        <f t="shared" ref="A3700:A3705" si="31">HYPERLINK("https://lynxcrm-apac--c.eu19.visual.force.com/0011i000001xnl2AAA","Ong, See Jin Jesse")</f>
        <v>Ong, See Jin Jesse</v>
      </c>
      <c r="B3700" t="s">
        <v>7416</v>
      </c>
      <c r="C3700" t="s">
        <v>28</v>
      </c>
      <c r="D3700" t="s">
        <v>501</v>
      </c>
      <c r="E3700" t="s">
        <v>8</v>
      </c>
      <c r="F3700" t="s">
        <v>501</v>
      </c>
      <c r="G3700" t="s">
        <v>502</v>
      </c>
      <c r="H3700" t="s">
        <v>502</v>
      </c>
      <c r="I3700" t="s">
        <v>506</v>
      </c>
    </row>
    <row r="3701" spans="1:9" x14ac:dyDescent="0.25">
      <c r="A3701" s="1" t="str">
        <f t="shared" si="31"/>
        <v>Ong, See Jin Jesse</v>
      </c>
      <c r="B3701" t="s">
        <v>7416</v>
      </c>
      <c r="C3701" t="s">
        <v>28</v>
      </c>
      <c r="D3701" t="s">
        <v>501</v>
      </c>
      <c r="E3701" t="s">
        <v>8</v>
      </c>
      <c r="F3701" t="s">
        <v>502</v>
      </c>
      <c r="G3701" t="s">
        <v>502</v>
      </c>
      <c r="H3701" t="s">
        <v>503</v>
      </c>
      <c r="I3701" t="s">
        <v>504</v>
      </c>
    </row>
    <row r="3702" spans="1:9" x14ac:dyDescent="0.25">
      <c r="A3702" s="1" t="str">
        <f t="shared" si="31"/>
        <v>Ong, See Jin Jesse</v>
      </c>
      <c r="B3702" t="s">
        <v>7416</v>
      </c>
      <c r="C3702" t="s">
        <v>28</v>
      </c>
      <c r="D3702" t="s">
        <v>501</v>
      </c>
      <c r="E3702" t="s">
        <v>8</v>
      </c>
      <c r="F3702" t="s">
        <v>246</v>
      </c>
      <c r="G3702" t="s">
        <v>502</v>
      </c>
      <c r="H3702" t="s">
        <v>503</v>
      </c>
      <c r="I3702" t="s">
        <v>504</v>
      </c>
    </row>
    <row r="3703" spans="1:9" x14ac:dyDescent="0.25">
      <c r="A3703" s="1" t="str">
        <f t="shared" si="31"/>
        <v>Ong, See Jin Jesse</v>
      </c>
      <c r="B3703" t="s">
        <v>7416</v>
      </c>
      <c r="C3703" t="s">
        <v>28</v>
      </c>
      <c r="D3703" t="s">
        <v>501</v>
      </c>
      <c r="E3703" t="s">
        <v>8</v>
      </c>
      <c r="F3703" t="s">
        <v>246</v>
      </c>
      <c r="G3703" t="s">
        <v>502</v>
      </c>
      <c r="H3703" t="s">
        <v>503</v>
      </c>
      <c r="I3703" t="s">
        <v>505</v>
      </c>
    </row>
    <row r="3704" spans="1:9" x14ac:dyDescent="0.25">
      <c r="A3704" s="1" t="str">
        <f t="shared" si="31"/>
        <v>Ong, See Jin Jesse</v>
      </c>
      <c r="B3704" t="s">
        <v>7416</v>
      </c>
      <c r="C3704" t="s">
        <v>28</v>
      </c>
      <c r="D3704" t="s">
        <v>501</v>
      </c>
      <c r="E3704" t="s">
        <v>8</v>
      </c>
      <c r="F3704" t="s">
        <v>234</v>
      </c>
      <c r="G3704" t="s">
        <v>502</v>
      </c>
      <c r="H3704" t="s">
        <v>503</v>
      </c>
      <c r="I3704" t="s">
        <v>504</v>
      </c>
    </row>
    <row r="3705" spans="1:9" x14ac:dyDescent="0.25">
      <c r="A3705" s="1" t="str">
        <f t="shared" si="31"/>
        <v>Ong, See Jin Jesse</v>
      </c>
      <c r="B3705" t="s">
        <v>7416</v>
      </c>
      <c r="C3705" t="s">
        <v>28</v>
      </c>
      <c r="D3705" t="s">
        <v>501</v>
      </c>
      <c r="E3705" t="s">
        <v>8</v>
      </c>
      <c r="F3705" t="s">
        <v>359</v>
      </c>
      <c r="G3705" t="s">
        <v>502</v>
      </c>
      <c r="H3705" t="s">
        <v>503</v>
      </c>
      <c r="I3705" t="s">
        <v>506</v>
      </c>
    </row>
    <row r="3706" spans="1:9" x14ac:dyDescent="0.25">
      <c r="A3706" s="1" t="str">
        <f t="shared" ref="A3706:A3711" si="32">HYPERLINK("https://lynxcrm-apac--c.eu19.visual.force.com/0011i000001xoNGAAY","Ong, Seh Hong")</f>
        <v>Ong, Seh Hong</v>
      </c>
      <c r="B3706" t="s">
        <v>7417</v>
      </c>
      <c r="C3706" t="s">
        <v>28</v>
      </c>
      <c r="D3706" t="s">
        <v>501</v>
      </c>
      <c r="E3706" t="s">
        <v>8</v>
      </c>
      <c r="F3706" t="s">
        <v>501</v>
      </c>
      <c r="G3706" t="s">
        <v>502</v>
      </c>
      <c r="H3706" t="s">
        <v>502</v>
      </c>
      <c r="I3706" t="s">
        <v>506</v>
      </c>
    </row>
    <row r="3707" spans="1:9" x14ac:dyDescent="0.25">
      <c r="A3707" s="1" t="str">
        <f t="shared" si="32"/>
        <v>Ong, Seh Hong</v>
      </c>
      <c r="B3707" t="s">
        <v>7417</v>
      </c>
      <c r="C3707" t="s">
        <v>28</v>
      </c>
      <c r="D3707" t="s">
        <v>501</v>
      </c>
      <c r="E3707" t="s">
        <v>8</v>
      </c>
      <c r="F3707" t="s">
        <v>502</v>
      </c>
      <c r="G3707" t="s">
        <v>502</v>
      </c>
      <c r="H3707" t="s">
        <v>503</v>
      </c>
      <c r="I3707" t="s">
        <v>504</v>
      </c>
    </row>
    <row r="3708" spans="1:9" x14ac:dyDescent="0.25">
      <c r="A3708" s="1" t="str">
        <f t="shared" si="32"/>
        <v>Ong, Seh Hong</v>
      </c>
      <c r="B3708" t="s">
        <v>7417</v>
      </c>
      <c r="C3708" t="s">
        <v>28</v>
      </c>
      <c r="D3708" t="s">
        <v>501</v>
      </c>
      <c r="E3708" t="s">
        <v>8</v>
      </c>
      <c r="F3708" t="s">
        <v>246</v>
      </c>
      <c r="G3708" t="s">
        <v>502</v>
      </c>
      <c r="H3708" t="s">
        <v>503</v>
      </c>
      <c r="I3708" t="s">
        <v>504</v>
      </c>
    </row>
    <row r="3709" spans="1:9" x14ac:dyDescent="0.25">
      <c r="A3709" s="1" t="str">
        <f t="shared" si="32"/>
        <v>Ong, Seh Hong</v>
      </c>
      <c r="B3709" t="s">
        <v>7417</v>
      </c>
      <c r="C3709" t="s">
        <v>28</v>
      </c>
      <c r="D3709" t="s">
        <v>501</v>
      </c>
      <c r="E3709" t="s">
        <v>8</v>
      </c>
      <c r="F3709" t="s">
        <v>246</v>
      </c>
      <c r="G3709" t="s">
        <v>502</v>
      </c>
      <c r="H3709" t="s">
        <v>503</v>
      </c>
      <c r="I3709" t="s">
        <v>505</v>
      </c>
    </row>
    <row r="3710" spans="1:9" x14ac:dyDescent="0.25">
      <c r="A3710" s="1" t="str">
        <f t="shared" si="32"/>
        <v>Ong, Seh Hong</v>
      </c>
      <c r="B3710" t="s">
        <v>7417</v>
      </c>
      <c r="C3710" t="s">
        <v>28</v>
      </c>
      <c r="D3710" t="s">
        <v>501</v>
      </c>
      <c r="E3710" t="s">
        <v>8</v>
      </c>
      <c r="F3710" t="s">
        <v>234</v>
      </c>
      <c r="G3710" t="s">
        <v>502</v>
      </c>
      <c r="H3710" t="s">
        <v>503</v>
      </c>
      <c r="I3710" t="s">
        <v>504</v>
      </c>
    </row>
    <row r="3711" spans="1:9" x14ac:dyDescent="0.25">
      <c r="A3711" s="1" t="str">
        <f t="shared" si="32"/>
        <v>Ong, Seh Hong</v>
      </c>
      <c r="B3711" t="s">
        <v>7417</v>
      </c>
      <c r="C3711" t="s">
        <v>28</v>
      </c>
      <c r="D3711" t="s">
        <v>501</v>
      </c>
      <c r="E3711" t="s">
        <v>8</v>
      </c>
      <c r="F3711" t="s">
        <v>359</v>
      </c>
      <c r="G3711" t="s">
        <v>502</v>
      </c>
      <c r="H3711" t="s">
        <v>503</v>
      </c>
      <c r="I3711" t="s">
        <v>506</v>
      </c>
    </row>
    <row r="3712" spans="1:9" x14ac:dyDescent="0.25">
      <c r="A3712" s="1" t="str">
        <f>HYPERLINK("https://lynxcrm-apac--c.eu19.visual.force.com/0011i000001xoLtAAI","Ong, Sharon")</f>
        <v>Ong, Sharon</v>
      </c>
      <c r="B3712" t="s">
        <v>7418</v>
      </c>
      <c r="C3712" t="s">
        <v>28</v>
      </c>
      <c r="D3712" t="s">
        <v>709</v>
      </c>
      <c r="E3712" t="s">
        <v>8</v>
      </c>
      <c r="F3712" t="s">
        <v>710</v>
      </c>
      <c r="G3712" t="s">
        <v>135</v>
      </c>
      <c r="H3712" t="s">
        <v>135</v>
      </c>
      <c r="I3712" t="s">
        <v>711</v>
      </c>
    </row>
    <row r="3713" spans="1:9" x14ac:dyDescent="0.25">
      <c r="A3713" s="1" t="str">
        <f>HYPERLINK("https://lynxcrm-apac--c.eu19.visual.force.com/0011i000001xoePAAQ","Ong, Shu Min")</f>
        <v>Ong, Shu Min</v>
      </c>
      <c r="B3713" t="s">
        <v>7419</v>
      </c>
      <c r="C3713" t="s">
        <v>28</v>
      </c>
      <c r="D3713" t="s">
        <v>1698</v>
      </c>
      <c r="E3713" t="s">
        <v>8</v>
      </c>
      <c r="F3713" t="s">
        <v>2273</v>
      </c>
      <c r="G3713" t="s">
        <v>2273</v>
      </c>
      <c r="H3713" t="s">
        <v>8</v>
      </c>
      <c r="I3713" t="s">
        <v>8</v>
      </c>
    </row>
    <row r="3714" spans="1:9" x14ac:dyDescent="0.25">
      <c r="A3714" s="1" t="str">
        <f>HYPERLINK("https://lynxcrm-apac--c.eu19.visual.force.com/0011i000001xnoaAAA","Ong, Siew Chey")</f>
        <v>Ong, Siew Chey</v>
      </c>
      <c r="B3714" t="s">
        <v>7420</v>
      </c>
      <c r="C3714" t="s">
        <v>28</v>
      </c>
      <c r="D3714" t="s">
        <v>7421</v>
      </c>
      <c r="E3714" t="s">
        <v>8</v>
      </c>
      <c r="F3714" t="s">
        <v>121</v>
      </c>
      <c r="G3714" t="s">
        <v>131</v>
      </c>
      <c r="H3714" t="s">
        <v>131</v>
      </c>
      <c r="I3714" t="s">
        <v>123</v>
      </c>
    </row>
    <row r="3715" spans="1:9" x14ac:dyDescent="0.25">
      <c r="A3715" s="1" t="str">
        <f>HYPERLINK("https://lynxcrm-apac--c.eu19.visual.force.com/0011i000001xnofAAA","Ong, Siong Hoon Dick")</f>
        <v>Ong, Siong Hoon Dick</v>
      </c>
      <c r="B3715" t="s">
        <v>7422</v>
      </c>
      <c r="C3715" t="s">
        <v>28</v>
      </c>
      <c r="D3715" t="s">
        <v>2069</v>
      </c>
      <c r="E3715" t="s">
        <v>8</v>
      </c>
      <c r="F3715" t="s">
        <v>5582</v>
      </c>
      <c r="G3715" t="s">
        <v>5582</v>
      </c>
      <c r="H3715" t="s">
        <v>5583</v>
      </c>
      <c r="I3715" t="s">
        <v>5584</v>
      </c>
    </row>
    <row r="3716" spans="1:9" x14ac:dyDescent="0.25">
      <c r="A3716" s="1" t="str">
        <f>HYPERLINK("https://lynxcrm-apac--c.eu19.visual.force.com/0011i000001xo57AAA","Ong, Sze Guan")</f>
        <v>Ong, Sze Guan</v>
      </c>
      <c r="B3716" t="s">
        <v>7423</v>
      </c>
      <c r="C3716" t="s">
        <v>28</v>
      </c>
      <c r="D3716" t="s">
        <v>468</v>
      </c>
      <c r="E3716" t="s">
        <v>8</v>
      </c>
      <c r="F3716" t="s">
        <v>469</v>
      </c>
      <c r="G3716" t="s">
        <v>470</v>
      </c>
      <c r="H3716" t="s">
        <v>471</v>
      </c>
      <c r="I3716" t="s">
        <v>67</v>
      </c>
    </row>
    <row r="3717" spans="1:9" x14ac:dyDescent="0.25">
      <c r="A3717" s="1" t="str">
        <f>HYPERLINK("https://lynxcrm-apac--c.eu19.visual.force.com/0011i000001xo9LAAQ","Ong, Sze Lan")</f>
        <v>Ong, Sze Lan</v>
      </c>
      <c r="B3717" t="s">
        <v>7424</v>
      </c>
      <c r="C3717" t="s">
        <v>28</v>
      </c>
      <c r="D3717" t="s">
        <v>7425</v>
      </c>
      <c r="E3717" t="s">
        <v>8</v>
      </c>
      <c r="F3717" t="s">
        <v>5107</v>
      </c>
      <c r="G3717" t="s">
        <v>5108</v>
      </c>
      <c r="H3717" t="s">
        <v>5109</v>
      </c>
      <c r="I3717" t="s">
        <v>2040</v>
      </c>
    </row>
    <row r="3718" spans="1:9" x14ac:dyDescent="0.25">
      <c r="A3718" s="1" t="str">
        <f>HYPERLINK("https://lynxcrm-apac--c.eu19.visual.force.com/0011i000001xolHAAQ","Ong, Sze Tat")</f>
        <v>Ong, Sze Tat</v>
      </c>
      <c r="B3718" t="s">
        <v>7426</v>
      </c>
      <c r="C3718" t="s">
        <v>28</v>
      </c>
      <c r="D3718" t="s">
        <v>6246</v>
      </c>
      <c r="E3718" t="s">
        <v>8</v>
      </c>
      <c r="F3718" t="s">
        <v>7427</v>
      </c>
      <c r="G3718" t="s">
        <v>2151</v>
      </c>
      <c r="H3718" t="s">
        <v>2151</v>
      </c>
      <c r="I3718" t="s">
        <v>1444</v>
      </c>
    </row>
    <row r="3719" spans="1:9" x14ac:dyDescent="0.25">
      <c r="A3719" s="1" t="str">
        <f>HYPERLINK("https://lynxcrm-apac--c.eu19.visual.force.com/0011i000001xnogAAA","Ong, Theng Kiat")</f>
        <v>Ong, Theng Kiat</v>
      </c>
      <c r="B3719" t="s">
        <v>7428</v>
      </c>
      <c r="C3719" t="s">
        <v>28</v>
      </c>
      <c r="D3719" t="s">
        <v>7429</v>
      </c>
      <c r="E3719" t="s">
        <v>8</v>
      </c>
      <c r="F3719" t="s">
        <v>69</v>
      </c>
      <c r="G3719" t="s">
        <v>7430</v>
      </c>
      <c r="H3719" t="s">
        <v>7431</v>
      </c>
      <c r="I3719" t="s">
        <v>67</v>
      </c>
    </row>
    <row r="3720" spans="1:9" x14ac:dyDescent="0.25">
      <c r="A3720" s="1" t="str">
        <f>HYPERLINK("https://lynxcrm-apac--c.eu19.visual.force.com/0011i000001xnohAAA","Ong, Theng Sung Raymond")</f>
        <v>Ong, Theng Sung Raymond</v>
      </c>
      <c r="B3720" t="s">
        <v>7432</v>
      </c>
      <c r="C3720" t="s">
        <v>28</v>
      </c>
      <c r="D3720" t="s">
        <v>7433</v>
      </c>
      <c r="E3720" t="s">
        <v>8</v>
      </c>
      <c r="F3720" t="s">
        <v>7434</v>
      </c>
      <c r="G3720" t="s">
        <v>1642</v>
      </c>
      <c r="H3720" t="s">
        <v>7435</v>
      </c>
      <c r="I3720" t="s">
        <v>7436</v>
      </c>
    </row>
    <row r="3721" spans="1:9" x14ac:dyDescent="0.25">
      <c r="A3721" s="1" t="str">
        <f>HYPERLINK("https://lynxcrm-apac--c.eu19.visual.force.com/0011i000001xnoiAAA","Ong, Thiam Peng")</f>
        <v>Ong, Thiam Peng</v>
      </c>
      <c r="B3721" t="s">
        <v>7437</v>
      </c>
      <c r="C3721" t="s">
        <v>28</v>
      </c>
      <c r="D3721" t="s">
        <v>7438</v>
      </c>
      <c r="E3721" t="s">
        <v>8</v>
      </c>
      <c r="F3721" t="s">
        <v>4578</v>
      </c>
      <c r="G3721" t="s">
        <v>4579</v>
      </c>
      <c r="H3721" t="s">
        <v>4579</v>
      </c>
      <c r="I3721" t="s">
        <v>4580</v>
      </c>
    </row>
    <row r="3722" spans="1:9" x14ac:dyDescent="0.25">
      <c r="A3722" s="1" t="str">
        <f>HYPERLINK("https://lynxcrm-apac--c.eu19.visual.force.com/0011i000001xo58AAA","Ong, Thiew Chai")</f>
        <v>Ong, Thiew Chai</v>
      </c>
      <c r="B3722" t="s">
        <v>7439</v>
      </c>
      <c r="C3722" t="s">
        <v>28</v>
      </c>
      <c r="D3722" t="s">
        <v>261</v>
      </c>
      <c r="E3722" t="s">
        <v>8</v>
      </c>
      <c r="F3722" t="s">
        <v>1400</v>
      </c>
      <c r="G3722" t="s">
        <v>258</v>
      </c>
      <c r="H3722" t="s">
        <v>258</v>
      </c>
      <c r="I3722" t="s">
        <v>260</v>
      </c>
    </row>
    <row r="3723" spans="1:9" x14ac:dyDescent="0.25">
      <c r="A3723" s="1" t="str">
        <f>HYPERLINK("https://lynxcrm-apac--c.eu19.visual.force.com/0011i000001xoInAAI","Ong, Tiong Hee David")</f>
        <v>Ong, Tiong Hee David</v>
      </c>
      <c r="B3723" t="s">
        <v>7440</v>
      </c>
      <c r="C3723" t="s">
        <v>28</v>
      </c>
      <c r="D3723" t="s">
        <v>3271</v>
      </c>
      <c r="E3723" t="s">
        <v>8</v>
      </c>
      <c r="F3723" t="s">
        <v>1371</v>
      </c>
      <c r="G3723" t="s">
        <v>3272</v>
      </c>
      <c r="H3723" t="s">
        <v>3273</v>
      </c>
      <c r="I3723" t="s">
        <v>1373</v>
      </c>
    </row>
    <row r="3724" spans="1:9" x14ac:dyDescent="0.25">
      <c r="A3724" s="1" t="str">
        <f>HYPERLINK("https://lynxcrm-apac--c.eu19.visual.force.com/0011i000001xnlaAAA","Ong, Tze Hui Stephanie")</f>
        <v>Ong, Tze Hui Stephanie</v>
      </c>
      <c r="B3724" t="s">
        <v>7441</v>
      </c>
      <c r="C3724" t="s">
        <v>28</v>
      </c>
      <c r="D3724" t="s">
        <v>701</v>
      </c>
      <c r="E3724" t="s">
        <v>8</v>
      </c>
      <c r="F3724" t="s">
        <v>1123</v>
      </c>
      <c r="G3724" t="s">
        <v>1123</v>
      </c>
      <c r="H3724" t="s">
        <v>8</v>
      </c>
      <c r="I3724" t="s">
        <v>703</v>
      </c>
    </row>
    <row r="3725" spans="1:9" x14ac:dyDescent="0.25">
      <c r="A3725" s="1" t="str">
        <f>HYPERLINK("https://lynxcrm-apac--c.eu19.visual.force.com/0011i000001xorCAAQ","Ong, Yee Ru Evinda")</f>
        <v>Ong, Yee Ru Evinda</v>
      </c>
      <c r="B3725" t="s">
        <v>7442</v>
      </c>
      <c r="C3725" t="s">
        <v>28</v>
      </c>
      <c r="D3725" t="s">
        <v>7443</v>
      </c>
      <c r="E3725" t="s">
        <v>8</v>
      </c>
      <c r="F3725" t="s">
        <v>3995</v>
      </c>
      <c r="G3725" t="s">
        <v>3996</v>
      </c>
      <c r="H3725" t="s">
        <v>3996</v>
      </c>
      <c r="I3725" t="s">
        <v>3997</v>
      </c>
    </row>
    <row r="3726" spans="1:9" x14ac:dyDescent="0.25">
      <c r="A3726" s="1" t="str">
        <f>HYPERLINK("https://lynxcrm-apac--c.eu19.visual.force.com/0011i000001xnolAAA","Ong, Yong Khee Daniel")</f>
        <v>Ong, Yong Khee Daniel</v>
      </c>
      <c r="B3726" t="s">
        <v>7444</v>
      </c>
      <c r="C3726" t="s">
        <v>28</v>
      </c>
      <c r="D3726" t="s">
        <v>7445</v>
      </c>
      <c r="E3726" t="s">
        <v>8</v>
      </c>
      <c r="F3726" t="s">
        <v>7446</v>
      </c>
      <c r="G3726" t="s">
        <v>7447</v>
      </c>
      <c r="H3726" t="s">
        <v>7448</v>
      </c>
      <c r="I3726" t="s">
        <v>7449</v>
      </c>
    </row>
    <row r="3727" spans="1:9" x14ac:dyDescent="0.25">
      <c r="A3727" s="1" t="str">
        <f>HYPERLINK("https://lynxcrm-apac--c.eu19.visual.force.com/0011i000001xoayAAA","Ong, Yong Wan")</f>
        <v>Ong, Yong Wan</v>
      </c>
      <c r="B3727" t="s">
        <v>7450</v>
      </c>
      <c r="C3727" t="s">
        <v>28</v>
      </c>
      <c r="D3727" t="s">
        <v>257</v>
      </c>
      <c r="E3727" t="s">
        <v>8</v>
      </c>
      <c r="F3727" t="s">
        <v>258</v>
      </c>
      <c r="G3727" t="s">
        <v>261</v>
      </c>
      <c r="H3727" t="s">
        <v>261</v>
      </c>
      <c r="I3727" t="s">
        <v>260</v>
      </c>
    </row>
    <row r="3728" spans="1:9" x14ac:dyDescent="0.25">
      <c r="A3728" s="1" t="str">
        <f>HYPERLINK("https://lynxcrm-apac--c.eu19.visual.force.com/0011i000001xoayAAA","Ong, Yong Wan")</f>
        <v>Ong, Yong Wan</v>
      </c>
      <c r="B3728" t="s">
        <v>7450</v>
      </c>
      <c r="C3728" t="s">
        <v>28</v>
      </c>
      <c r="D3728" t="s">
        <v>261</v>
      </c>
      <c r="E3728" t="s">
        <v>8</v>
      </c>
      <c r="F3728" t="s">
        <v>261</v>
      </c>
      <c r="G3728" t="s">
        <v>347</v>
      </c>
      <c r="H3728" t="s">
        <v>347</v>
      </c>
      <c r="I3728" t="s">
        <v>260</v>
      </c>
    </row>
    <row r="3729" spans="1:9" x14ac:dyDescent="0.25">
      <c r="A3729" s="1" t="str">
        <f>HYPERLINK("https://lynxcrm-apac--c.eu19.visual.force.com/0011i000001xo8KAAQ","Ong, Yong Yau")</f>
        <v>Ong, Yong Yau</v>
      </c>
      <c r="B3729" t="s">
        <v>7451</v>
      </c>
      <c r="C3729" t="s">
        <v>28</v>
      </c>
      <c r="D3729" t="s">
        <v>251</v>
      </c>
      <c r="E3729" t="s">
        <v>8</v>
      </c>
      <c r="F3729" t="s">
        <v>239</v>
      </c>
      <c r="G3729" t="s">
        <v>252</v>
      </c>
      <c r="H3729" t="s">
        <v>252</v>
      </c>
      <c r="I3729" t="s">
        <v>253</v>
      </c>
    </row>
    <row r="3730" spans="1:9" x14ac:dyDescent="0.25">
      <c r="A3730" s="1" t="str">
        <f>HYPERLINK("https://lynxcrm-apac--c.eu19.visual.force.com/0011i000001xnMbAAI","Ong's Clinic")</f>
        <v>Ong's Clinic</v>
      </c>
      <c r="B3730" t="s">
        <v>7452</v>
      </c>
      <c r="C3730" t="s">
        <v>10</v>
      </c>
      <c r="D3730" t="s">
        <v>8</v>
      </c>
      <c r="E3730" t="s">
        <v>8</v>
      </c>
      <c r="F3730" t="s">
        <v>7453</v>
      </c>
      <c r="G3730" t="s">
        <v>7454</v>
      </c>
      <c r="H3730" t="s">
        <v>7448</v>
      </c>
      <c r="I3730" t="s">
        <v>7455</v>
      </c>
    </row>
    <row r="3731" spans="1:9" x14ac:dyDescent="0.25">
      <c r="A3731" s="1" t="str">
        <f>HYPERLINK("https://lynxcrm-apac--c.eu19.visual.force.com/0011i000001xndVAAQ","Ong's Clinic")</f>
        <v>Ong's Clinic</v>
      </c>
      <c r="B3731" t="s">
        <v>7456</v>
      </c>
      <c r="C3731" t="s">
        <v>10</v>
      </c>
      <c r="D3731" t="s">
        <v>8</v>
      </c>
      <c r="E3731" t="s">
        <v>8</v>
      </c>
      <c r="F3731" t="s">
        <v>7446</v>
      </c>
      <c r="G3731" t="s">
        <v>7447</v>
      </c>
      <c r="H3731" t="s">
        <v>7448</v>
      </c>
      <c r="I3731" t="s">
        <v>7449</v>
      </c>
    </row>
    <row r="3732" spans="1:9" x14ac:dyDescent="0.25">
      <c r="A3732" s="1" t="str">
        <f>HYPERLINK("https://lynxcrm-apac--c.eu19.visual.force.com/0011i000001xmknAAA","Ong Clinic")</f>
        <v>Ong Clinic</v>
      </c>
      <c r="B3732" t="s">
        <v>7457</v>
      </c>
      <c r="C3732" t="s">
        <v>10</v>
      </c>
      <c r="D3732" t="s">
        <v>8</v>
      </c>
      <c r="E3732" t="s">
        <v>8</v>
      </c>
      <c r="F3732" t="s">
        <v>2150</v>
      </c>
      <c r="G3732" t="s">
        <v>7458</v>
      </c>
      <c r="H3732" t="s">
        <v>7459</v>
      </c>
      <c r="I3732" t="s">
        <v>3129</v>
      </c>
    </row>
    <row r="3733" spans="1:9" x14ac:dyDescent="0.25">
      <c r="A3733" s="1" t="str">
        <f>HYPERLINK("https://lynxcrm-apac--c.eu19.visual.force.com/0011i000001xndGAAQ","Ong Clinic")</f>
        <v>Ong Clinic</v>
      </c>
      <c r="B3733" t="s">
        <v>7460</v>
      </c>
      <c r="C3733" t="s">
        <v>10</v>
      </c>
      <c r="D3733" t="s">
        <v>8</v>
      </c>
      <c r="E3733" t="s">
        <v>8</v>
      </c>
      <c r="F3733" t="s">
        <v>7359</v>
      </c>
      <c r="G3733" t="s">
        <v>7360</v>
      </c>
      <c r="H3733" t="s">
        <v>7361</v>
      </c>
      <c r="I3733" t="s">
        <v>7362</v>
      </c>
    </row>
    <row r="3734" spans="1:9" x14ac:dyDescent="0.25">
      <c r="A3734" s="1" t="str">
        <f>HYPERLINK("https://lynxcrm-apac--c.eu19.visual.force.com/0011i000001xndHAAQ","Ong Medical Clinic")</f>
        <v>Ong Medical Clinic</v>
      </c>
      <c r="B3734" t="s">
        <v>7461</v>
      </c>
      <c r="C3734" t="s">
        <v>10</v>
      </c>
      <c r="D3734" t="s">
        <v>8</v>
      </c>
      <c r="E3734" t="s">
        <v>8</v>
      </c>
      <c r="F3734" t="s">
        <v>7462</v>
      </c>
      <c r="G3734" t="s">
        <v>7463</v>
      </c>
      <c r="H3734" t="s">
        <v>7464</v>
      </c>
      <c r="I3734" t="s">
        <v>7465</v>
      </c>
    </row>
    <row r="3735" spans="1:9" x14ac:dyDescent="0.25">
      <c r="A3735" s="1" t="str">
        <f>HYPERLINK("https://lynxcrm-apac--c.eu19.visual.force.com/0011i000001xoSGAAY","Oo, Kian Kwan Kenneth")</f>
        <v>Oo, Kian Kwan Kenneth</v>
      </c>
      <c r="B3735" t="s">
        <v>7466</v>
      </c>
      <c r="C3735" t="s">
        <v>28</v>
      </c>
      <c r="D3735" t="s">
        <v>251</v>
      </c>
      <c r="E3735" t="s">
        <v>8</v>
      </c>
      <c r="F3735" t="s">
        <v>514</v>
      </c>
      <c r="G3735" t="s">
        <v>252</v>
      </c>
      <c r="H3735" t="s">
        <v>252</v>
      </c>
      <c r="I3735" t="s">
        <v>253</v>
      </c>
    </row>
    <row r="3736" spans="1:9" x14ac:dyDescent="0.25">
      <c r="A3736" s="1" t="str">
        <f>HYPERLINK("https://lynxcrm-apac--c.eu19.visual.force.com/0011i000001xo8gAAA","Ooi, Adrian")</f>
        <v>Ooi, Adrian</v>
      </c>
      <c r="B3736" t="s">
        <v>7467</v>
      </c>
      <c r="C3736" t="s">
        <v>28</v>
      </c>
      <c r="D3736" t="s">
        <v>261</v>
      </c>
      <c r="E3736" t="s">
        <v>8</v>
      </c>
      <c r="F3736" t="s">
        <v>261</v>
      </c>
      <c r="G3736" t="s">
        <v>347</v>
      </c>
      <c r="H3736" t="s">
        <v>347</v>
      </c>
      <c r="I3736" t="s">
        <v>260</v>
      </c>
    </row>
    <row r="3737" spans="1:9" x14ac:dyDescent="0.25">
      <c r="A3737" s="1" t="str">
        <f>HYPERLINK("https://lynxcrm-apac--c.eu19.visual.force.com/0011i000001xoXPAAY","Ooi, Boon Swee")</f>
        <v>Ooi, Boon Swee</v>
      </c>
      <c r="B3737" t="s">
        <v>7468</v>
      </c>
      <c r="C3737" t="s">
        <v>28</v>
      </c>
      <c r="D3737" t="s">
        <v>7469</v>
      </c>
      <c r="E3737" t="s">
        <v>8</v>
      </c>
      <c r="F3737" t="s">
        <v>377</v>
      </c>
      <c r="G3737" t="s">
        <v>979</v>
      </c>
      <c r="H3737" t="s">
        <v>979</v>
      </c>
      <c r="I3737" t="s">
        <v>123</v>
      </c>
    </row>
    <row r="3738" spans="1:9" x14ac:dyDescent="0.25">
      <c r="A3738" s="1" t="str">
        <f>HYPERLINK("https://lynxcrm-apac--c.eu19.visual.force.com/0011i000001xngoAAA","Ooi, Chung Ping")</f>
        <v>Ooi, Chung Ping</v>
      </c>
      <c r="B3738" t="s">
        <v>7470</v>
      </c>
      <c r="C3738" t="s">
        <v>28</v>
      </c>
      <c r="D3738" t="s">
        <v>1661</v>
      </c>
      <c r="E3738" t="s">
        <v>8</v>
      </c>
      <c r="F3738" t="s">
        <v>627</v>
      </c>
      <c r="G3738" t="s">
        <v>628</v>
      </c>
      <c r="H3738" t="s">
        <v>628</v>
      </c>
      <c r="I3738" t="s">
        <v>624</v>
      </c>
    </row>
    <row r="3739" spans="1:9" x14ac:dyDescent="0.25">
      <c r="A3739" s="1" t="str">
        <f>HYPERLINK("https://lynxcrm-apac--c.eu19.visual.force.com/0011i000001xnqHAAQ","Ooi, Kenneth")</f>
        <v>Ooi, Kenneth</v>
      </c>
      <c r="B3739" t="s">
        <v>7471</v>
      </c>
      <c r="C3739" t="s">
        <v>28</v>
      </c>
      <c r="D3739" t="s">
        <v>251</v>
      </c>
      <c r="E3739" t="s">
        <v>8</v>
      </c>
      <c r="F3739" t="s">
        <v>427</v>
      </c>
      <c r="G3739" t="s">
        <v>252</v>
      </c>
      <c r="H3739" t="s">
        <v>858</v>
      </c>
      <c r="I3739" t="s">
        <v>253</v>
      </c>
    </row>
    <row r="3740" spans="1:9" x14ac:dyDescent="0.25">
      <c r="A3740" s="1" t="str">
        <f>HYPERLINK("https://lynxcrm-apac--c.eu19.visual.force.com/0011i000001xnqHAAQ","Ooi, Kenneth")</f>
        <v>Ooi, Kenneth</v>
      </c>
      <c r="B3740" t="s">
        <v>7471</v>
      </c>
      <c r="C3740" t="s">
        <v>28</v>
      </c>
      <c r="D3740" t="s">
        <v>251</v>
      </c>
      <c r="E3740" t="s">
        <v>8</v>
      </c>
      <c r="F3740" t="s">
        <v>251</v>
      </c>
      <c r="G3740" t="s">
        <v>252</v>
      </c>
      <c r="H3740" t="s">
        <v>252</v>
      </c>
      <c r="I3740" t="s">
        <v>253</v>
      </c>
    </row>
    <row r="3741" spans="1:9" x14ac:dyDescent="0.25">
      <c r="A3741" s="1" t="str">
        <f>HYPERLINK("https://lynxcrm-apac--c.eu19.visual.force.com/0011i000001xnh8AAA","Ooi, Kok Wei")</f>
        <v>Ooi, Kok Wei</v>
      </c>
      <c r="B3741" t="s">
        <v>7472</v>
      </c>
      <c r="C3741" t="s">
        <v>28</v>
      </c>
      <c r="D3741" t="s">
        <v>7473</v>
      </c>
      <c r="E3741" t="s">
        <v>8</v>
      </c>
      <c r="F3741" t="s">
        <v>7474</v>
      </c>
      <c r="G3741" t="s">
        <v>7475</v>
      </c>
      <c r="H3741" t="s">
        <v>7475</v>
      </c>
      <c r="I3741" t="s">
        <v>5351</v>
      </c>
    </row>
    <row r="3742" spans="1:9" x14ac:dyDescent="0.25">
      <c r="A3742" s="1" t="str">
        <f>HYPERLINK("https://lynxcrm-apac--c.eu19.visual.force.com/0011i000001xnomAAA","Ooi, Koon Hean Alex")</f>
        <v>Ooi, Koon Hean Alex</v>
      </c>
      <c r="B3742" t="s">
        <v>7476</v>
      </c>
      <c r="C3742" t="s">
        <v>28</v>
      </c>
      <c r="D3742" t="s">
        <v>7477</v>
      </c>
      <c r="E3742" t="s">
        <v>8</v>
      </c>
      <c r="F3742" t="s">
        <v>373</v>
      </c>
      <c r="G3742" t="s">
        <v>381</v>
      </c>
      <c r="H3742" t="s">
        <v>382</v>
      </c>
      <c r="I3742" t="s">
        <v>123</v>
      </c>
    </row>
    <row r="3743" spans="1:9" x14ac:dyDescent="0.25">
      <c r="A3743" s="1" t="str">
        <f>HYPERLINK("https://lynxcrm-apac--c.eu19.visual.force.com/0011i000001xoPvAAI","Ooi, Lai Hock")</f>
        <v>Ooi, Lai Hock</v>
      </c>
      <c r="B3743" t="s">
        <v>7478</v>
      </c>
      <c r="C3743" t="s">
        <v>28</v>
      </c>
      <c r="D3743" t="s">
        <v>2061</v>
      </c>
      <c r="E3743" t="s">
        <v>8</v>
      </c>
      <c r="F3743" t="s">
        <v>69</v>
      </c>
      <c r="G3743" t="s">
        <v>2062</v>
      </c>
      <c r="H3743" t="s">
        <v>2063</v>
      </c>
      <c r="I3743" t="s">
        <v>67</v>
      </c>
    </row>
    <row r="3744" spans="1:9" x14ac:dyDescent="0.25">
      <c r="A3744" s="1" t="str">
        <f>HYPERLINK("https://lynxcrm-apac--c.eu19.visual.force.com/0011i000001xoDwAAI","Ooi, Mei Yeen")</f>
        <v>Ooi, Mei Yeen</v>
      </c>
      <c r="B3744" t="s">
        <v>7479</v>
      </c>
      <c r="C3744" t="s">
        <v>28</v>
      </c>
      <c r="D3744" t="s">
        <v>7480</v>
      </c>
      <c r="E3744" t="s">
        <v>8</v>
      </c>
      <c r="F3744" t="s">
        <v>5613</v>
      </c>
      <c r="G3744" t="s">
        <v>5614</v>
      </c>
      <c r="H3744" t="s">
        <v>5614</v>
      </c>
      <c r="I3744" t="s">
        <v>3540</v>
      </c>
    </row>
    <row r="3745" spans="1:9" x14ac:dyDescent="0.25">
      <c r="A3745" s="1" t="str">
        <f>HYPERLINK("https://lynxcrm-apac--c.eu19.visual.force.com/0011i000001xnonAAA","Ooi, Teik Huat")</f>
        <v>Ooi, Teik Huat</v>
      </c>
      <c r="B3745" t="s">
        <v>7481</v>
      </c>
      <c r="C3745" t="s">
        <v>28</v>
      </c>
      <c r="D3745" t="s">
        <v>7482</v>
      </c>
      <c r="E3745" t="s">
        <v>8</v>
      </c>
      <c r="F3745" t="s">
        <v>2420</v>
      </c>
      <c r="G3745" t="s">
        <v>2421</v>
      </c>
      <c r="H3745" t="s">
        <v>2422</v>
      </c>
      <c r="I3745" t="s">
        <v>2423</v>
      </c>
    </row>
    <row r="3746" spans="1:9" x14ac:dyDescent="0.25">
      <c r="A3746" s="1" t="str">
        <f>HYPERLINK("https://lynxcrm-apac--c.eu19.visual.force.com/0011i00000Xf1ItAAJ","Ooi, Wei Seong")</f>
        <v>Ooi, Wei Seong</v>
      </c>
      <c r="B3746" t="s">
        <v>7483</v>
      </c>
      <c r="C3746" t="s">
        <v>28</v>
      </c>
      <c r="D3746" t="s">
        <v>7484</v>
      </c>
      <c r="E3746" t="s">
        <v>8</v>
      </c>
      <c r="F3746" t="s">
        <v>7485</v>
      </c>
      <c r="G3746" t="s">
        <v>7486</v>
      </c>
      <c r="H3746" t="s">
        <v>8</v>
      </c>
      <c r="I3746" t="s">
        <v>85</v>
      </c>
    </row>
    <row r="3747" spans="1:9" x14ac:dyDescent="0.25">
      <c r="A3747" s="1" t="str">
        <f>HYPERLINK("https://lynxcrm-apac--c.eu19.visual.force.com/0011i000001xoekAAA","Ooi, Yau Wei")</f>
        <v>Ooi, Yau Wei</v>
      </c>
      <c r="B3747" t="s">
        <v>7487</v>
      </c>
      <c r="C3747" t="s">
        <v>28</v>
      </c>
      <c r="D3747" t="s">
        <v>7488</v>
      </c>
      <c r="E3747" t="s">
        <v>8</v>
      </c>
      <c r="F3747" t="s">
        <v>7489</v>
      </c>
      <c r="G3747" t="s">
        <v>569</v>
      </c>
      <c r="H3747" t="s">
        <v>569</v>
      </c>
      <c r="I3747" t="s">
        <v>344</v>
      </c>
    </row>
    <row r="3748" spans="1:9" x14ac:dyDescent="0.25">
      <c r="A3748" s="1" t="str">
        <f>HYPERLINK("https://lynxcrm-apac--c.eu19.visual.force.com/0011i000007EdiFAAS","Ooi, Yee Jin")</f>
        <v>Ooi, Yee Jin</v>
      </c>
      <c r="B3748" t="s">
        <v>7490</v>
      </c>
      <c r="C3748" t="s">
        <v>28</v>
      </c>
      <c r="D3748" t="s">
        <v>8</v>
      </c>
      <c r="E3748" t="s">
        <v>8</v>
      </c>
      <c r="F3748" t="s">
        <v>7491</v>
      </c>
      <c r="G3748" t="s">
        <v>7492</v>
      </c>
      <c r="H3748" t="s">
        <v>7493</v>
      </c>
      <c r="I3748" t="s">
        <v>3667</v>
      </c>
    </row>
    <row r="3749" spans="1:9" x14ac:dyDescent="0.25">
      <c r="A3749" s="1" t="str">
        <f>HYPERLINK("https://lynxcrm-apac--c.eu19.visual.force.com/0011i000007EdiFAAS","Ooi, Yee Jin")</f>
        <v>Ooi, Yee Jin</v>
      </c>
      <c r="B3749" t="s">
        <v>7490</v>
      </c>
      <c r="C3749" t="s">
        <v>28</v>
      </c>
      <c r="D3749" t="s">
        <v>7494</v>
      </c>
      <c r="E3749" t="s">
        <v>8</v>
      </c>
      <c r="F3749" t="s">
        <v>7491</v>
      </c>
      <c r="G3749" t="s">
        <v>7492</v>
      </c>
      <c r="H3749" t="s">
        <v>7493</v>
      </c>
      <c r="I3749" t="s">
        <v>3667</v>
      </c>
    </row>
    <row r="3750" spans="1:9" x14ac:dyDescent="0.25">
      <c r="A3750" s="1" t="str">
        <f>HYPERLINK("https://lynxcrm-apac--c.eu19.visual.force.com/0011i000001xnopAAA","Oon, Chong Teik")</f>
        <v>Oon, Chong Teik</v>
      </c>
      <c r="B3750" t="s">
        <v>7495</v>
      </c>
      <c r="C3750" t="s">
        <v>28</v>
      </c>
      <c r="D3750" t="s">
        <v>7496</v>
      </c>
      <c r="E3750" t="s">
        <v>8</v>
      </c>
      <c r="F3750" t="s">
        <v>377</v>
      </c>
      <c r="G3750" t="s">
        <v>7497</v>
      </c>
      <c r="H3750" t="s">
        <v>7497</v>
      </c>
      <c r="I3750" t="s">
        <v>123</v>
      </c>
    </row>
    <row r="3751" spans="1:9" x14ac:dyDescent="0.25">
      <c r="A3751" s="1" t="str">
        <f>HYPERLINK("https://lynxcrm-apac--c.eu19.visual.force.com/0011i000001xnJNAAY","Ophthalmic Consultants Pte Ltd")</f>
        <v>Ophthalmic Consultants Pte Ltd</v>
      </c>
      <c r="B3751" t="s">
        <v>7498</v>
      </c>
      <c r="C3751" t="s">
        <v>10</v>
      </c>
      <c r="D3751" t="s">
        <v>8</v>
      </c>
      <c r="E3751" t="s">
        <v>8</v>
      </c>
      <c r="F3751" t="s">
        <v>69</v>
      </c>
      <c r="G3751" t="s">
        <v>7499</v>
      </c>
      <c r="H3751" t="s">
        <v>7500</v>
      </c>
      <c r="I3751" t="s">
        <v>67</v>
      </c>
    </row>
    <row r="3752" spans="1:9" x14ac:dyDescent="0.25">
      <c r="A3752" s="1" t="str">
        <f>HYPERLINK("https://lynxcrm-apac--c.eu19.visual.force.com/0011i000001xmsIAAQ","Ophthalmic Consultants Pte Ltd c/o Pauline YY Cheo")</f>
        <v>Ophthalmic Consultants Pte Ltd c/o Pauline YY Cheo</v>
      </c>
      <c r="B3752" t="s">
        <v>7501</v>
      </c>
      <c r="C3752" t="s">
        <v>10</v>
      </c>
      <c r="D3752" t="s">
        <v>8</v>
      </c>
      <c r="E3752" t="s">
        <v>8</v>
      </c>
      <c r="F3752" t="s">
        <v>69</v>
      </c>
      <c r="G3752" t="s">
        <v>1669</v>
      </c>
      <c r="H3752" t="s">
        <v>1670</v>
      </c>
      <c r="I3752" t="s">
        <v>67</v>
      </c>
    </row>
    <row r="3753" spans="1:9" x14ac:dyDescent="0.25">
      <c r="A3753" s="1" t="str">
        <f>HYPERLINK("https://lynxcrm-apac--c.eu19.visual.force.com/0011i000001xn9gAAA","Orchard Group Clinic")</f>
        <v>Orchard Group Clinic</v>
      </c>
      <c r="B3753" t="s">
        <v>7502</v>
      </c>
      <c r="C3753" t="s">
        <v>10</v>
      </c>
      <c r="D3753" t="s">
        <v>8</v>
      </c>
      <c r="E3753" t="s">
        <v>8</v>
      </c>
      <c r="F3753" t="s">
        <v>5122</v>
      </c>
      <c r="G3753" t="s">
        <v>5123</v>
      </c>
      <c r="H3753" t="s">
        <v>4914</v>
      </c>
      <c r="I3753" t="s">
        <v>3199</v>
      </c>
    </row>
    <row r="3754" spans="1:9" x14ac:dyDescent="0.25">
      <c r="A3754" s="1" t="str">
        <f>HYPERLINK("https://lynxcrm-apac--c.eu19.visual.force.com/0011i000001xnDGAAY","Orchard Group Clinic")</f>
        <v>Orchard Group Clinic</v>
      </c>
      <c r="B3754" t="s">
        <v>7503</v>
      </c>
      <c r="C3754" t="s">
        <v>10</v>
      </c>
      <c r="D3754" t="s">
        <v>8</v>
      </c>
      <c r="E3754" t="s">
        <v>8</v>
      </c>
      <c r="F3754" t="s">
        <v>3196</v>
      </c>
      <c r="G3754" t="s">
        <v>5123</v>
      </c>
      <c r="H3754" t="s">
        <v>4914</v>
      </c>
      <c r="I3754" t="s">
        <v>3199</v>
      </c>
    </row>
    <row r="3755" spans="1:9" x14ac:dyDescent="0.25">
      <c r="A3755" s="1" t="str">
        <f>HYPERLINK("https://lynxcrm-apac--c.eu19.visual.force.com/0011i000001xnSHAAY","Orchard Heart Specialist")</f>
        <v>Orchard Heart Specialist</v>
      </c>
      <c r="B3755" t="s">
        <v>7504</v>
      </c>
      <c r="C3755" t="s">
        <v>10</v>
      </c>
      <c r="D3755" t="s">
        <v>8</v>
      </c>
      <c r="E3755" t="s">
        <v>8</v>
      </c>
      <c r="F3755" t="s">
        <v>7505</v>
      </c>
      <c r="G3755" t="s">
        <v>121</v>
      </c>
      <c r="H3755" t="s">
        <v>121</v>
      </c>
      <c r="I3755" t="s">
        <v>123</v>
      </c>
    </row>
    <row r="3756" spans="1:9" x14ac:dyDescent="0.25">
      <c r="A3756" s="1" t="str">
        <f>HYPERLINK("https://lynxcrm-apac--c.eu19.visual.force.com/0011i000001xnSHAAY","Orchard Heart Specialist")</f>
        <v>Orchard Heart Specialist</v>
      </c>
      <c r="B3756" t="s">
        <v>7504</v>
      </c>
      <c r="C3756" t="s">
        <v>10</v>
      </c>
      <c r="D3756" t="s">
        <v>8</v>
      </c>
      <c r="E3756" t="s">
        <v>8</v>
      </c>
      <c r="F3756" t="s">
        <v>7506</v>
      </c>
      <c r="G3756" t="s">
        <v>121</v>
      </c>
      <c r="H3756" t="s">
        <v>121</v>
      </c>
      <c r="I3756" t="s">
        <v>123</v>
      </c>
    </row>
    <row r="3757" spans="1:9" x14ac:dyDescent="0.25">
      <c r="A3757" s="1" t="str">
        <f>HYPERLINK("https://lynxcrm-apac--c.eu19.visual.force.com/0011i000001xn1UAAQ","Orchard Medical Centre")</f>
        <v>Orchard Medical Centre</v>
      </c>
      <c r="B3757" t="s">
        <v>7507</v>
      </c>
      <c r="C3757" t="s">
        <v>10</v>
      </c>
      <c r="D3757" t="s">
        <v>8</v>
      </c>
      <c r="E3757" t="s">
        <v>8</v>
      </c>
      <c r="F3757" t="s">
        <v>5751</v>
      </c>
      <c r="G3757" t="s">
        <v>5752</v>
      </c>
      <c r="H3757" t="s">
        <v>5752</v>
      </c>
      <c r="I3757" t="s">
        <v>5753</v>
      </c>
    </row>
    <row r="3758" spans="1:9" x14ac:dyDescent="0.25">
      <c r="A3758" s="1" t="str">
        <f>HYPERLINK("https://lynxcrm-apac--c.eu19.visual.force.com/0011i000001xn2oAAA","Oriental Family Clinic")</f>
        <v>Oriental Family Clinic</v>
      </c>
      <c r="B3758" t="s">
        <v>7508</v>
      </c>
      <c r="C3758" t="s">
        <v>10</v>
      </c>
      <c r="D3758" t="s">
        <v>8</v>
      </c>
      <c r="E3758" t="s">
        <v>8</v>
      </c>
      <c r="F3758" t="s">
        <v>7509</v>
      </c>
      <c r="G3758" t="s">
        <v>1958</v>
      </c>
      <c r="H3758" t="s">
        <v>1958</v>
      </c>
      <c r="I3758" t="s">
        <v>2377</v>
      </c>
    </row>
    <row r="3759" spans="1:9" x14ac:dyDescent="0.25">
      <c r="A3759" s="1" t="str">
        <f>HYPERLINK("https://lynxcrm-apac--c.eu19.visual.force.com/0011i000001xnOmAAI","Ortholimb Bone &amp; Joint Surgery")</f>
        <v>Ortholimb Bone &amp; Joint Surgery</v>
      </c>
      <c r="B3759" t="s">
        <v>7510</v>
      </c>
      <c r="C3759" t="s">
        <v>10</v>
      </c>
      <c r="D3759" t="s">
        <v>8</v>
      </c>
      <c r="E3759" t="s">
        <v>8</v>
      </c>
      <c r="F3759" t="s">
        <v>65</v>
      </c>
      <c r="G3759" t="s">
        <v>6155</v>
      </c>
      <c r="H3759" t="s">
        <v>6155</v>
      </c>
      <c r="I3759" t="s">
        <v>67</v>
      </c>
    </row>
    <row r="3760" spans="1:9" x14ac:dyDescent="0.25">
      <c r="A3760" s="1" t="str">
        <f>HYPERLINK("https://lynxcrm-apac--c.eu19.visual.force.com/0011i000001xmhpAAA","Orthopaedic &amp; Traumatic Surgery")</f>
        <v>Orthopaedic &amp; Traumatic Surgery</v>
      </c>
      <c r="B3760" t="s">
        <v>7511</v>
      </c>
      <c r="C3760" t="s">
        <v>10</v>
      </c>
      <c r="D3760" t="s">
        <v>8</v>
      </c>
      <c r="E3760" t="s">
        <v>8</v>
      </c>
      <c r="F3760" t="s">
        <v>69</v>
      </c>
      <c r="G3760" t="s">
        <v>7512</v>
      </c>
      <c r="H3760" t="s">
        <v>7513</v>
      </c>
      <c r="I3760" t="s">
        <v>67</v>
      </c>
    </row>
    <row r="3761" spans="1:9" x14ac:dyDescent="0.25">
      <c r="A3761" s="1" t="str">
        <f>HYPERLINK("https://lynxcrm-apac--c.eu19.visual.force.com/0011i000001xmoeAAA","Orthopaedic Associates")</f>
        <v>Orthopaedic Associates</v>
      </c>
      <c r="B3761" t="s">
        <v>7514</v>
      </c>
      <c r="C3761" t="s">
        <v>10</v>
      </c>
      <c r="D3761" t="s">
        <v>8</v>
      </c>
      <c r="E3761" t="s">
        <v>8</v>
      </c>
      <c r="F3761" t="s">
        <v>377</v>
      </c>
      <c r="G3761" t="s">
        <v>5466</v>
      </c>
      <c r="H3761" t="s">
        <v>5467</v>
      </c>
      <c r="I3761" t="s">
        <v>123</v>
      </c>
    </row>
    <row r="3762" spans="1:9" x14ac:dyDescent="0.25">
      <c r="A3762" s="1" t="str">
        <f>HYPERLINK("https://lynxcrm-apac--c.eu19.visual.force.com/0011i000001xn2uAAA","Orthopaedic Associates")</f>
        <v>Orthopaedic Associates</v>
      </c>
      <c r="B3762" t="s">
        <v>7515</v>
      </c>
      <c r="C3762" t="s">
        <v>10</v>
      </c>
      <c r="D3762" t="s">
        <v>8</v>
      </c>
      <c r="E3762" t="s">
        <v>8</v>
      </c>
      <c r="F3762" t="s">
        <v>377</v>
      </c>
      <c r="G3762" t="s">
        <v>5466</v>
      </c>
      <c r="H3762" t="s">
        <v>5467</v>
      </c>
      <c r="I3762" t="s">
        <v>123</v>
      </c>
    </row>
    <row r="3763" spans="1:9" x14ac:dyDescent="0.25">
      <c r="A3763" s="1" t="str">
        <f>HYPERLINK("https://lynxcrm-apac--c.eu19.visual.force.com/0011i000001xnayAAA","Orthopaedic Clinic")</f>
        <v>Orthopaedic Clinic</v>
      </c>
      <c r="B3763" t="s">
        <v>7516</v>
      </c>
      <c r="C3763" t="s">
        <v>10</v>
      </c>
      <c r="D3763" t="s">
        <v>8</v>
      </c>
      <c r="E3763" t="s">
        <v>8</v>
      </c>
      <c r="F3763" t="s">
        <v>373</v>
      </c>
      <c r="G3763" t="s">
        <v>5555</v>
      </c>
      <c r="H3763" t="s">
        <v>5556</v>
      </c>
      <c r="I3763" t="s">
        <v>123</v>
      </c>
    </row>
    <row r="3764" spans="1:9" x14ac:dyDescent="0.25">
      <c r="A3764" s="1" t="str">
        <f>HYPERLINK("https://lynxcrm-apac--c.eu19.visual.force.com/0011i000001xndKAAQ","Orthopaedic Clinic")</f>
        <v>Orthopaedic Clinic</v>
      </c>
      <c r="B3764" t="s">
        <v>7517</v>
      </c>
      <c r="C3764" t="s">
        <v>10</v>
      </c>
      <c r="D3764" t="s">
        <v>8</v>
      </c>
      <c r="E3764" t="s">
        <v>8</v>
      </c>
      <c r="F3764" t="s">
        <v>373</v>
      </c>
      <c r="G3764" t="s">
        <v>5555</v>
      </c>
      <c r="H3764" t="s">
        <v>5556</v>
      </c>
      <c r="I3764" t="s">
        <v>123</v>
      </c>
    </row>
    <row r="3765" spans="1:9" x14ac:dyDescent="0.25">
      <c r="A3765" s="1" t="str">
        <f>HYPERLINK("https://lynxcrm-apac--c.eu19.visual.force.com/0011i000001xmmCAAQ","Orthopaedic International")</f>
        <v>Orthopaedic International</v>
      </c>
      <c r="B3765" t="s">
        <v>7518</v>
      </c>
      <c r="C3765" t="s">
        <v>10</v>
      </c>
      <c r="D3765" t="s">
        <v>8</v>
      </c>
      <c r="E3765" t="s">
        <v>8</v>
      </c>
      <c r="F3765" t="s">
        <v>1137</v>
      </c>
      <c r="G3765" t="s">
        <v>1138</v>
      </c>
      <c r="H3765" t="s">
        <v>1139</v>
      </c>
      <c r="I3765" t="s">
        <v>1140</v>
      </c>
    </row>
    <row r="3766" spans="1:9" x14ac:dyDescent="0.25">
      <c r="A3766" s="1" t="str">
        <f>HYPERLINK("https://lynxcrm-apac--c.eu19.visual.force.com/0011i000001xnG9AAI","Orthopaedic International")</f>
        <v>Orthopaedic International</v>
      </c>
      <c r="B3766" t="s">
        <v>7519</v>
      </c>
      <c r="C3766" t="s">
        <v>10</v>
      </c>
      <c r="D3766" t="s">
        <v>8</v>
      </c>
      <c r="E3766" t="s">
        <v>8</v>
      </c>
      <c r="F3766" t="s">
        <v>5115</v>
      </c>
      <c r="G3766" t="s">
        <v>121</v>
      </c>
      <c r="H3766" t="s">
        <v>121</v>
      </c>
      <c r="I3766" t="s">
        <v>123</v>
      </c>
    </row>
    <row r="3767" spans="1:9" x14ac:dyDescent="0.25">
      <c r="A3767" s="1" t="str">
        <f>HYPERLINK("https://lynxcrm-apac--c.eu19.visual.force.com/0011i000001xnLBAAY","Orthopaedics International")</f>
        <v>Orthopaedics International</v>
      </c>
      <c r="B3767" t="s">
        <v>7520</v>
      </c>
      <c r="C3767" t="s">
        <v>10</v>
      </c>
      <c r="D3767" t="s">
        <v>8</v>
      </c>
      <c r="E3767" t="s">
        <v>8</v>
      </c>
      <c r="F3767" t="s">
        <v>69</v>
      </c>
      <c r="G3767" t="s">
        <v>5603</v>
      </c>
      <c r="H3767" t="s">
        <v>1139</v>
      </c>
      <c r="I3767" t="s">
        <v>67</v>
      </c>
    </row>
    <row r="3768" spans="1:9" x14ac:dyDescent="0.25">
      <c r="A3768" s="1" t="str">
        <f>HYPERLINK("https://lynxcrm-apac--c.eu19.visual.force.com/0011i000001xnHsAAI","Orthopaedics International")</f>
        <v>Orthopaedics International</v>
      </c>
      <c r="B3768" t="s">
        <v>7521</v>
      </c>
      <c r="C3768" t="s">
        <v>10</v>
      </c>
      <c r="D3768" t="s">
        <v>8</v>
      </c>
      <c r="E3768" t="s">
        <v>8</v>
      </c>
      <c r="F3768" t="s">
        <v>69</v>
      </c>
      <c r="G3768" t="s">
        <v>5603</v>
      </c>
      <c r="H3768" t="s">
        <v>1139</v>
      </c>
      <c r="I3768" t="s">
        <v>67</v>
      </c>
    </row>
    <row r="3769" spans="1:9" x14ac:dyDescent="0.25">
      <c r="A3769" s="1" t="str">
        <f>HYPERLINK("https://lynxcrm-apac--c.eu19.visual.force.com/0011i000001xnQAAAY","Orthopaedic Spine &amp; Hand Surgery")</f>
        <v>Orthopaedic Spine &amp; Hand Surgery</v>
      </c>
      <c r="B3769" t="s">
        <v>7522</v>
      </c>
      <c r="C3769" t="s">
        <v>10</v>
      </c>
      <c r="D3769" t="s">
        <v>8</v>
      </c>
      <c r="E3769" t="s">
        <v>8</v>
      </c>
      <c r="F3769" t="s">
        <v>377</v>
      </c>
      <c r="G3769" t="s">
        <v>7523</v>
      </c>
      <c r="H3769" t="s">
        <v>7524</v>
      </c>
      <c r="I3769" t="s">
        <v>123</v>
      </c>
    </row>
    <row r="3770" spans="1:9" x14ac:dyDescent="0.25">
      <c r="A3770" s="1" t="str">
        <f>HYPERLINK("https://lynxcrm-apac--c.eu19.visual.force.com/0011i000001xmlXAAQ","Orthopeadic Practice Pte Ltd")</f>
        <v>Orthopeadic Practice Pte Ltd</v>
      </c>
      <c r="B3770" t="s">
        <v>7525</v>
      </c>
      <c r="C3770" t="s">
        <v>10</v>
      </c>
      <c r="D3770" t="s">
        <v>8</v>
      </c>
      <c r="E3770" t="s">
        <v>8</v>
      </c>
      <c r="F3770" t="s">
        <v>781</v>
      </c>
      <c r="G3770" t="s">
        <v>7526</v>
      </c>
      <c r="H3770" t="s">
        <v>7527</v>
      </c>
      <c r="I3770" t="s">
        <v>784</v>
      </c>
    </row>
    <row r="3771" spans="1:9" x14ac:dyDescent="0.25">
      <c r="A3771" s="1" t="str">
        <f>HYPERLINK("https://lynxcrm-apac--c.eu19.visual.force.com/0011i000001xnYJAAY","Osteoporosis Clinic &amp; Orthopaedic Surgery")</f>
        <v>Osteoporosis Clinic &amp; Orthopaedic Surgery</v>
      </c>
      <c r="B3771" t="s">
        <v>7528</v>
      </c>
      <c r="C3771" t="s">
        <v>10</v>
      </c>
      <c r="D3771" t="s">
        <v>8</v>
      </c>
      <c r="E3771" t="s">
        <v>8</v>
      </c>
      <c r="F3771" t="s">
        <v>377</v>
      </c>
      <c r="G3771" t="s">
        <v>4765</v>
      </c>
      <c r="H3771" t="s">
        <v>7529</v>
      </c>
      <c r="I3771" t="s">
        <v>123</v>
      </c>
    </row>
    <row r="3772" spans="1:9" x14ac:dyDescent="0.25">
      <c r="A3772" s="1" t="str">
        <f>HYPERLINK("https://lynxcrm-apac--c.eu19.visual.force.com/0011i000001xn1kAAA","Our Family Clinic &amp; Surgery")</f>
        <v>Our Family Clinic &amp; Surgery</v>
      </c>
      <c r="B3772" t="s">
        <v>7530</v>
      </c>
      <c r="C3772" t="s">
        <v>10</v>
      </c>
      <c r="D3772" t="s">
        <v>8</v>
      </c>
      <c r="E3772" t="s">
        <v>8</v>
      </c>
      <c r="F3772" t="s">
        <v>7531</v>
      </c>
      <c r="G3772" t="s">
        <v>1774</v>
      </c>
      <c r="H3772" t="s">
        <v>7532</v>
      </c>
      <c r="I3772" t="s">
        <v>7533</v>
      </c>
    </row>
    <row r="3773" spans="1:9" x14ac:dyDescent="0.25">
      <c r="A3773" s="1" t="str">
        <f>HYPERLINK("https://lynxcrm-apac--c.eu19.visual.force.com/0011i000001xnZlAAI","Our Family Clinic &amp; Surgery")</f>
        <v>Our Family Clinic &amp; Surgery</v>
      </c>
      <c r="B3773" t="s">
        <v>7534</v>
      </c>
      <c r="C3773" t="s">
        <v>10</v>
      </c>
      <c r="D3773" t="s">
        <v>8</v>
      </c>
      <c r="E3773" t="s">
        <v>8</v>
      </c>
      <c r="F3773" t="s">
        <v>6512</v>
      </c>
      <c r="G3773" t="s">
        <v>749</v>
      </c>
      <c r="H3773" t="s">
        <v>749</v>
      </c>
      <c r="I3773" t="s">
        <v>6513</v>
      </c>
    </row>
    <row r="3774" spans="1:9" x14ac:dyDescent="0.25">
      <c r="A3774" s="1" t="str">
        <f>HYPERLINK("https://lynxcrm-apac--c.eu19.visual.force.com/0011i000001xn2PAAQ","Our Family Physician Clinic &amp; Surgery")</f>
        <v>Our Family Physician Clinic &amp; Surgery</v>
      </c>
      <c r="B3774" t="s">
        <v>7535</v>
      </c>
      <c r="C3774" t="s">
        <v>10</v>
      </c>
      <c r="D3774" t="s">
        <v>8</v>
      </c>
      <c r="E3774" t="s">
        <v>8</v>
      </c>
      <c r="F3774" t="s">
        <v>497</v>
      </c>
      <c r="G3774" t="s">
        <v>498</v>
      </c>
      <c r="H3774" t="s">
        <v>498</v>
      </c>
      <c r="I3774" t="s">
        <v>499</v>
      </c>
    </row>
    <row r="3775" spans="1:9" x14ac:dyDescent="0.25">
      <c r="A3775" s="1" t="str">
        <f>HYPERLINK("https://lynxcrm-apac--c.eu19.visual.force.com/0011i000001xnZ2AAI","Outram Polyclinic")</f>
        <v>Outram Polyclinic</v>
      </c>
      <c r="B3775" t="s">
        <v>7536</v>
      </c>
      <c r="C3775" t="s">
        <v>10</v>
      </c>
      <c r="D3775" t="s">
        <v>8</v>
      </c>
      <c r="E3775" t="s">
        <v>8</v>
      </c>
      <c r="F3775" t="s">
        <v>753</v>
      </c>
      <c r="G3775" t="s">
        <v>929</v>
      </c>
      <c r="H3775" t="s">
        <v>139</v>
      </c>
      <c r="I3775" t="s">
        <v>137</v>
      </c>
    </row>
    <row r="3776" spans="1:9" x14ac:dyDescent="0.25">
      <c r="A3776" s="1" t="str">
        <f>HYPERLINK("https://lynxcrm-apac--c.eu19.visual.force.com/0011i000001xmzcAAA","Outram Polyclinic")</f>
        <v>Outram Polyclinic</v>
      </c>
      <c r="B3776" t="s">
        <v>7537</v>
      </c>
      <c r="C3776" t="s">
        <v>10</v>
      </c>
      <c r="D3776" t="s">
        <v>8</v>
      </c>
      <c r="E3776" t="s">
        <v>8</v>
      </c>
      <c r="F3776" t="s">
        <v>753</v>
      </c>
      <c r="G3776" t="s">
        <v>929</v>
      </c>
      <c r="H3776" t="s">
        <v>139</v>
      </c>
      <c r="I3776" t="s">
        <v>137</v>
      </c>
    </row>
    <row r="3777" spans="1:9" x14ac:dyDescent="0.25">
      <c r="A3777" s="1" t="str">
        <f>HYPERLINK("https://lynxcrm-apac--c.eu19.visual.force.com/0011i000001xmfxAAA","Outram Polyclinic")</f>
        <v>Outram Polyclinic</v>
      </c>
      <c r="B3777" t="s">
        <v>7538</v>
      </c>
      <c r="C3777" t="s">
        <v>10</v>
      </c>
      <c r="D3777" t="s">
        <v>8</v>
      </c>
      <c r="E3777" t="s">
        <v>8</v>
      </c>
      <c r="F3777" t="s">
        <v>753</v>
      </c>
      <c r="G3777" t="s">
        <v>929</v>
      </c>
      <c r="H3777" t="s">
        <v>139</v>
      </c>
      <c r="I3777" t="s">
        <v>137</v>
      </c>
    </row>
    <row r="3778" spans="1:9" x14ac:dyDescent="0.25">
      <c r="A3778" s="1" t="str">
        <f>HYPERLINK("https://lynxcrm-apac--c.eu19.visual.force.com/0011i000001xmmBAAQ","Outram Polyclinic")</f>
        <v>Outram Polyclinic</v>
      </c>
      <c r="B3778" t="s">
        <v>7539</v>
      </c>
      <c r="C3778" t="s">
        <v>10</v>
      </c>
      <c r="D3778" t="s">
        <v>8</v>
      </c>
      <c r="E3778" t="s">
        <v>8</v>
      </c>
      <c r="F3778" t="s">
        <v>753</v>
      </c>
      <c r="G3778" t="s">
        <v>929</v>
      </c>
      <c r="H3778" t="s">
        <v>1320</v>
      </c>
      <c r="I3778" t="s">
        <v>137</v>
      </c>
    </row>
    <row r="3779" spans="1:9" x14ac:dyDescent="0.25">
      <c r="A3779" s="1" t="str">
        <f>HYPERLINK("https://lynxcrm-apac--c.eu19.visual.force.com/0011i000001xmzTAAQ","Outram Polyclinic")</f>
        <v>Outram Polyclinic</v>
      </c>
      <c r="B3779" t="s">
        <v>7540</v>
      </c>
      <c r="C3779" t="s">
        <v>10</v>
      </c>
      <c r="D3779" t="s">
        <v>8</v>
      </c>
      <c r="E3779" t="s">
        <v>8</v>
      </c>
      <c r="F3779" t="s">
        <v>753</v>
      </c>
      <c r="G3779" t="s">
        <v>929</v>
      </c>
      <c r="H3779" t="s">
        <v>139</v>
      </c>
      <c r="I3779" t="s">
        <v>137</v>
      </c>
    </row>
    <row r="3780" spans="1:9" x14ac:dyDescent="0.25">
      <c r="A3780" s="1" t="str">
        <f>HYPERLINK("https://lynxcrm-apac--c.eu19.visual.force.com/0011i000001xnSJAAY","Outram Polyclinic")</f>
        <v>Outram Polyclinic</v>
      </c>
      <c r="B3780" t="s">
        <v>7541</v>
      </c>
      <c r="C3780" t="s">
        <v>10</v>
      </c>
      <c r="D3780" t="s">
        <v>8</v>
      </c>
      <c r="E3780" t="s">
        <v>8</v>
      </c>
      <c r="F3780" t="s">
        <v>753</v>
      </c>
      <c r="G3780" t="s">
        <v>929</v>
      </c>
      <c r="H3780" t="s">
        <v>139</v>
      </c>
      <c r="I3780" t="s">
        <v>137</v>
      </c>
    </row>
    <row r="3781" spans="1:9" x14ac:dyDescent="0.25">
      <c r="A3781" s="1" t="str">
        <f>HYPERLINK("https://lynxcrm-apac--c.eu19.visual.force.com/0011i000001xnlgAAA","Overton, Rebecca Louise")</f>
        <v>Overton, Rebecca Louise</v>
      </c>
      <c r="B3781" t="s">
        <v>7542</v>
      </c>
      <c r="C3781" t="s">
        <v>28</v>
      </c>
      <c r="D3781" t="s">
        <v>819</v>
      </c>
      <c r="E3781" t="s">
        <v>8</v>
      </c>
      <c r="F3781" t="s">
        <v>820</v>
      </c>
      <c r="G3781" t="s">
        <v>820</v>
      </c>
      <c r="H3781" t="s">
        <v>821</v>
      </c>
      <c r="I3781" t="s">
        <v>822</v>
      </c>
    </row>
    <row r="3782" spans="1:9" x14ac:dyDescent="0.25">
      <c r="A3782" s="1" t="str">
        <f>HYPERLINK("https://lynxcrm-apac--c.eu19.visual.force.com/0011i000001xo9YAAQ","Ow, David")</f>
        <v>Ow, David</v>
      </c>
      <c r="B3782" t="s">
        <v>7543</v>
      </c>
      <c r="C3782" t="s">
        <v>28</v>
      </c>
      <c r="D3782" t="s">
        <v>7544</v>
      </c>
      <c r="E3782" t="s">
        <v>8</v>
      </c>
      <c r="F3782" t="s">
        <v>7545</v>
      </c>
      <c r="G3782" t="s">
        <v>7546</v>
      </c>
      <c r="H3782" t="s">
        <v>7546</v>
      </c>
      <c r="I3782" t="s">
        <v>7547</v>
      </c>
    </row>
    <row r="3783" spans="1:9" x14ac:dyDescent="0.25">
      <c r="A3783" s="1" t="str">
        <f>HYPERLINK("https://lynxcrm-apac--c.eu19.visual.force.com/0011i000001xoZrAAI","Ow, Ian")</f>
        <v>Ow, Ian</v>
      </c>
      <c r="B3783" t="s">
        <v>7548</v>
      </c>
      <c r="C3783" t="s">
        <v>28</v>
      </c>
      <c r="D3783" t="s">
        <v>7549</v>
      </c>
      <c r="E3783" t="s">
        <v>8</v>
      </c>
      <c r="F3783" t="s">
        <v>7325</v>
      </c>
      <c r="G3783" t="s">
        <v>7326</v>
      </c>
      <c r="H3783" t="s">
        <v>7326</v>
      </c>
      <c r="I3783" t="s">
        <v>7327</v>
      </c>
    </row>
    <row r="3784" spans="1:9" x14ac:dyDescent="0.25">
      <c r="A3784" s="1" t="str">
        <f>HYPERLINK("https://lynxcrm-apac--c.eu19.visual.force.com/0011i000001xmoYAAQ","Oxford Clinic &amp; Surgery")</f>
        <v>Oxford Clinic &amp; Surgery</v>
      </c>
      <c r="B3784" t="s">
        <v>7550</v>
      </c>
      <c r="C3784" t="s">
        <v>10</v>
      </c>
      <c r="D3784" t="s">
        <v>8</v>
      </c>
      <c r="E3784" t="s">
        <v>8</v>
      </c>
      <c r="F3784" t="s">
        <v>7551</v>
      </c>
      <c r="G3784" t="s">
        <v>4347</v>
      </c>
      <c r="H3784" t="s">
        <v>7552</v>
      </c>
      <c r="I3784" t="s">
        <v>3124</v>
      </c>
    </row>
    <row r="3785" spans="1:9" x14ac:dyDescent="0.25">
      <c r="A3785" s="1" t="str">
        <f>HYPERLINK("https://lynxcrm-apac--c.eu19.visual.force.com/0011i000001xn7jAAA","Oxford Medical Centre")</f>
        <v>Oxford Medical Centre</v>
      </c>
      <c r="B3785" t="s">
        <v>7553</v>
      </c>
      <c r="C3785" t="s">
        <v>10</v>
      </c>
      <c r="D3785" t="s">
        <v>8</v>
      </c>
      <c r="E3785" t="s">
        <v>8</v>
      </c>
      <c r="F3785" t="s">
        <v>1149</v>
      </c>
      <c r="G3785" t="s">
        <v>1150</v>
      </c>
      <c r="H3785" t="s">
        <v>1150</v>
      </c>
      <c r="I3785" t="s">
        <v>1151</v>
      </c>
    </row>
    <row r="3786" spans="1:9" x14ac:dyDescent="0.25">
      <c r="A3786" s="1" t="str">
        <f>HYPERLINK("https://lynxcrm-apac--c.eu19.visual.force.com/0011i000001xmqMAAQ","P.N. Yeo Clinic")</f>
        <v>P.N. Yeo Clinic</v>
      </c>
      <c r="B3786" t="s">
        <v>7554</v>
      </c>
      <c r="C3786" t="s">
        <v>10</v>
      </c>
      <c r="D3786" t="s">
        <v>8</v>
      </c>
      <c r="E3786" t="s">
        <v>8</v>
      </c>
      <c r="F3786" t="s">
        <v>7555</v>
      </c>
      <c r="G3786" t="s">
        <v>7556</v>
      </c>
      <c r="H3786" t="s">
        <v>7557</v>
      </c>
      <c r="I3786" t="s">
        <v>7558</v>
      </c>
    </row>
    <row r="3787" spans="1:9" x14ac:dyDescent="0.25">
      <c r="A3787" s="1" t="str">
        <f>HYPERLINK("https://lynxcrm-apac--c.eu19.visual.force.com/0011i000001xoa5AAA","P&amp;L Pharmacy")</f>
        <v>P&amp;L Pharmacy</v>
      </c>
      <c r="B3787" t="s">
        <v>7559</v>
      </c>
      <c r="C3787" t="s">
        <v>28</v>
      </c>
      <c r="D3787" t="s">
        <v>7560</v>
      </c>
      <c r="E3787" t="s">
        <v>8</v>
      </c>
      <c r="F3787" t="s">
        <v>7560</v>
      </c>
      <c r="G3787" t="s">
        <v>7561</v>
      </c>
      <c r="H3787" t="s">
        <v>7561</v>
      </c>
      <c r="I3787" t="s">
        <v>47</v>
      </c>
    </row>
    <row r="3788" spans="1:9" x14ac:dyDescent="0.25">
      <c r="A3788" s="1" t="str">
        <f>HYPERLINK("https://lynxcrm-apac--c.eu19.visual.force.com/0011i000001xn7BAAQ","P &amp; L Pharmacy")</f>
        <v>P &amp; L Pharmacy</v>
      </c>
      <c r="B3788" t="s">
        <v>7562</v>
      </c>
      <c r="C3788" t="s">
        <v>28</v>
      </c>
      <c r="D3788" t="s">
        <v>8</v>
      </c>
      <c r="E3788" t="s">
        <v>8</v>
      </c>
      <c r="F3788" t="s">
        <v>7560</v>
      </c>
      <c r="G3788" t="s">
        <v>7561</v>
      </c>
      <c r="H3788" t="s">
        <v>7561</v>
      </c>
      <c r="I3788" t="s">
        <v>47</v>
      </c>
    </row>
    <row r="3789" spans="1:9" x14ac:dyDescent="0.25">
      <c r="A3789" s="1" t="str">
        <f>HYPERLINK("https://lynxcrm-apac--c.eu19.visual.force.com/0011i000001xmo7AAA","Pacific Healthcare Specialist Centre")</f>
        <v>Pacific Healthcare Specialist Centre</v>
      </c>
      <c r="B3789" t="s">
        <v>7563</v>
      </c>
      <c r="C3789" t="s">
        <v>10</v>
      </c>
      <c r="D3789" t="s">
        <v>8</v>
      </c>
      <c r="E3789" t="s">
        <v>8</v>
      </c>
      <c r="F3789" t="s">
        <v>317</v>
      </c>
      <c r="G3789" t="s">
        <v>2146</v>
      </c>
      <c r="H3789" t="s">
        <v>2146</v>
      </c>
      <c r="I3789" t="s">
        <v>85</v>
      </c>
    </row>
    <row r="3790" spans="1:9" x14ac:dyDescent="0.25">
      <c r="A3790" s="1" t="str">
        <f>HYPERLINK("https://lynxcrm-apac--c.eu19.visual.force.com/0011i000001xnATAAY","Pacific Healthcare Specialist Centre")</f>
        <v>Pacific Healthcare Specialist Centre</v>
      </c>
      <c r="B3790" t="s">
        <v>7564</v>
      </c>
      <c r="C3790" t="s">
        <v>10</v>
      </c>
      <c r="D3790" t="s">
        <v>8</v>
      </c>
      <c r="E3790" t="s">
        <v>8</v>
      </c>
      <c r="F3790" t="s">
        <v>7565</v>
      </c>
      <c r="G3790" t="s">
        <v>87</v>
      </c>
      <c r="H3790" t="s">
        <v>87</v>
      </c>
      <c r="I3790" t="s">
        <v>85</v>
      </c>
    </row>
    <row r="3791" spans="1:9" x14ac:dyDescent="0.25">
      <c r="A3791" s="1" t="str">
        <f>HYPERLINK("https://lynxcrm-apac--c.eu19.visual.force.com/0011i000001xnOKAAY","Pacific Healthcare Specialist Centre")</f>
        <v>Pacific Healthcare Specialist Centre</v>
      </c>
      <c r="B3791" t="s">
        <v>7566</v>
      </c>
      <c r="C3791" t="s">
        <v>10</v>
      </c>
      <c r="D3791" t="s">
        <v>8</v>
      </c>
      <c r="E3791" t="s">
        <v>8</v>
      </c>
      <c r="F3791" t="s">
        <v>317</v>
      </c>
      <c r="G3791" t="s">
        <v>2146</v>
      </c>
      <c r="H3791" t="s">
        <v>2146</v>
      </c>
      <c r="I3791" t="s">
        <v>85</v>
      </c>
    </row>
    <row r="3792" spans="1:9" x14ac:dyDescent="0.25">
      <c r="A3792" s="1" t="str">
        <f>HYPERLINK("https://lynxcrm-apac--c.eu19.visual.force.com/0011i000001xnXfAAI","Pacific Medical &amp; Dental Group")</f>
        <v>Pacific Medical &amp; Dental Group</v>
      </c>
      <c r="B3792" t="s">
        <v>7567</v>
      </c>
      <c r="C3792" t="s">
        <v>10</v>
      </c>
      <c r="D3792" t="s">
        <v>8</v>
      </c>
      <c r="E3792" t="s">
        <v>8</v>
      </c>
      <c r="F3792" t="s">
        <v>7568</v>
      </c>
      <c r="G3792" t="s">
        <v>7569</v>
      </c>
      <c r="H3792" t="s">
        <v>7570</v>
      </c>
      <c r="I3792" t="s">
        <v>7571</v>
      </c>
    </row>
    <row r="3793" spans="1:9" x14ac:dyDescent="0.25">
      <c r="A3793" s="1" t="str">
        <f>HYPERLINK("https://lynxcrm-apac--c.eu19.visual.force.com/0011i000001xnDLAAY","Pacific Medicare Family Clinic Pte Ltd")</f>
        <v>Pacific Medicare Family Clinic Pte Ltd</v>
      </c>
      <c r="B3793" t="s">
        <v>7572</v>
      </c>
      <c r="C3793" t="s">
        <v>10</v>
      </c>
      <c r="D3793" t="s">
        <v>8</v>
      </c>
      <c r="E3793" t="s">
        <v>8</v>
      </c>
      <c r="F3793" t="s">
        <v>6375</v>
      </c>
      <c r="G3793" t="s">
        <v>7573</v>
      </c>
      <c r="H3793" t="s">
        <v>7574</v>
      </c>
      <c r="I3793" t="s">
        <v>6377</v>
      </c>
    </row>
    <row r="3794" spans="1:9" x14ac:dyDescent="0.25">
      <c r="A3794" s="1" t="str">
        <f>HYPERLINK("https://lynxcrm-apac--c.eu19.visual.force.com/0011i000001xmq0AAA","Pacific Specialist Practice")</f>
        <v>Pacific Specialist Practice</v>
      </c>
      <c r="B3794" t="s">
        <v>7575</v>
      </c>
      <c r="C3794" t="s">
        <v>10</v>
      </c>
      <c r="D3794" t="s">
        <v>8</v>
      </c>
      <c r="E3794" t="s">
        <v>8</v>
      </c>
      <c r="F3794" t="s">
        <v>317</v>
      </c>
      <c r="G3794" t="s">
        <v>7576</v>
      </c>
      <c r="H3794" t="s">
        <v>7577</v>
      </c>
      <c r="I3794" t="s">
        <v>85</v>
      </c>
    </row>
    <row r="3795" spans="1:9" x14ac:dyDescent="0.25">
      <c r="A3795" s="1" t="str">
        <f>HYPERLINK("https://lynxcrm-apac--c.eu19.visual.force.com/0011i00000tVKMkAAO","Paddington Medical")</f>
        <v>Paddington Medical</v>
      </c>
      <c r="B3795" t="s">
        <v>7578</v>
      </c>
      <c r="C3795" t="s">
        <v>10</v>
      </c>
      <c r="D3795" t="s">
        <v>8</v>
      </c>
      <c r="E3795" t="s">
        <v>8</v>
      </c>
      <c r="F3795" t="s">
        <v>5399</v>
      </c>
      <c r="G3795" t="s">
        <v>5400</v>
      </c>
      <c r="H3795" t="s">
        <v>8</v>
      </c>
      <c r="I3795" t="s">
        <v>5401</v>
      </c>
    </row>
    <row r="3796" spans="1:9" x14ac:dyDescent="0.25">
      <c r="A3796" s="1" t="str">
        <f>HYPERLINK("https://lynxcrm-apac--c.eu19.visual.force.com/0011i000001xmlJAAQ","Paediatric &amp; Sports Orthopaedic Surgery")</f>
        <v>Paediatric &amp; Sports Orthopaedic Surgery</v>
      </c>
      <c r="B3796" t="s">
        <v>7579</v>
      </c>
      <c r="C3796" t="s">
        <v>10</v>
      </c>
      <c r="D3796" t="s">
        <v>8</v>
      </c>
      <c r="E3796" t="s">
        <v>8</v>
      </c>
      <c r="F3796" t="s">
        <v>2490</v>
      </c>
      <c r="G3796" t="s">
        <v>7580</v>
      </c>
      <c r="H3796" t="s">
        <v>7580</v>
      </c>
      <c r="I3796" t="s">
        <v>344</v>
      </c>
    </row>
    <row r="3797" spans="1:9" x14ac:dyDescent="0.25">
      <c r="A3797" s="1" t="str">
        <f>HYPERLINK("https://lynxcrm-apac--c.eu19.visual.force.com/0011i000001xnm6AAA","Pamela, E-Wei Gopal")</f>
        <v>Pamela, E-Wei Gopal</v>
      </c>
      <c r="B3797" t="s">
        <v>7581</v>
      </c>
      <c r="C3797" t="s">
        <v>28</v>
      </c>
      <c r="D3797" t="s">
        <v>1126</v>
      </c>
      <c r="E3797" t="s">
        <v>8</v>
      </c>
      <c r="F3797" t="s">
        <v>1127</v>
      </c>
      <c r="G3797" t="s">
        <v>1128</v>
      </c>
      <c r="H3797" t="s">
        <v>1128</v>
      </c>
      <c r="I3797" t="s">
        <v>996</v>
      </c>
    </row>
    <row r="3798" spans="1:9" x14ac:dyDescent="0.25">
      <c r="A3798" s="1" t="str">
        <f>HYPERLINK("https://lynxcrm-apac--c.eu19.visual.force.com/0011i000001xnqFAAQ","Pan, Anne Marie")</f>
        <v>Pan, Anne Marie</v>
      </c>
      <c r="B3798" t="s">
        <v>7582</v>
      </c>
      <c r="C3798" t="s">
        <v>28</v>
      </c>
      <c r="D3798" t="s">
        <v>1661</v>
      </c>
      <c r="E3798" t="s">
        <v>8</v>
      </c>
      <c r="F3798" t="s">
        <v>627</v>
      </c>
      <c r="G3798" t="s">
        <v>628</v>
      </c>
      <c r="H3798" t="s">
        <v>628</v>
      </c>
      <c r="I3798" t="s">
        <v>624</v>
      </c>
    </row>
    <row r="3799" spans="1:9" x14ac:dyDescent="0.25">
      <c r="A3799" s="1" t="str">
        <f>HYPERLINK("https://lynxcrm-apac--c.eu19.visual.force.com/0011i000001xoYQAAY","Pan, Chuan Hsin Jame")</f>
        <v>Pan, Chuan Hsin Jame</v>
      </c>
      <c r="B3799" t="s">
        <v>7583</v>
      </c>
      <c r="C3799" t="s">
        <v>28</v>
      </c>
      <c r="D3799" t="s">
        <v>1318</v>
      </c>
      <c r="E3799" t="s">
        <v>8</v>
      </c>
      <c r="F3799" t="s">
        <v>258</v>
      </c>
      <c r="G3799" t="s">
        <v>261</v>
      </c>
      <c r="H3799" t="s">
        <v>261</v>
      </c>
      <c r="I3799" t="s">
        <v>260</v>
      </c>
    </row>
    <row r="3800" spans="1:9" x14ac:dyDescent="0.25">
      <c r="A3800" s="1" t="str">
        <f>HYPERLINK("https://lynxcrm-apac--c.eu19.visual.force.com/0011i000001xoYQAAY","Pan, Chuan Hsin Jame")</f>
        <v>Pan, Chuan Hsin Jame</v>
      </c>
      <c r="B3800" t="s">
        <v>7583</v>
      </c>
      <c r="C3800" t="s">
        <v>28</v>
      </c>
      <c r="D3800" t="s">
        <v>261</v>
      </c>
      <c r="E3800" t="s">
        <v>8</v>
      </c>
      <c r="F3800" t="s">
        <v>261</v>
      </c>
      <c r="G3800" t="s">
        <v>347</v>
      </c>
      <c r="H3800" t="s">
        <v>347</v>
      </c>
      <c r="I3800" t="s">
        <v>260</v>
      </c>
    </row>
    <row r="3801" spans="1:9" x14ac:dyDescent="0.25">
      <c r="A3801" s="1" t="str">
        <f>HYPERLINK("https://lynxcrm-apac--c.eu19.visual.force.com/0011i00000w0627AAA","Pan, Wujie")</f>
        <v>Pan, Wujie</v>
      </c>
      <c r="B3801" t="s">
        <v>7584</v>
      </c>
      <c r="C3801" t="s">
        <v>28</v>
      </c>
      <c r="D3801" t="s">
        <v>91</v>
      </c>
      <c r="E3801" t="s">
        <v>8</v>
      </c>
      <c r="F3801" t="s">
        <v>90</v>
      </c>
      <c r="G3801" t="s">
        <v>90</v>
      </c>
      <c r="H3801" t="s">
        <v>8</v>
      </c>
      <c r="I3801" t="s">
        <v>92</v>
      </c>
    </row>
    <row r="3802" spans="1:9" x14ac:dyDescent="0.25">
      <c r="A3802" s="1" t="str">
        <f>HYPERLINK("https://lynxcrm-apac--c.eu19.visual.force.com/0011i000001xmz6AAA","PanAsia Surgery Pte Ltd")</f>
        <v>PanAsia Surgery Pte Ltd</v>
      </c>
      <c r="B3802" t="s">
        <v>7585</v>
      </c>
      <c r="C3802" t="s">
        <v>10</v>
      </c>
      <c r="D3802" t="s">
        <v>8</v>
      </c>
      <c r="E3802" t="s">
        <v>8</v>
      </c>
      <c r="F3802" t="s">
        <v>7586</v>
      </c>
      <c r="G3802" t="s">
        <v>7587</v>
      </c>
      <c r="H3802" t="s">
        <v>7587</v>
      </c>
      <c r="I3802" t="s">
        <v>344</v>
      </c>
    </row>
    <row r="3803" spans="1:9" x14ac:dyDescent="0.25">
      <c r="A3803" s="1" t="str">
        <f>HYPERLINK("https://lynxcrm-apac--c.eu19.visual.force.com/0011i000001xmz7AAA","PanAsia Surgery Pte Ltd")</f>
        <v>PanAsia Surgery Pte Ltd</v>
      </c>
      <c r="B3803" t="s">
        <v>7588</v>
      </c>
      <c r="C3803" t="s">
        <v>10</v>
      </c>
      <c r="D3803" t="s">
        <v>8</v>
      </c>
      <c r="E3803" t="s">
        <v>8</v>
      </c>
      <c r="F3803" t="s">
        <v>7586</v>
      </c>
      <c r="G3803" t="s">
        <v>7589</v>
      </c>
      <c r="H3803" t="s">
        <v>7589</v>
      </c>
      <c r="I3803" t="s">
        <v>344</v>
      </c>
    </row>
    <row r="3804" spans="1:9" x14ac:dyDescent="0.25">
      <c r="A3804" s="1" t="str">
        <f>HYPERLINK("https://lynxcrm-apac--c.eu19.visual.force.com/0011i00000Xf1HDAAZ","Pang, Angela")</f>
        <v>Pang, Angela</v>
      </c>
      <c r="B3804" t="s">
        <v>7590</v>
      </c>
      <c r="C3804" t="s">
        <v>28</v>
      </c>
      <c r="D3804" t="s">
        <v>429</v>
      </c>
      <c r="E3804" t="s">
        <v>8</v>
      </c>
      <c r="F3804" t="s">
        <v>594</v>
      </c>
      <c r="G3804" t="s">
        <v>595</v>
      </c>
      <c r="H3804" t="s">
        <v>8</v>
      </c>
      <c r="I3804" t="s">
        <v>596</v>
      </c>
    </row>
    <row r="3805" spans="1:9" x14ac:dyDescent="0.25">
      <c r="A3805" s="1" t="str">
        <f>HYPERLINK("https://lynxcrm-apac--c.eu19.visual.force.com/0011i000001xoGKAAY","Pang, Hee Nee")</f>
        <v>Pang, Hee Nee</v>
      </c>
      <c r="B3805" t="s">
        <v>7591</v>
      </c>
      <c r="C3805" t="s">
        <v>28</v>
      </c>
      <c r="D3805" t="s">
        <v>251</v>
      </c>
      <c r="E3805" t="s">
        <v>8</v>
      </c>
      <c r="F3805" t="s">
        <v>251</v>
      </c>
      <c r="G3805" t="s">
        <v>252</v>
      </c>
      <c r="H3805" t="s">
        <v>252</v>
      </c>
      <c r="I3805" t="s">
        <v>253</v>
      </c>
    </row>
    <row r="3806" spans="1:9" x14ac:dyDescent="0.25">
      <c r="A3806" s="1" t="str">
        <f>HYPERLINK("https://lynxcrm-apac--c.eu19.visual.force.com/0011i000001xnotAAA","Pang, Heng Mun Roger")</f>
        <v>Pang, Heng Mun Roger</v>
      </c>
      <c r="B3806" t="s">
        <v>7592</v>
      </c>
      <c r="C3806" t="s">
        <v>28</v>
      </c>
      <c r="D3806" t="s">
        <v>5215</v>
      </c>
      <c r="E3806" t="s">
        <v>8</v>
      </c>
      <c r="F3806" t="s">
        <v>1849</v>
      </c>
      <c r="G3806" t="s">
        <v>5213</v>
      </c>
      <c r="H3806" t="s">
        <v>5214</v>
      </c>
      <c r="I3806" t="s">
        <v>51</v>
      </c>
    </row>
    <row r="3807" spans="1:9" x14ac:dyDescent="0.25">
      <c r="A3807" s="1" t="str">
        <f>HYPERLINK("https://lynxcrm-apac--c.eu19.visual.force.com/0011i000001xnouAAA","Pang, Kok Yeng")</f>
        <v>Pang, Kok Yeng</v>
      </c>
      <c r="B3807" t="s">
        <v>7593</v>
      </c>
      <c r="C3807" t="s">
        <v>28</v>
      </c>
      <c r="D3807" t="s">
        <v>7594</v>
      </c>
      <c r="E3807" t="s">
        <v>8</v>
      </c>
      <c r="F3807" t="s">
        <v>7595</v>
      </c>
      <c r="G3807" t="s">
        <v>7596</v>
      </c>
      <c r="H3807" t="s">
        <v>7596</v>
      </c>
      <c r="I3807" t="s">
        <v>1832</v>
      </c>
    </row>
    <row r="3808" spans="1:9" x14ac:dyDescent="0.25">
      <c r="A3808" s="1" t="str">
        <f>HYPERLINK("https://lynxcrm-apac--c.eu19.visual.force.com/0011i000001xoKOAAY","Pang, Peter Kenny")</f>
        <v>Pang, Peter Kenny</v>
      </c>
      <c r="B3808" t="s">
        <v>7597</v>
      </c>
      <c r="C3808" t="s">
        <v>28</v>
      </c>
      <c r="D3808" t="s">
        <v>7598</v>
      </c>
      <c r="E3808" t="s">
        <v>8</v>
      </c>
      <c r="F3808" t="s">
        <v>317</v>
      </c>
      <c r="G3808" t="s">
        <v>7576</v>
      </c>
      <c r="H3808" t="s">
        <v>7577</v>
      </c>
      <c r="I3808" t="s">
        <v>85</v>
      </c>
    </row>
    <row r="3809" spans="1:9" x14ac:dyDescent="0.25">
      <c r="A3809" s="1" t="str">
        <f>HYPERLINK("https://lynxcrm-apac--c.eu19.visual.force.com/0011i000001xnovAAA","Pang, Seow Choon William")</f>
        <v>Pang, Seow Choon William</v>
      </c>
      <c r="B3809" t="s">
        <v>7599</v>
      </c>
      <c r="C3809" t="s">
        <v>28</v>
      </c>
      <c r="D3809" t="s">
        <v>7600</v>
      </c>
      <c r="E3809" t="s">
        <v>8</v>
      </c>
      <c r="F3809" t="s">
        <v>3355</v>
      </c>
      <c r="G3809" t="s">
        <v>3356</v>
      </c>
      <c r="H3809" t="s">
        <v>3356</v>
      </c>
      <c r="I3809" t="s">
        <v>3357</v>
      </c>
    </row>
    <row r="3810" spans="1:9" x14ac:dyDescent="0.25">
      <c r="A3810" s="1" t="str">
        <f>HYPERLINK("https://lynxcrm-apac--c.eu19.visual.force.com/0011i000001xnoyAAA","Pang, Siung King Jonathan")</f>
        <v>Pang, Siung King Jonathan</v>
      </c>
      <c r="B3810" t="s">
        <v>7601</v>
      </c>
      <c r="C3810" t="s">
        <v>28</v>
      </c>
      <c r="D3810" t="s">
        <v>7602</v>
      </c>
      <c r="E3810" t="s">
        <v>8</v>
      </c>
      <c r="F3810" t="s">
        <v>3099</v>
      </c>
      <c r="G3810" t="s">
        <v>3100</v>
      </c>
      <c r="H3810" t="s">
        <v>3101</v>
      </c>
      <c r="I3810" t="s">
        <v>3102</v>
      </c>
    </row>
    <row r="3811" spans="1:9" x14ac:dyDescent="0.25">
      <c r="A3811" s="1" t="str">
        <f>HYPERLINK("https://lynxcrm-apac--c.eu19.visual.force.com/0011i000001xoLEAAY","Pang, Yoke Teen Kenny")</f>
        <v>Pang, Yoke Teen Kenny</v>
      </c>
      <c r="B3811" t="s">
        <v>7603</v>
      </c>
      <c r="C3811" t="s">
        <v>28</v>
      </c>
      <c r="D3811" t="s">
        <v>7604</v>
      </c>
      <c r="E3811" t="s">
        <v>8</v>
      </c>
      <c r="F3811" t="s">
        <v>317</v>
      </c>
      <c r="G3811" t="s">
        <v>3975</v>
      </c>
      <c r="H3811" t="s">
        <v>1320</v>
      </c>
      <c r="I3811" t="s">
        <v>85</v>
      </c>
    </row>
    <row r="3812" spans="1:9" x14ac:dyDescent="0.25">
      <c r="A3812" s="1" t="str">
        <f>HYPERLINK("https://lynxcrm-apac--c.eu19.visual.force.com/0011i000001xnEiAAI","Pan Health Family Clinic")</f>
        <v>Pan Health Family Clinic</v>
      </c>
      <c r="B3812" t="s">
        <v>7605</v>
      </c>
      <c r="C3812" t="s">
        <v>10</v>
      </c>
      <c r="D3812" t="s">
        <v>8</v>
      </c>
      <c r="E3812" t="s">
        <v>8</v>
      </c>
      <c r="F3812" t="s">
        <v>7606</v>
      </c>
      <c r="G3812" t="s">
        <v>2979</v>
      </c>
      <c r="H3812" t="s">
        <v>2979</v>
      </c>
      <c r="I3812" t="s">
        <v>7607</v>
      </c>
    </row>
    <row r="3813" spans="1:9" x14ac:dyDescent="0.25">
      <c r="A3813" s="1" t="str">
        <f>HYPERLINK("https://lynxcrm-apac--c.eu19.visual.force.com/0011i00000TWqzGAAT","PanHealth Family Clinic (Hougang)")</f>
        <v>PanHealth Family Clinic (Hougang)</v>
      </c>
      <c r="B3813" t="s">
        <v>7608</v>
      </c>
      <c r="C3813" t="s">
        <v>10</v>
      </c>
      <c r="D3813" t="s">
        <v>8</v>
      </c>
      <c r="E3813" t="s">
        <v>8</v>
      </c>
      <c r="F3813" t="s">
        <v>7609</v>
      </c>
      <c r="G3813" t="s">
        <v>564</v>
      </c>
      <c r="H3813" t="s">
        <v>8</v>
      </c>
      <c r="I3813" t="s">
        <v>7610</v>
      </c>
    </row>
    <row r="3814" spans="1:9" x14ac:dyDescent="0.25">
      <c r="A3814" s="1" t="str">
        <f>HYPERLINK("https://lynxcrm-apac--c.eu19.visual.force.com/0011i000001xnDYAAY","Pan-Island Clinic Surgery")</f>
        <v>Pan-Island Clinic Surgery</v>
      </c>
      <c r="B3814" t="s">
        <v>7611</v>
      </c>
      <c r="C3814" t="s">
        <v>10</v>
      </c>
      <c r="D3814" t="s">
        <v>8</v>
      </c>
      <c r="E3814" t="s">
        <v>8</v>
      </c>
      <c r="F3814" t="s">
        <v>7612</v>
      </c>
      <c r="G3814" t="s">
        <v>7613</v>
      </c>
      <c r="H3814" t="s">
        <v>7614</v>
      </c>
      <c r="I3814" t="s">
        <v>7615</v>
      </c>
    </row>
    <row r="3815" spans="1:9" x14ac:dyDescent="0.25">
      <c r="A3815" s="1" t="str">
        <f>HYPERLINK("https://lynxcrm-apac--c.eu19.visual.force.com/0011i000001xoV8AAI","Pankaj, Handa")</f>
        <v>Pankaj, Handa</v>
      </c>
      <c r="B3815" t="s">
        <v>7616</v>
      </c>
      <c r="C3815" t="s">
        <v>28</v>
      </c>
      <c r="D3815" t="s">
        <v>261</v>
      </c>
      <c r="E3815" t="s">
        <v>8</v>
      </c>
      <c r="F3815" t="s">
        <v>257</v>
      </c>
      <c r="G3815" t="s">
        <v>258</v>
      </c>
      <c r="H3815" t="s">
        <v>259</v>
      </c>
      <c r="I3815" t="s">
        <v>260</v>
      </c>
    </row>
    <row r="3816" spans="1:9" x14ac:dyDescent="0.25">
      <c r="A3816" s="1" t="str">
        <f>HYPERLINK("https://lynxcrm-apac--c.eu19.visual.force.com/0011i000001xoV8AAI","Pankaj, Handa")</f>
        <v>Pankaj, Handa</v>
      </c>
      <c r="B3816" t="s">
        <v>7616</v>
      </c>
      <c r="C3816" t="s">
        <v>28</v>
      </c>
      <c r="D3816" t="s">
        <v>261</v>
      </c>
      <c r="E3816" t="s">
        <v>8</v>
      </c>
      <c r="F3816" t="s">
        <v>261</v>
      </c>
      <c r="G3816" t="s">
        <v>347</v>
      </c>
      <c r="H3816" t="s">
        <v>347</v>
      </c>
      <c r="I3816" t="s">
        <v>260</v>
      </c>
    </row>
    <row r="3817" spans="1:9" x14ac:dyDescent="0.25">
      <c r="A3817" s="1" t="str">
        <f>HYPERLINK("https://lynxcrm-apac--c.eu19.visual.force.com/0011i000001xnIkAAI","Pan Malayan Pharmaceuticals")</f>
        <v>Pan Malayan Pharmaceuticals</v>
      </c>
      <c r="B3817" t="s">
        <v>7617</v>
      </c>
      <c r="C3817" t="s">
        <v>28</v>
      </c>
      <c r="D3817" t="s">
        <v>8</v>
      </c>
      <c r="E3817" t="s">
        <v>8</v>
      </c>
      <c r="F3817" t="s">
        <v>7618</v>
      </c>
      <c r="G3817" t="s">
        <v>7619</v>
      </c>
      <c r="H3817" t="s">
        <v>7619</v>
      </c>
      <c r="I3817" t="s">
        <v>7620</v>
      </c>
    </row>
    <row r="3818" spans="1:9" x14ac:dyDescent="0.25">
      <c r="A3818" s="1" t="str">
        <f>HYPERLINK("https://lynxcrm-apac--c.eu19.visual.force.com/0011i000001xmwXAAQ","Paragon Medical Centre")</f>
        <v>Paragon Medical Centre</v>
      </c>
      <c r="B3818" t="s">
        <v>7621</v>
      </c>
      <c r="C3818" t="s">
        <v>10</v>
      </c>
      <c r="D3818" t="s">
        <v>8</v>
      </c>
      <c r="E3818" t="s">
        <v>8</v>
      </c>
      <c r="F3818" t="s">
        <v>353</v>
      </c>
      <c r="G3818" t="s">
        <v>6777</v>
      </c>
      <c r="H3818" t="s">
        <v>6777</v>
      </c>
      <c r="I3818" t="s">
        <v>6448</v>
      </c>
    </row>
    <row r="3819" spans="1:9" x14ac:dyDescent="0.25">
      <c r="A3819" s="1" t="str">
        <f>HYPERLINK("https://lynxcrm-apac--c.eu19.visual.force.com/0011i000001xnKyAAI","Pariqua Clinic")</f>
        <v>Pariqua Clinic</v>
      </c>
      <c r="B3819" t="s">
        <v>7622</v>
      </c>
      <c r="C3819" t="s">
        <v>10</v>
      </c>
      <c r="D3819" t="s">
        <v>8</v>
      </c>
      <c r="E3819" t="s">
        <v>8</v>
      </c>
      <c r="F3819" t="s">
        <v>1568</v>
      </c>
      <c r="G3819" t="s">
        <v>1569</v>
      </c>
      <c r="H3819" t="s">
        <v>1570</v>
      </c>
      <c r="I3819" t="s">
        <v>1571</v>
      </c>
    </row>
    <row r="3820" spans="1:9" x14ac:dyDescent="0.25">
      <c r="A3820" s="1" t="str">
        <f>HYPERLINK("https://lynxcrm-apac--c.eu19.visual.force.com/0011i00000ugBD6AAM","Park, My Phong")</f>
        <v>Park, My Phong</v>
      </c>
      <c r="B3820" t="s">
        <v>7623</v>
      </c>
      <c r="C3820" t="s">
        <v>28</v>
      </c>
      <c r="D3820" t="s">
        <v>8</v>
      </c>
      <c r="E3820" t="s">
        <v>8</v>
      </c>
      <c r="F3820" t="s">
        <v>1123</v>
      </c>
      <c r="G3820" t="s">
        <v>1123</v>
      </c>
      <c r="H3820" t="s">
        <v>1124</v>
      </c>
      <c r="I3820" t="s">
        <v>703</v>
      </c>
    </row>
    <row r="3821" spans="1:9" x14ac:dyDescent="0.25">
      <c r="A3821" s="1" t="str">
        <f>HYPERLINK("https://lynxcrm-apac--c.eu19.visual.force.com/0011i00000ugBD6AAM","Park, My Phong")</f>
        <v>Park, My Phong</v>
      </c>
      <c r="B3821" t="s">
        <v>7623</v>
      </c>
      <c r="C3821" t="s">
        <v>28</v>
      </c>
      <c r="D3821" t="s">
        <v>701</v>
      </c>
      <c r="E3821" t="s">
        <v>8</v>
      </c>
      <c r="F3821" t="s">
        <v>1123</v>
      </c>
      <c r="G3821" t="s">
        <v>1123</v>
      </c>
      <c r="H3821" t="s">
        <v>1124</v>
      </c>
      <c r="I3821" t="s">
        <v>703</v>
      </c>
    </row>
    <row r="3822" spans="1:9" x14ac:dyDescent="0.25">
      <c r="A3822" s="1" t="str">
        <f>HYPERLINK("https://lynxcrm-apac--c.eu19.visual.force.com/0011i000001xnNsAAI","Parklane Medical Centre")</f>
        <v>Parklane Medical Centre</v>
      </c>
      <c r="B3822" t="s">
        <v>7624</v>
      </c>
      <c r="C3822" t="s">
        <v>10</v>
      </c>
      <c r="D3822" t="s">
        <v>8</v>
      </c>
      <c r="E3822" t="s">
        <v>8</v>
      </c>
      <c r="F3822" t="s">
        <v>7625</v>
      </c>
      <c r="G3822" t="s">
        <v>6303</v>
      </c>
      <c r="H3822" t="s">
        <v>6303</v>
      </c>
      <c r="I3822" t="s">
        <v>6030</v>
      </c>
    </row>
    <row r="3823" spans="1:9" x14ac:dyDescent="0.25">
      <c r="A3823" s="1" t="str">
        <f>HYPERLINK("https://lynxcrm-apac--c.eu19.visual.force.com/0011i00000Xf13eAAB","Parkway Cancer Centre")</f>
        <v>Parkway Cancer Centre</v>
      </c>
      <c r="B3823" t="s">
        <v>7626</v>
      </c>
      <c r="C3823" t="s">
        <v>10</v>
      </c>
      <c r="D3823" t="s">
        <v>8</v>
      </c>
      <c r="E3823" t="s">
        <v>8</v>
      </c>
      <c r="F3823" t="s">
        <v>7627</v>
      </c>
      <c r="G3823" t="s">
        <v>7628</v>
      </c>
      <c r="H3823" t="s">
        <v>8</v>
      </c>
      <c r="I3823" t="s">
        <v>123</v>
      </c>
    </row>
    <row r="3824" spans="1:9" x14ac:dyDescent="0.25">
      <c r="A3824" s="1" t="str">
        <f>HYPERLINK("https://lynxcrm-apac--c.eu19.visual.force.com/0011i00000Xf13jAAB","Parkway Cancer CNTR")</f>
        <v>Parkway Cancer CNTR</v>
      </c>
      <c r="B3824" t="s">
        <v>7629</v>
      </c>
      <c r="C3824" t="s">
        <v>10</v>
      </c>
      <c r="D3824" t="s">
        <v>8</v>
      </c>
      <c r="E3824" t="s">
        <v>8</v>
      </c>
      <c r="F3824" t="s">
        <v>7630</v>
      </c>
      <c r="G3824" t="s">
        <v>388</v>
      </c>
      <c r="H3824" t="s">
        <v>8</v>
      </c>
      <c r="I3824" t="s">
        <v>123</v>
      </c>
    </row>
    <row r="3825" spans="1:9" x14ac:dyDescent="0.25">
      <c r="A3825" s="1" t="str">
        <f>HYPERLINK("https://lynxcrm-apac--c.eu19.visual.force.com/0011i000001xnGeAAI","Parkway Clinic &amp; Surgery")</f>
        <v>Parkway Clinic &amp; Surgery</v>
      </c>
      <c r="B3825" t="s">
        <v>7631</v>
      </c>
      <c r="C3825" t="s">
        <v>10</v>
      </c>
      <c r="D3825" t="s">
        <v>8</v>
      </c>
      <c r="E3825" t="s">
        <v>8</v>
      </c>
      <c r="F3825" t="s">
        <v>2355</v>
      </c>
      <c r="G3825" t="s">
        <v>7632</v>
      </c>
      <c r="H3825" t="s">
        <v>7632</v>
      </c>
      <c r="I3825" t="s">
        <v>554</v>
      </c>
    </row>
    <row r="3826" spans="1:9" x14ac:dyDescent="0.25">
      <c r="A3826" s="1" t="str">
        <f>HYPERLINK("https://lynxcrm-apac--c.eu19.visual.force.com/0011i000001xmdPAAQ","Parkway Gynaecology Screening &amp; Treatment Ctr")</f>
        <v>Parkway Gynaecology Screening &amp; Treatment Ctr</v>
      </c>
      <c r="B3826" t="s">
        <v>7633</v>
      </c>
      <c r="C3826" t="s">
        <v>10</v>
      </c>
      <c r="D3826" t="s">
        <v>8</v>
      </c>
      <c r="E3826" t="s">
        <v>8</v>
      </c>
      <c r="F3826" t="s">
        <v>65</v>
      </c>
      <c r="G3826" t="s">
        <v>7634</v>
      </c>
      <c r="H3826" t="s">
        <v>7634</v>
      </c>
      <c r="I3826" t="s">
        <v>466</v>
      </c>
    </row>
    <row r="3827" spans="1:9" x14ac:dyDescent="0.25">
      <c r="A3827" s="1" t="str">
        <f>HYPERLINK("https://lynxcrm-apac--c.eu19.visual.force.com/0011i000001xmhtAAA","Parkway Hospitals Singapore Pte Ltd")</f>
        <v>Parkway Hospitals Singapore Pte Ltd</v>
      </c>
      <c r="B3827" t="s">
        <v>7635</v>
      </c>
      <c r="C3827" t="s">
        <v>10</v>
      </c>
      <c r="D3827" t="s">
        <v>8</v>
      </c>
      <c r="E3827" t="s">
        <v>8</v>
      </c>
      <c r="F3827" t="s">
        <v>469</v>
      </c>
      <c r="G3827" t="s">
        <v>4352</v>
      </c>
      <c r="H3827" t="s">
        <v>66</v>
      </c>
      <c r="I3827" t="s">
        <v>67</v>
      </c>
    </row>
    <row r="3828" spans="1:9" x14ac:dyDescent="0.25">
      <c r="A3828" s="1" t="str">
        <f>HYPERLINK("https://lynxcrm-apac--c.eu19.visual.force.com/0011i00000oUwtiAAC","Parkway Shenton")</f>
        <v>Parkway Shenton</v>
      </c>
      <c r="B3828" t="s">
        <v>7636</v>
      </c>
      <c r="C3828" t="s">
        <v>10</v>
      </c>
      <c r="D3828" t="s">
        <v>8</v>
      </c>
      <c r="E3828" t="s">
        <v>8</v>
      </c>
      <c r="F3828" t="s">
        <v>7637</v>
      </c>
      <c r="G3828" t="s">
        <v>7638</v>
      </c>
      <c r="H3828" t="s">
        <v>8</v>
      </c>
      <c r="I3828" t="s">
        <v>2101</v>
      </c>
    </row>
    <row r="3829" spans="1:9" x14ac:dyDescent="0.25">
      <c r="A3829" s="1" t="str">
        <f>HYPERLINK("https://lynxcrm-apac--c.eu19.visual.force.com/0011i000001xn4gAAA","Parkway Shenton")</f>
        <v>Parkway Shenton</v>
      </c>
      <c r="B3829" t="s">
        <v>7639</v>
      </c>
      <c r="C3829" t="s">
        <v>10</v>
      </c>
      <c r="D3829" t="s">
        <v>8</v>
      </c>
      <c r="E3829" t="s">
        <v>8</v>
      </c>
      <c r="F3829" t="s">
        <v>7640</v>
      </c>
      <c r="G3829" t="s">
        <v>5614</v>
      </c>
      <c r="H3829" t="s">
        <v>5614</v>
      </c>
      <c r="I3829" t="s">
        <v>3540</v>
      </c>
    </row>
    <row r="3830" spans="1:9" x14ac:dyDescent="0.25">
      <c r="A3830" s="1" t="str">
        <f>HYPERLINK("https://lynxcrm-apac--c.eu19.visual.force.com/0011i000001xn7qAAA","Parkway Shenton Group")</f>
        <v>Parkway Shenton Group</v>
      </c>
      <c r="B3830" t="s">
        <v>7641</v>
      </c>
      <c r="C3830" t="s">
        <v>10</v>
      </c>
      <c r="D3830" t="s">
        <v>8</v>
      </c>
      <c r="E3830" t="s">
        <v>8</v>
      </c>
      <c r="F3830" t="s">
        <v>7642</v>
      </c>
      <c r="G3830" t="s">
        <v>7643</v>
      </c>
      <c r="H3830" t="s">
        <v>7643</v>
      </c>
      <c r="I3830" t="s">
        <v>7644</v>
      </c>
    </row>
    <row r="3831" spans="1:9" x14ac:dyDescent="0.25">
      <c r="A3831" s="1" t="str">
        <f>HYPERLINK("https://lynxcrm-apac--c.eu19.visual.force.com/0011i000001xmtoAAA","Parkway Shenton Medical")</f>
        <v>Parkway Shenton Medical</v>
      </c>
      <c r="B3831" t="s">
        <v>7645</v>
      </c>
      <c r="C3831" t="s">
        <v>10</v>
      </c>
      <c r="D3831" t="s">
        <v>8</v>
      </c>
      <c r="E3831" t="s">
        <v>8</v>
      </c>
      <c r="F3831" t="s">
        <v>5613</v>
      </c>
      <c r="G3831" t="s">
        <v>5614</v>
      </c>
      <c r="H3831" t="s">
        <v>5614</v>
      </c>
      <c r="I3831" t="s">
        <v>3540</v>
      </c>
    </row>
    <row r="3832" spans="1:9" x14ac:dyDescent="0.25">
      <c r="A3832" s="1" t="str">
        <f>HYPERLINK("https://lynxcrm-apac--c.eu19.visual.force.com/0011i000001xn5WAAQ","Parkway Shenton Pte Ltd")</f>
        <v>Parkway Shenton Pte Ltd</v>
      </c>
      <c r="B3832" t="s">
        <v>7646</v>
      </c>
      <c r="C3832" t="s">
        <v>10</v>
      </c>
      <c r="D3832" t="s">
        <v>8</v>
      </c>
      <c r="E3832" t="s">
        <v>8</v>
      </c>
      <c r="F3832" t="s">
        <v>730</v>
      </c>
      <c r="G3832" t="s">
        <v>731</v>
      </c>
      <c r="H3832" t="s">
        <v>732</v>
      </c>
      <c r="I3832" t="s">
        <v>733</v>
      </c>
    </row>
    <row r="3833" spans="1:9" x14ac:dyDescent="0.25">
      <c r="A3833" s="1" t="str">
        <f>HYPERLINK("https://lynxcrm-apac--c.eu19.visual.force.com/0011i000001xmsFAAQ","Parkway Shenton Pte Ltd")</f>
        <v>Parkway Shenton Pte Ltd</v>
      </c>
      <c r="B3833" t="s">
        <v>7647</v>
      </c>
      <c r="C3833" t="s">
        <v>10</v>
      </c>
      <c r="D3833" t="s">
        <v>8</v>
      </c>
      <c r="E3833" t="s">
        <v>8</v>
      </c>
      <c r="F3833" t="s">
        <v>1188</v>
      </c>
      <c r="G3833" t="s">
        <v>1189</v>
      </c>
      <c r="H3833" t="s">
        <v>1190</v>
      </c>
      <c r="I3833" t="s">
        <v>1191</v>
      </c>
    </row>
    <row r="3834" spans="1:9" x14ac:dyDescent="0.25">
      <c r="A3834" s="1" t="str">
        <f>HYPERLINK("https://lynxcrm-apac--c.eu19.visual.force.com/0011i000001xmfFAAQ","Parkway Shenton Pte Ltd")</f>
        <v>Parkway Shenton Pte Ltd</v>
      </c>
      <c r="B3834" t="s">
        <v>7648</v>
      </c>
      <c r="C3834" t="s">
        <v>10</v>
      </c>
      <c r="D3834" t="s">
        <v>8</v>
      </c>
      <c r="E3834" t="s">
        <v>8</v>
      </c>
      <c r="F3834" t="s">
        <v>2837</v>
      </c>
      <c r="G3834" t="s">
        <v>7649</v>
      </c>
      <c r="H3834" t="s">
        <v>7650</v>
      </c>
      <c r="I3834" t="s">
        <v>2840</v>
      </c>
    </row>
    <row r="3835" spans="1:9" x14ac:dyDescent="0.25">
      <c r="A3835" s="1" t="str">
        <f>HYPERLINK("https://lynxcrm-apac--c.eu19.visual.force.com/0011i000001xmktAAA","Parkway Shenton Pte Ltd")</f>
        <v>Parkway Shenton Pte Ltd</v>
      </c>
      <c r="B3835" t="s">
        <v>7651</v>
      </c>
      <c r="C3835" t="s">
        <v>10</v>
      </c>
      <c r="D3835" t="s">
        <v>8</v>
      </c>
      <c r="E3835" t="s">
        <v>8</v>
      </c>
      <c r="F3835" t="s">
        <v>7378</v>
      </c>
      <c r="G3835" t="s">
        <v>7379</v>
      </c>
      <c r="H3835" t="s">
        <v>7380</v>
      </c>
      <c r="I3835" t="s">
        <v>7381</v>
      </c>
    </row>
    <row r="3836" spans="1:9" x14ac:dyDescent="0.25">
      <c r="A3836" s="1" t="str">
        <f>HYPERLINK("https://lynxcrm-apac--c.eu19.visual.force.com/0011i000001xn9tAAA","Parkway Shenton Pte Ltd")</f>
        <v>Parkway Shenton Pte Ltd</v>
      </c>
      <c r="B3836" t="s">
        <v>7652</v>
      </c>
      <c r="C3836" t="s">
        <v>10</v>
      </c>
      <c r="D3836" t="s">
        <v>8</v>
      </c>
      <c r="E3836" t="s">
        <v>8</v>
      </c>
      <c r="F3836" t="s">
        <v>7653</v>
      </c>
      <c r="G3836" t="s">
        <v>7654</v>
      </c>
      <c r="H3836" t="s">
        <v>732</v>
      </c>
      <c r="I3836" t="s">
        <v>7655</v>
      </c>
    </row>
    <row r="3837" spans="1:9" x14ac:dyDescent="0.25">
      <c r="A3837" s="1" t="str">
        <f>HYPERLINK("https://lynxcrm-apac--c.eu19.visual.force.com/0011i000001xnFrAAI","Parkway Shenton Pte Ltd")</f>
        <v>Parkway Shenton Pte Ltd</v>
      </c>
      <c r="B3837" t="s">
        <v>7656</v>
      </c>
      <c r="C3837" t="s">
        <v>10</v>
      </c>
      <c r="D3837" t="s">
        <v>8</v>
      </c>
      <c r="E3837" t="s">
        <v>8</v>
      </c>
      <c r="F3837" t="s">
        <v>3537</v>
      </c>
      <c r="G3837" t="s">
        <v>3538</v>
      </c>
      <c r="H3837" t="s">
        <v>3539</v>
      </c>
      <c r="I3837" t="s">
        <v>3540</v>
      </c>
    </row>
    <row r="3838" spans="1:9" x14ac:dyDescent="0.25">
      <c r="A3838" s="1" t="str">
        <f>HYPERLINK("https://lynxcrm-apac--c.eu19.visual.force.com/0011i000001xnbHAAQ","Parkway Shenton Pte Ltd")</f>
        <v>Parkway Shenton Pte Ltd</v>
      </c>
      <c r="B3838" t="s">
        <v>7657</v>
      </c>
      <c r="C3838" t="s">
        <v>10</v>
      </c>
      <c r="D3838" t="s">
        <v>8</v>
      </c>
      <c r="E3838" t="s">
        <v>8</v>
      </c>
      <c r="F3838" t="s">
        <v>7378</v>
      </c>
      <c r="G3838" t="s">
        <v>7379</v>
      </c>
      <c r="H3838" t="s">
        <v>7380</v>
      </c>
      <c r="I3838" t="s">
        <v>7381</v>
      </c>
    </row>
    <row r="3839" spans="1:9" x14ac:dyDescent="0.25">
      <c r="A3839" s="1" t="str">
        <f>HYPERLINK("https://lynxcrm-apac--c.eu19.visual.force.com/0011i000001xmsiAAA","Parkway Shenton Pte Ltd")</f>
        <v>Parkway Shenton Pte Ltd</v>
      </c>
      <c r="B3839" t="s">
        <v>7658</v>
      </c>
      <c r="C3839" t="s">
        <v>10</v>
      </c>
      <c r="D3839" t="s">
        <v>8</v>
      </c>
      <c r="E3839" t="s">
        <v>8</v>
      </c>
      <c r="F3839" t="s">
        <v>3537</v>
      </c>
      <c r="G3839" t="s">
        <v>7659</v>
      </c>
      <c r="H3839" t="s">
        <v>7659</v>
      </c>
      <c r="I3839" t="s">
        <v>3540</v>
      </c>
    </row>
    <row r="3840" spans="1:9" x14ac:dyDescent="0.25">
      <c r="A3840" s="1" t="str">
        <f>HYPERLINK("https://lynxcrm-apac--c.eu19.visual.force.com/0011i000001xmlLAAQ","Parkway Shenton Pte Ltd")</f>
        <v>Parkway Shenton Pte Ltd</v>
      </c>
      <c r="B3840" t="s">
        <v>7660</v>
      </c>
      <c r="C3840" t="s">
        <v>10</v>
      </c>
      <c r="D3840" t="s">
        <v>8</v>
      </c>
      <c r="E3840" t="s">
        <v>8</v>
      </c>
      <c r="F3840" t="s">
        <v>7653</v>
      </c>
      <c r="G3840" t="s">
        <v>7654</v>
      </c>
      <c r="H3840" t="s">
        <v>7654</v>
      </c>
      <c r="I3840" t="s">
        <v>7655</v>
      </c>
    </row>
    <row r="3841" spans="1:9" x14ac:dyDescent="0.25">
      <c r="A3841" s="1" t="str">
        <f>HYPERLINK("https://lynxcrm-apac--c.eu19.visual.force.com/0011i000001xnEWAAY","Parkway Shenton Pte Ltd")</f>
        <v>Parkway Shenton Pte Ltd</v>
      </c>
      <c r="B3841" t="s">
        <v>7661</v>
      </c>
      <c r="C3841" t="s">
        <v>10</v>
      </c>
      <c r="D3841" t="s">
        <v>8</v>
      </c>
      <c r="E3841" t="s">
        <v>8</v>
      </c>
      <c r="F3841" t="s">
        <v>7378</v>
      </c>
      <c r="G3841" t="s">
        <v>7379</v>
      </c>
      <c r="H3841" t="s">
        <v>7380</v>
      </c>
      <c r="I3841" t="s">
        <v>7381</v>
      </c>
    </row>
    <row r="3842" spans="1:9" x14ac:dyDescent="0.25">
      <c r="A3842" s="1" t="str">
        <f>HYPERLINK("https://lynxcrm-apac--c.eu19.visual.force.com/0011i00000FIGM6AAP","Parson Medical Clinic")</f>
        <v>Parson Medical Clinic</v>
      </c>
      <c r="B3842" t="s">
        <v>7662</v>
      </c>
      <c r="C3842" t="s">
        <v>10</v>
      </c>
      <c r="D3842" t="s">
        <v>8</v>
      </c>
      <c r="E3842" t="s">
        <v>8</v>
      </c>
      <c r="F3842" t="s">
        <v>7385</v>
      </c>
      <c r="G3842" t="s">
        <v>7386</v>
      </c>
      <c r="H3842" t="s">
        <v>8</v>
      </c>
      <c r="I3842" t="s">
        <v>6402</v>
      </c>
    </row>
    <row r="3843" spans="1:9" x14ac:dyDescent="0.25">
      <c r="A3843" s="1" t="str">
        <f>HYPERLINK("https://lynxcrm-apac--c.eu19.visual.force.com/0011i000001xnC9AAI","Pasir Ris Clinic &amp; Surgery c/o Astique Medical PL")</f>
        <v>Pasir Ris Clinic &amp; Surgery c/o Astique Medical PL</v>
      </c>
      <c r="B3843" t="s">
        <v>7663</v>
      </c>
      <c r="C3843" t="s">
        <v>10</v>
      </c>
      <c r="D3843" t="s">
        <v>8</v>
      </c>
      <c r="E3843" t="s">
        <v>8</v>
      </c>
      <c r="F3843" t="s">
        <v>7664</v>
      </c>
      <c r="G3843" t="s">
        <v>7665</v>
      </c>
      <c r="H3843" t="s">
        <v>7666</v>
      </c>
      <c r="I3843" t="s">
        <v>7667</v>
      </c>
    </row>
    <row r="3844" spans="1:9" x14ac:dyDescent="0.25">
      <c r="A3844" s="1" t="str">
        <f>HYPERLINK("https://lynxcrm-apac--c.eu19.visual.force.com/0011i000001xnQIAAY","Pasir Ris Polyclinic")</f>
        <v>Pasir Ris Polyclinic</v>
      </c>
      <c r="B3844" t="s">
        <v>7668</v>
      </c>
      <c r="C3844" t="s">
        <v>10</v>
      </c>
      <c r="D3844" t="s">
        <v>8</v>
      </c>
      <c r="E3844" t="s">
        <v>8</v>
      </c>
      <c r="F3844" t="s">
        <v>1699</v>
      </c>
      <c r="G3844" t="s">
        <v>1521</v>
      </c>
      <c r="H3844" t="s">
        <v>1700</v>
      </c>
      <c r="I3844" t="s">
        <v>1701</v>
      </c>
    </row>
    <row r="3845" spans="1:9" x14ac:dyDescent="0.25">
      <c r="A3845" s="1" t="str">
        <f>HYPERLINK("https://lynxcrm-apac--c.eu19.visual.force.com/0011i000001xna5AAA","Pasir Ris Polyclinic")</f>
        <v>Pasir Ris Polyclinic</v>
      </c>
      <c r="B3845" t="s">
        <v>7669</v>
      </c>
      <c r="C3845" t="s">
        <v>10</v>
      </c>
      <c r="D3845" t="s">
        <v>8</v>
      </c>
      <c r="E3845" t="s">
        <v>8</v>
      </c>
      <c r="F3845" t="s">
        <v>1699</v>
      </c>
      <c r="G3845" t="s">
        <v>1521</v>
      </c>
      <c r="H3845" t="s">
        <v>1700</v>
      </c>
      <c r="I3845" t="s">
        <v>1701</v>
      </c>
    </row>
    <row r="3846" spans="1:9" x14ac:dyDescent="0.25">
      <c r="A3846" s="1" t="str">
        <f>HYPERLINK("https://lynxcrm-apac--c.eu19.visual.force.com/0011i000001xn71AAA","Pasir Ris Polyclinic")</f>
        <v>Pasir Ris Polyclinic</v>
      </c>
      <c r="B3846" t="s">
        <v>7670</v>
      </c>
      <c r="C3846" t="s">
        <v>10</v>
      </c>
      <c r="D3846" t="s">
        <v>8</v>
      </c>
      <c r="E3846" t="s">
        <v>8</v>
      </c>
      <c r="F3846" t="s">
        <v>1699</v>
      </c>
      <c r="G3846" t="s">
        <v>1521</v>
      </c>
      <c r="H3846" t="s">
        <v>1700</v>
      </c>
      <c r="I3846" t="s">
        <v>7671</v>
      </c>
    </row>
    <row r="3847" spans="1:9" x14ac:dyDescent="0.25">
      <c r="A3847" s="1" t="str">
        <f>HYPERLINK("https://lynxcrm-apac--c.eu19.visual.force.com/0011i000001xnIbAAI","Pasir Ris Polyclinic")</f>
        <v>Pasir Ris Polyclinic</v>
      </c>
      <c r="B3847" t="s">
        <v>7672</v>
      </c>
      <c r="C3847" t="s">
        <v>10</v>
      </c>
      <c r="D3847" t="s">
        <v>8</v>
      </c>
      <c r="E3847" t="s">
        <v>8</v>
      </c>
      <c r="F3847" t="s">
        <v>1699</v>
      </c>
      <c r="G3847" t="s">
        <v>1521</v>
      </c>
      <c r="H3847" t="s">
        <v>1700</v>
      </c>
      <c r="I3847" t="s">
        <v>1701</v>
      </c>
    </row>
    <row r="3848" spans="1:9" x14ac:dyDescent="0.25">
      <c r="A3848" s="1" t="str">
        <f>HYPERLINK("https://lynxcrm-apac--c.eu19.visual.force.com/0011i000001xoY6AAI","Pasupathy, Shanker")</f>
        <v>Pasupathy, Shanker</v>
      </c>
      <c r="B3848" t="s">
        <v>7673</v>
      </c>
      <c r="C3848" t="s">
        <v>28</v>
      </c>
      <c r="D3848" t="s">
        <v>1242</v>
      </c>
      <c r="E3848" t="s">
        <v>8</v>
      </c>
      <c r="F3848" t="s">
        <v>252</v>
      </c>
      <c r="G3848" t="s">
        <v>251</v>
      </c>
      <c r="H3848" t="s">
        <v>251</v>
      </c>
      <c r="I3848" t="s">
        <v>253</v>
      </c>
    </row>
    <row r="3849" spans="1:9" x14ac:dyDescent="0.25">
      <c r="A3849" s="1" t="str">
        <f>HYPERLINK("https://lynxcrm-apac--c.eu19.visual.force.com/0011i000001xor9AAA","Pau, Lai Yin Jessica")</f>
        <v>Pau, Lai Yin Jessica</v>
      </c>
      <c r="B3849" t="s">
        <v>7674</v>
      </c>
      <c r="C3849" t="s">
        <v>28</v>
      </c>
      <c r="D3849" t="s">
        <v>3086</v>
      </c>
      <c r="E3849" t="s">
        <v>8</v>
      </c>
      <c r="F3849" t="s">
        <v>3087</v>
      </c>
      <c r="G3849" t="s">
        <v>3088</v>
      </c>
      <c r="H3849" t="s">
        <v>3088</v>
      </c>
      <c r="I3849" t="s">
        <v>3089</v>
      </c>
    </row>
    <row r="3850" spans="1:9" x14ac:dyDescent="0.25">
      <c r="A3850" s="1" t="str">
        <f>HYPERLINK("https://lynxcrm-apac--c.eu19.visual.force.com/0011i000001xoV6AAI","Pawan, Mathur")</f>
        <v>Pawan, Mathur</v>
      </c>
      <c r="B3850" t="s">
        <v>7675</v>
      </c>
      <c r="C3850" t="s">
        <v>28</v>
      </c>
      <c r="D3850" t="s">
        <v>251</v>
      </c>
      <c r="E3850" t="s">
        <v>8</v>
      </c>
      <c r="F3850" t="s">
        <v>251</v>
      </c>
      <c r="G3850" t="s">
        <v>252</v>
      </c>
      <c r="H3850" t="s">
        <v>252</v>
      </c>
      <c r="I3850" t="s">
        <v>253</v>
      </c>
    </row>
    <row r="3851" spans="1:9" x14ac:dyDescent="0.25">
      <c r="A3851" s="1" t="str">
        <f>HYPERLINK("https://lynxcrm-apac--c.eu19.visual.force.com/0011i000001xoV6AAI","Pawan, Mathur")</f>
        <v>Pawan, Mathur</v>
      </c>
      <c r="B3851" t="s">
        <v>7675</v>
      </c>
      <c r="C3851" t="s">
        <v>28</v>
      </c>
      <c r="D3851" t="s">
        <v>1562</v>
      </c>
      <c r="E3851" t="s">
        <v>8</v>
      </c>
      <c r="F3851" t="s">
        <v>252</v>
      </c>
      <c r="G3851" t="s">
        <v>251</v>
      </c>
      <c r="H3851" t="s">
        <v>251</v>
      </c>
      <c r="I3851" t="s">
        <v>253</v>
      </c>
    </row>
    <row r="3852" spans="1:9" x14ac:dyDescent="0.25">
      <c r="A3852" s="1" t="str">
        <f>HYPERLINK("https://lynxcrm-apac--c.eu19.visual.force.com/0011i000001xnDkAAI","PCS Medical Centre")</f>
        <v>PCS Medical Centre</v>
      </c>
      <c r="B3852" t="s">
        <v>7676</v>
      </c>
      <c r="C3852" t="s">
        <v>10</v>
      </c>
      <c r="D3852" t="s">
        <v>8</v>
      </c>
      <c r="E3852" t="s">
        <v>8</v>
      </c>
      <c r="F3852" t="s">
        <v>5190</v>
      </c>
      <c r="G3852" t="s">
        <v>5190</v>
      </c>
      <c r="H3852" t="s">
        <v>8</v>
      </c>
      <c r="I3852" t="s">
        <v>5191</v>
      </c>
    </row>
    <row r="3853" spans="1:9" x14ac:dyDescent="0.25">
      <c r="A3853" s="1" t="str">
        <f>HYPERLINK("https://lynxcrm-apac--c.eu19.visual.force.com/0011i000001xmoRAAQ","P C Teoh Medical &amp; Chest Clinic")</f>
        <v>P C Teoh Medical &amp; Chest Clinic</v>
      </c>
      <c r="B3853" t="s">
        <v>7677</v>
      </c>
      <c r="C3853" t="s">
        <v>10</v>
      </c>
      <c r="D3853" t="s">
        <v>8</v>
      </c>
      <c r="E3853" t="s">
        <v>8</v>
      </c>
      <c r="F3853" t="s">
        <v>121</v>
      </c>
      <c r="G3853" t="s">
        <v>7678</v>
      </c>
      <c r="H3853" t="s">
        <v>7678</v>
      </c>
      <c r="I3853" t="s">
        <v>123</v>
      </c>
    </row>
    <row r="3854" spans="1:9" x14ac:dyDescent="0.25">
      <c r="A3854" s="1" t="str">
        <f>HYPERLINK("https://lynxcrm-apac--c.eu19.visual.force.com/0011i000001xnPEAAY","Peace Family Clinic")</f>
        <v>Peace Family Clinic</v>
      </c>
      <c r="B3854" t="s">
        <v>7679</v>
      </c>
      <c r="C3854" t="s">
        <v>10</v>
      </c>
      <c r="D3854" t="s">
        <v>8</v>
      </c>
      <c r="E3854" t="s">
        <v>8</v>
      </c>
      <c r="F3854" t="s">
        <v>7545</v>
      </c>
      <c r="G3854" t="s">
        <v>7546</v>
      </c>
      <c r="H3854" t="s">
        <v>7546</v>
      </c>
      <c r="I3854" t="s">
        <v>7547</v>
      </c>
    </row>
    <row r="3855" spans="1:9" x14ac:dyDescent="0.25">
      <c r="A3855" s="1" t="str">
        <f>HYPERLINK("https://lynxcrm-apac--c.eu19.visual.force.com/0011i000001xn6OAAQ","Peace Family Clinic &amp; Surgery")</f>
        <v>Peace Family Clinic &amp; Surgery</v>
      </c>
      <c r="B3855" t="s">
        <v>7680</v>
      </c>
      <c r="C3855" t="s">
        <v>10</v>
      </c>
      <c r="D3855" t="s">
        <v>8</v>
      </c>
      <c r="E3855" t="s">
        <v>8</v>
      </c>
      <c r="F3855" t="s">
        <v>2539</v>
      </c>
      <c r="G3855" t="s">
        <v>2540</v>
      </c>
      <c r="H3855" t="s">
        <v>2541</v>
      </c>
      <c r="I3855" t="s">
        <v>2542</v>
      </c>
    </row>
    <row r="3856" spans="1:9" x14ac:dyDescent="0.25">
      <c r="A3856" s="1" t="str">
        <f>HYPERLINK("https://lynxcrm-apac--c.eu19.visual.force.com/0011i000001xmq4AAA","Peace Family Clinic &amp; Surgery")</f>
        <v>Peace Family Clinic &amp; Surgery</v>
      </c>
      <c r="B3856" t="s">
        <v>7681</v>
      </c>
      <c r="C3856" t="s">
        <v>10</v>
      </c>
      <c r="D3856" t="s">
        <v>8</v>
      </c>
      <c r="E3856" t="s">
        <v>8</v>
      </c>
      <c r="F3856" t="s">
        <v>5281</v>
      </c>
      <c r="G3856" t="s">
        <v>1739</v>
      </c>
      <c r="H3856" t="s">
        <v>5282</v>
      </c>
      <c r="I3856" t="s">
        <v>1740</v>
      </c>
    </row>
    <row r="3857" spans="1:9" x14ac:dyDescent="0.25">
      <c r="A3857" s="1" t="str">
        <f>HYPERLINK("https://lynxcrm-apac--c.eu19.visual.force.com/0011i000001xnAoAAI","Peace Family Clinic &amp; Surgery")</f>
        <v>Peace Family Clinic &amp; Surgery</v>
      </c>
      <c r="B3857" t="s">
        <v>7682</v>
      </c>
      <c r="C3857" t="s">
        <v>10</v>
      </c>
      <c r="D3857" t="s">
        <v>8</v>
      </c>
      <c r="E3857" t="s">
        <v>8</v>
      </c>
      <c r="F3857" t="s">
        <v>1738</v>
      </c>
      <c r="G3857" t="s">
        <v>1739</v>
      </c>
      <c r="H3857" t="s">
        <v>1739</v>
      </c>
      <c r="I3857" t="s">
        <v>1740</v>
      </c>
    </row>
    <row r="3858" spans="1:9" x14ac:dyDescent="0.25">
      <c r="A3858" s="1" t="str">
        <f>HYPERLINK("https://lynxcrm-apac--c.eu19.visual.force.com/0011i000001xnNFAAY","Peace Family Clinic &amp; Surgery")</f>
        <v>Peace Family Clinic &amp; Surgery</v>
      </c>
      <c r="B3858" t="s">
        <v>7683</v>
      </c>
      <c r="C3858" t="s">
        <v>10</v>
      </c>
      <c r="D3858" t="s">
        <v>8</v>
      </c>
      <c r="E3858" t="s">
        <v>8</v>
      </c>
      <c r="F3858" t="s">
        <v>2539</v>
      </c>
      <c r="G3858" t="s">
        <v>2540</v>
      </c>
      <c r="H3858" t="s">
        <v>2541</v>
      </c>
      <c r="I3858" t="s">
        <v>2542</v>
      </c>
    </row>
    <row r="3859" spans="1:9" x14ac:dyDescent="0.25">
      <c r="A3859" s="1" t="str">
        <f>HYPERLINK("https://lynxcrm-apac--c.eu19.visual.force.com/0011i000001xn27AAA","Peace Family Clinic &amp; Surgery")</f>
        <v>Peace Family Clinic &amp; Surgery</v>
      </c>
      <c r="B3859" t="s">
        <v>7684</v>
      </c>
      <c r="C3859" t="s">
        <v>10</v>
      </c>
      <c r="D3859" t="s">
        <v>8</v>
      </c>
      <c r="E3859" t="s">
        <v>8</v>
      </c>
      <c r="F3859" t="s">
        <v>5281</v>
      </c>
      <c r="G3859" t="s">
        <v>1739</v>
      </c>
      <c r="H3859" t="s">
        <v>1739</v>
      </c>
      <c r="I3859" t="s">
        <v>1740</v>
      </c>
    </row>
    <row r="3860" spans="1:9" x14ac:dyDescent="0.25">
      <c r="A3860" s="1" t="str">
        <f>HYPERLINK("https://lynxcrm-apac--c.eu19.visual.force.com/0011i000001xmpdAAA","Peace Family Clinic &amp; Surgery")</f>
        <v>Peace Family Clinic &amp; Surgery</v>
      </c>
      <c r="B3860" t="s">
        <v>7685</v>
      </c>
      <c r="C3860" t="s">
        <v>10</v>
      </c>
      <c r="D3860" t="s">
        <v>8</v>
      </c>
      <c r="E3860" t="s">
        <v>8</v>
      </c>
      <c r="F3860" t="s">
        <v>6695</v>
      </c>
      <c r="G3860" t="s">
        <v>1739</v>
      </c>
      <c r="H3860" t="s">
        <v>1739</v>
      </c>
      <c r="I3860" t="s">
        <v>1740</v>
      </c>
    </row>
    <row r="3861" spans="1:9" x14ac:dyDescent="0.25">
      <c r="A3861" s="1" t="str">
        <f>HYPERLINK("https://lynxcrm-apac--c.eu19.visual.force.com/0011i000001xnp1AAA","Peh, Lai Huat Andrew")</f>
        <v>Peh, Lai Huat Andrew</v>
      </c>
      <c r="B3861" t="s">
        <v>7686</v>
      </c>
      <c r="C3861" t="s">
        <v>28</v>
      </c>
      <c r="D3861" t="s">
        <v>583</v>
      </c>
      <c r="E3861" t="s">
        <v>8</v>
      </c>
      <c r="F3861" t="s">
        <v>1400</v>
      </c>
      <c r="G3861" t="s">
        <v>584</v>
      </c>
      <c r="H3861" t="s">
        <v>1386</v>
      </c>
      <c r="I3861" t="s">
        <v>585</v>
      </c>
    </row>
    <row r="3862" spans="1:9" x14ac:dyDescent="0.25">
      <c r="A3862" s="1" t="str">
        <f>HYPERLINK("https://lynxcrm-apac--c.eu19.visual.force.com/0011i000001xoJMAAY","Peh, Oon Hui Sam")</f>
        <v>Peh, Oon Hui Sam</v>
      </c>
      <c r="B3862" t="s">
        <v>7687</v>
      </c>
      <c r="C3862" t="s">
        <v>28</v>
      </c>
      <c r="D3862" t="s">
        <v>1623</v>
      </c>
      <c r="E3862" t="s">
        <v>8</v>
      </c>
      <c r="F3862" t="s">
        <v>584</v>
      </c>
      <c r="G3862" t="s">
        <v>583</v>
      </c>
      <c r="H3862" t="s">
        <v>583</v>
      </c>
      <c r="I3862" t="s">
        <v>585</v>
      </c>
    </row>
    <row r="3863" spans="1:9" x14ac:dyDescent="0.25">
      <c r="A3863" s="1" t="str">
        <f>HYPERLINK("https://lynxcrm-apac--c.eu19.visual.force.com/0011i000001xoJMAAY","Peh, Oon Hui Sam")</f>
        <v>Peh, Oon Hui Sam</v>
      </c>
      <c r="B3863" t="s">
        <v>7687</v>
      </c>
      <c r="C3863" t="s">
        <v>28</v>
      </c>
      <c r="D3863" t="s">
        <v>583</v>
      </c>
      <c r="E3863" t="s">
        <v>8</v>
      </c>
      <c r="F3863" t="s">
        <v>583</v>
      </c>
      <c r="G3863" t="s">
        <v>584</v>
      </c>
      <c r="H3863" t="s">
        <v>584</v>
      </c>
      <c r="I3863" t="s">
        <v>585</v>
      </c>
    </row>
    <row r="3864" spans="1:9" x14ac:dyDescent="0.25">
      <c r="A3864" s="1" t="str">
        <f>HYPERLINK("https://lynxcrm-apac--c.eu19.visual.force.com/0011i000001xoEAAAY","Peh, Tan Ying")</f>
        <v>Peh, Tan Ying</v>
      </c>
      <c r="B3864" t="s">
        <v>7688</v>
      </c>
      <c r="C3864" t="s">
        <v>28</v>
      </c>
      <c r="D3864" t="s">
        <v>545</v>
      </c>
      <c r="E3864" t="s">
        <v>8</v>
      </c>
      <c r="F3864" t="s">
        <v>844</v>
      </c>
      <c r="G3864" t="s">
        <v>845</v>
      </c>
      <c r="H3864" t="s">
        <v>846</v>
      </c>
      <c r="I3864" t="s">
        <v>847</v>
      </c>
    </row>
    <row r="3865" spans="1:9" x14ac:dyDescent="0.25">
      <c r="A3865" s="1" t="str">
        <f>HYPERLINK("https://lynxcrm-apac--c.eu19.visual.force.com/0011i000001xo0YAAQ","Pei, Sze Priscilla Chaim")</f>
        <v>Pei, Sze Priscilla Chaim</v>
      </c>
      <c r="B3865" t="s">
        <v>7689</v>
      </c>
      <c r="C3865" t="s">
        <v>28</v>
      </c>
      <c r="D3865" t="s">
        <v>1486</v>
      </c>
      <c r="E3865" t="s">
        <v>8</v>
      </c>
      <c r="F3865" t="s">
        <v>1486</v>
      </c>
      <c r="G3865" t="s">
        <v>1487</v>
      </c>
      <c r="H3865" t="s">
        <v>1487</v>
      </c>
      <c r="I3865" t="s">
        <v>1488</v>
      </c>
    </row>
    <row r="3866" spans="1:9" x14ac:dyDescent="0.25">
      <c r="A3866" s="1" t="str">
        <f>HYPERLINK("https://lynxcrm-apac--c.eu19.visual.force.com/0011i000001xoA4AAI","Pek, Wee Yang")</f>
        <v>Pek, Wee Yang</v>
      </c>
      <c r="B3866" t="s">
        <v>7690</v>
      </c>
      <c r="C3866" t="s">
        <v>28</v>
      </c>
      <c r="D3866" t="s">
        <v>261</v>
      </c>
      <c r="E3866" t="s">
        <v>8</v>
      </c>
      <c r="F3866" t="s">
        <v>261</v>
      </c>
      <c r="G3866" t="s">
        <v>347</v>
      </c>
      <c r="H3866" t="s">
        <v>347</v>
      </c>
      <c r="I3866" t="s">
        <v>260</v>
      </c>
    </row>
    <row r="3867" spans="1:9" x14ac:dyDescent="0.25">
      <c r="A3867" s="1" t="str">
        <f>HYPERLINK("https://lynxcrm-apac--c.eu19.visual.force.com/0011i000001xoA4AAI","Pek, Wee Yang")</f>
        <v>Pek, Wee Yang</v>
      </c>
      <c r="B3867" t="s">
        <v>7690</v>
      </c>
      <c r="C3867" t="s">
        <v>28</v>
      </c>
      <c r="D3867" t="s">
        <v>261</v>
      </c>
      <c r="E3867" t="s">
        <v>8</v>
      </c>
      <c r="F3867" t="s">
        <v>239</v>
      </c>
      <c r="G3867" t="s">
        <v>258</v>
      </c>
      <c r="H3867" t="s">
        <v>259</v>
      </c>
      <c r="I3867" t="s">
        <v>260</v>
      </c>
    </row>
    <row r="3868" spans="1:9" x14ac:dyDescent="0.25">
      <c r="A3868" s="1" t="str">
        <f>HYPERLINK("https://lynxcrm-apac--c.eu19.visual.force.com/0011i000001xoOmAAI","Peng, Chan Wearn Benedict")</f>
        <v>Peng, Chan Wearn Benedict</v>
      </c>
      <c r="B3868" t="s">
        <v>7691</v>
      </c>
      <c r="C3868" t="s">
        <v>28</v>
      </c>
      <c r="D3868" t="s">
        <v>2061</v>
      </c>
      <c r="E3868" t="s">
        <v>8</v>
      </c>
      <c r="F3868" t="s">
        <v>69</v>
      </c>
      <c r="G3868" t="s">
        <v>2062</v>
      </c>
      <c r="H3868" t="s">
        <v>2063</v>
      </c>
      <c r="I3868" t="s">
        <v>67</v>
      </c>
    </row>
    <row r="3869" spans="1:9" x14ac:dyDescent="0.25">
      <c r="A3869" s="1" t="str">
        <f>HYPERLINK("https://lynxcrm-apac--c.eu19.visual.force.com/0011i000001xoZ2AAI","Peng, Xiao Hui")</f>
        <v>Peng, Xiao Hui</v>
      </c>
      <c r="B3869" t="s">
        <v>7692</v>
      </c>
      <c r="C3869" t="s">
        <v>28</v>
      </c>
      <c r="D3869" t="s">
        <v>7693</v>
      </c>
      <c r="E3869" t="s">
        <v>8</v>
      </c>
      <c r="F3869" t="s">
        <v>252</v>
      </c>
      <c r="G3869" t="s">
        <v>251</v>
      </c>
      <c r="H3869" t="s">
        <v>251</v>
      </c>
      <c r="I3869" t="s">
        <v>253</v>
      </c>
    </row>
    <row r="3870" spans="1:9" x14ac:dyDescent="0.25">
      <c r="A3870" s="1" t="str">
        <f>HYPERLINK("https://lynxcrm-apac--c.eu19.visual.force.com/0011i000001xoZ2AAI","Peng, Xiao Hui")</f>
        <v>Peng, Xiao Hui</v>
      </c>
      <c r="B3870" t="s">
        <v>7692</v>
      </c>
      <c r="C3870" t="s">
        <v>28</v>
      </c>
      <c r="D3870" t="s">
        <v>251</v>
      </c>
      <c r="E3870" t="s">
        <v>8</v>
      </c>
      <c r="F3870" t="s">
        <v>251</v>
      </c>
      <c r="G3870" t="s">
        <v>252</v>
      </c>
      <c r="H3870" t="s">
        <v>252</v>
      </c>
      <c r="I3870" t="s">
        <v>253</v>
      </c>
    </row>
    <row r="3871" spans="1:9" x14ac:dyDescent="0.25">
      <c r="A3871" s="1" t="str">
        <f>HYPERLINK("https://lynxcrm-apac--c.eu19.visual.force.com/0011i000001xo5FAAQ","Perera, Inez Sujatha")</f>
        <v>Perera, Inez Sujatha</v>
      </c>
      <c r="B3871" t="s">
        <v>7694</v>
      </c>
      <c r="C3871" t="s">
        <v>28</v>
      </c>
      <c r="D3871" t="s">
        <v>7695</v>
      </c>
      <c r="E3871" t="s">
        <v>8</v>
      </c>
      <c r="F3871" t="s">
        <v>4469</v>
      </c>
      <c r="G3871" t="s">
        <v>4470</v>
      </c>
      <c r="H3871" t="s">
        <v>4470</v>
      </c>
      <c r="I3871" t="s">
        <v>4471</v>
      </c>
    </row>
    <row r="3872" spans="1:9" x14ac:dyDescent="0.25">
      <c r="A3872" s="1" t="str">
        <f>HYPERLINK("https://lynxcrm-apac--c.eu19.visual.force.com/0011i000001xmsHAAQ","Peter Chew Clinic For Women")</f>
        <v>Peter Chew Clinic For Women</v>
      </c>
      <c r="B3872" t="s">
        <v>7696</v>
      </c>
      <c r="C3872" t="s">
        <v>10</v>
      </c>
      <c r="D3872" t="s">
        <v>8</v>
      </c>
      <c r="E3872" t="s">
        <v>8</v>
      </c>
      <c r="F3872" t="s">
        <v>69</v>
      </c>
      <c r="G3872" t="s">
        <v>7697</v>
      </c>
      <c r="H3872" t="s">
        <v>7698</v>
      </c>
      <c r="I3872" t="s">
        <v>67</v>
      </c>
    </row>
    <row r="3873" spans="1:9" x14ac:dyDescent="0.25">
      <c r="A3873" s="1" t="str">
        <f>HYPERLINK("https://lynxcrm-apac--c.eu19.visual.force.com/0011i000001xnUvAAI","Peter Eng Endocrine Clinic")</f>
        <v>Peter Eng Endocrine Clinic</v>
      </c>
      <c r="B3873" t="s">
        <v>7699</v>
      </c>
      <c r="C3873" t="s">
        <v>10</v>
      </c>
      <c r="D3873" t="s">
        <v>8</v>
      </c>
      <c r="E3873" t="s">
        <v>8</v>
      </c>
      <c r="F3873" t="s">
        <v>387</v>
      </c>
      <c r="G3873" t="s">
        <v>388</v>
      </c>
      <c r="H3873" t="s">
        <v>388</v>
      </c>
      <c r="I3873" t="s">
        <v>123</v>
      </c>
    </row>
    <row r="3874" spans="1:9" x14ac:dyDescent="0.25">
      <c r="A3874" s="1" t="str">
        <f>HYPERLINK("https://lynxcrm-apac--c.eu19.visual.force.com/0011i000001xmy2AAA","Peter Yan Cardiology Clinic")</f>
        <v>Peter Yan Cardiology Clinic</v>
      </c>
      <c r="B3874" t="s">
        <v>7700</v>
      </c>
      <c r="C3874" t="s">
        <v>10</v>
      </c>
      <c r="D3874" t="s">
        <v>8</v>
      </c>
      <c r="E3874" t="s">
        <v>8</v>
      </c>
      <c r="F3874" t="s">
        <v>872</v>
      </c>
      <c r="G3874" t="s">
        <v>7701</v>
      </c>
      <c r="H3874" t="s">
        <v>7702</v>
      </c>
      <c r="I3874" t="s">
        <v>67</v>
      </c>
    </row>
    <row r="3875" spans="1:9" x14ac:dyDescent="0.25">
      <c r="A3875" s="1" t="str">
        <f>HYPERLINK("https://lynxcrm-apac--c.eu19.visual.force.com/0011i000001xnp2AAA","Phan, Oi Peng")</f>
        <v>Phan, Oi Peng</v>
      </c>
      <c r="B3875" t="s">
        <v>7703</v>
      </c>
      <c r="C3875" t="s">
        <v>28</v>
      </c>
      <c r="D3875" t="s">
        <v>7704</v>
      </c>
      <c r="E3875" t="s">
        <v>8</v>
      </c>
      <c r="F3875" t="s">
        <v>7705</v>
      </c>
      <c r="G3875" t="s">
        <v>7706</v>
      </c>
      <c r="H3875" t="s">
        <v>7707</v>
      </c>
      <c r="I3875" t="s">
        <v>7708</v>
      </c>
    </row>
    <row r="3876" spans="1:9" x14ac:dyDescent="0.25">
      <c r="A3876" s="1" t="str">
        <f>HYPERLINK("https://lynxcrm-apac--c.eu19.visual.force.com/0011i000001xoH9AAI","Phang, Domique")</f>
        <v>Phang, Domique</v>
      </c>
      <c r="B3876" t="s">
        <v>7709</v>
      </c>
      <c r="C3876" t="s">
        <v>28</v>
      </c>
      <c r="D3876" t="s">
        <v>1661</v>
      </c>
      <c r="E3876" t="s">
        <v>8</v>
      </c>
      <c r="F3876" t="s">
        <v>627</v>
      </c>
      <c r="G3876" t="s">
        <v>628</v>
      </c>
      <c r="H3876" t="s">
        <v>628</v>
      </c>
      <c r="I3876" t="s">
        <v>624</v>
      </c>
    </row>
    <row r="3877" spans="1:9" x14ac:dyDescent="0.25">
      <c r="A3877" s="1" t="str">
        <f>HYPERLINK("https://lynxcrm-apac--c.eu19.visual.force.com/0011i000001xoLjAAI","Phang, Kwang Min")</f>
        <v>Phang, Kwang Min</v>
      </c>
      <c r="B3877" t="s">
        <v>7710</v>
      </c>
      <c r="C3877" t="s">
        <v>28</v>
      </c>
      <c r="D3877" t="s">
        <v>7711</v>
      </c>
      <c r="E3877" t="s">
        <v>8</v>
      </c>
      <c r="F3877" t="s">
        <v>3105</v>
      </c>
      <c r="G3877" t="s">
        <v>833</v>
      </c>
      <c r="H3877" t="s">
        <v>3106</v>
      </c>
      <c r="I3877" t="s">
        <v>1350</v>
      </c>
    </row>
    <row r="3878" spans="1:9" x14ac:dyDescent="0.25">
      <c r="A3878" s="1" t="str">
        <f>HYPERLINK("https://lynxcrm-apac--c.eu19.visual.force.com/0011i000001xniDAAQ","Pharmacist")</f>
        <v>Pharmacist</v>
      </c>
      <c r="B3878" t="s">
        <v>7712</v>
      </c>
      <c r="C3878" t="s">
        <v>28</v>
      </c>
      <c r="D3878" t="s">
        <v>7713</v>
      </c>
      <c r="E3878" t="s">
        <v>8</v>
      </c>
      <c r="F3878" t="s">
        <v>7714</v>
      </c>
      <c r="G3878" t="s">
        <v>7715</v>
      </c>
      <c r="H3878" t="s">
        <v>7715</v>
      </c>
      <c r="I3878" t="s">
        <v>817</v>
      </c>
    </row>
    <row r="3879" spans="1:9" x14ac:dyDescent="0.25">
      <c r="A3879" s="1" t="str">
        <f>HYPERLINK("https://lynxcrm-apac--c.eu19.visual.force.com/0011i000001xnCfAAI","Pharmacist-in-charge")</f>
        <v>Pharmacist-in-charge</v>
      </c>
      <c r="B3879" t="s">
        <v>7716</v>
      </c>
      <c r="C3879" t="s">
        <v>28</v>
      </c>
      <c r="D3879" t="s">
        <v>8</v>
      </c>
      <c r="E3879" t="s">
        <v>8</v>
      </c>
      <c r="F3879" t="s">
        <v>7717</v>
      </c>
      <c r="G3879" t="s">
        <v>7718</v>
      </c>
      <c r="H3879" t="s">
        <v>7719</v>
      </c>
      <c r="I3879" t="s">
        <v>7720</v>
      </c>
    </row>
    <row r="3880" spans="1:9" x14ac:dyDescent="0.25">
      <c r="A3880" s="1" t="str">
        <f>HYPERLINK("https://lynxcrm-apac--c.eu19.visual.force.com/0011i000001xn6XAAQ","Pharmacist Technician")</f>
        <v>Pharmacist Technician</v>
      </c>
      <c r="B3880" t="s">
        <v>7721</v>
      </c>
      <c r="C3880" t="s">
        <v>10</v>
      </c>
      <c r="D3880" t="s">
        <v>8</v>
      </c>
      <c r="E3880" t="s">
        <v>8</v>
      </c>
      <c r="F3880" t="s">
        <v>452</v>
      </c>
      <c r="G3880" t="s">
        <v>449</v>
      </c>
      <c r="H3880" t="s">
        <v>449</v>
      </c>
      <c r="I3880" t="s">
        <v>454</v>
      </c>
    </row>
    <row r="3881" spans="1:9" x14ac:dyDescent="0.25">
      <c r="A3881" s="1" t="str">
        <f>HYPERLINK("https://lynxcrm-apac--c.eu19.visual.force.com/0011i000001xom3AAA","Pharmacy, Unity - Seletar Mall")</f>
        <v>Pharmacy, Unity - Seletar Mall</v>
      </c>
      <c r="B3881" t="s">
        <v>7722</v>
      </c>
      <c r="C3881" t="s">
        <v>28</v>
      </c>
      <c r="D3881" t="s">
        <v>7723</v>
      </c>
      <c r="E3881" t="s">
        <v>8</v>
      </c>
      <c r="F3881" t="s">
        <v>7723</v>
      </c>
      <c r="G3881" t="s">
        <v>7724</v>
      </c>
      <c r="H3881" t="s">
        <v>7724</v>
      </c>
      <c r="I3881" t="s">
        <v>7725</v>
      </c>
    </row>
    <row r="3882" spans="1:9" x14ac:dyDescent="0.25">
      <c r="A3882" s="1" t="str">
        <f>HYPERLINK("https://lynxcrm-apac--c.eu19.visual.force.com/0011i000001xoUeAAI","Pharmacy, Unity - Tanglin Mall")</f>
        <v>Pharmacy, Unity - Tanglin Mall</v>
      </c>
      <c r="B3882" t="s">
        <v>7726</v>
      </c>
      <c r="C3882" t="s">
        <v>28</v>
      </c>
      <c r="D3882" t="s">
        <v>7727</v>
      </c>
      <c r="E3882" t="s">
        <v>8</v>
      </c>
      <c r="F3882" t="s">
        <v>3477</v>
      </c>
      <c r="G3882" t="s">
        <v>7728</v>
      </c>
      <c r="H3882" t="s">
        <v>7728</v>
      </c>
      <c r="I3882" t="s">
        <v>3480</v>
      </c>
    </row>
    <row r="3883" spans="1:9" x14ac:dyDescent="0.25">
      <c r="A3883" s="1" t="str">
        <f>HYPERLINK("https://lynxcrm-apac--c.eu19.visual.force.com/0011i000001xolxAAA","Pharmacy - 112 Katong, Guardian")</f>
        <v>Pharmacy - 112 Katong, Guardian</v>
      </c>
      <c r="B3883" t="s">
        <v>7729</v>
      </c>
      <c r="C3883" t="s">
        <v>28</v>
      </c>
      <c r="D3883" t="s">
        <v>7730</v>
      </c>
      <c r="E3883" t="s">
        <v>8</v>
      </c>
      <c r="F3883" t="s">
        <v>7731</v>
      </c>
      <c r="G3883" t="s">
        <v>7732</v>
      </c>
      <c r="H3883" t="s">
        <v>7732</v>
      </c>
      <c r="I3883" t="s">
        <v>7733</v>
      </c>
    </row>
    <row r="3884" spans="1:9" x14ac:dyDescent="0.25">
      <c r="A3884" s="1" t="str">
        <f>HYPERLINK("https://lynxcrm-apac--c.eu19.visual.force.com/0011i000001xo8VAAQ","Pharmacy - 313, Guardian")</f>
        <v>Pharmacy - 313, Guardian</v>
      </c>
      <c r="B3884" t="s">
        <v>7734</v>
      </c>
      <c r="C3884" t="s">
        <v>28</v>
      </c>
      <c r="D3884" t="s">
        <v>3688</v>
      </c>
      <c r="E3884" t="s">
        <v>8</v>
      </c>
      <c r="F3884" t="s">
        <v>3688</v>
      </c>
      <c r="G3884" t="s">
        <v>3689</v>
      </c>
      <c r="H3884" t="s">
        <v>3689</v>
      </c>
      <c r="I3884" t="s">
        <v>3690</v>
      </c>
    </row>
    <row r="3885" spans="1:9" x14ac:dyDescent="0.25">
      <c r="A3885" s="1" t="str">
        <f>HYPERLINK("https://lynxcrm-apac--c.eu19.visual.force.com/0011i000001xomKAAQ","Pharmacy - Bugis, Guardian")</f>
        <v>Pharmacy - Bugis, Guardian</v>
      </c>
      <c r="B3885" t="s">
        <v>7735</v>
      </c>
      <c r="C3885" t="s">
        <v>28</v>
      </c>
      <c r="D3885" t="s">
        <v>7736</v>
      </c>
      <c r="E3885" t="s">
        <v>8</v>
      </c>
      <c r="F3885" t="s">
        <v>7736</v>
      </c>
      <c r="G3885" t="s">
        <v>7737</v>
      </c>
      <c r="H3885" t="s">
        <v>7737</v>
      </c>
      <c r="I3885" t="s">
        <v>3705</v>
      </c>
    </row>
    <row r="3886" spans="1:9" x14ac:dyDescent="0.25">
      <c r="A3886" s="1" t="str">
        <f>HYPERLINK("https://lynxcrm-apac--c.eu19.visual.force.com/0011i000001xoUMAAY","Pharmacy - Bukit Panjang Plaza, Unity")</f>
        <v>Pharmacy - Bukit Panjang Plaza, Unity</v>
      </c>
      <c r="B3886" t="s">
        <v>7738</v>
      </c>
      <c r="C3886" t="s">
        <v>28</v>
      </c>
      <c r="D3886" t="s">
        <v>7739</v>
      </c>
      <c r="E3886" t="s">
        <v>8</v>
      </c>
      <c r="F3886" t="s">
        <v>7739</v>
      </c>
      <c r="G3886" t="s">
        <v>7740</v>
      </c>
      <c r="H3886" t="s">
        <v>7740</v>
      </c>
      <c r="I3886" t="s">
        <v>7741</v>
      </c>
    </row>
    <row r="3887" spans="1:9" x14ac:dyDescent="0.25">
      <c r="A3887" s="1" t="str">
        <f>HYPERLINK("https://lynxcrm-apac--c.eu19.visual.force.com/0011i000001xoTWAAY","Pharmacy - Centerpoint, Guardian")</f>
        <v>Pharmacy - Centerpoint, Guardian</v>
      </c>
      <c r="B3887" t="s">
        <v>7742</v>
      </c>
      <c r="C3887" t="s">
        <v>28</v>
      </c>
      <c r="D3887" t="s">
        <v>7743</v>
      </c>
      <c r="E3887" t="s">
        <v>8</v>
      </c>
      <c r="F3887" t="s">
        <v>3710</v>
      </c>
      <c r="G3887" t="s">
        <v>3711</v>
      </c>
      <c r="H3887" t="s">
        <v>3711</v>
      </c>
      <c r="I3887" t="s">
        <v>3712</v>
      </c>
    </row>
    <row r="3888" spans="1:9" x14ac:dyDescent="0.25">
      <c r="A3888" s="1" t="str">
        <f>HYPERLINK("https://lynxcrm-apac--c.eu19.visual.force.com/0011i000001xo96AAA","Pharmacy - Centerpoint, Watson")</f>
        <v>Pharmacy - Centerpoint, Watson</v>
      </c>
      <c r="B3888" t="s">
        <v>7744</v>
      </c>
      <c r="C3888" t="s">
        <v>28</v>
      </c>
      <c r="D3888" t="s">
        <v>7745</v>
      </c>
      <c r="E3888" t="s">
        <v>8</v>
      </c>
      <c r="F3888" t="s">
        <v>7745</v>
      </c>
      <c r="G3888" t="s">
        <v>7746</v>
      </c>
      <c r="H3888" t="s">
        <v>7746</v>
      </c>
      <c r="I3888" t="s">
        <v>3712</v>
      </c>
    </row>
    <row r="3889" spans="1:9" x14ac:dyDescent="0.25">
      <c r="A3889" s="1" t="str">
        <f>HYPERLINK("https://lynxcrm-apac--c.eu19.visual.force.com/0011i000001xohkAAA","Pharmacy - Century Mall, Guardian")</f>
        <v>Pharmacy - Century Mall, Guardian</v>
      </c>
      <c r="B3889" t="s">
        <v>7747</v>
      </c>
      <c r="C3889" t="s">
        <v>28</v>
      </c>
      <c r="D3889" t="s">
        <v>7748</v>
      </c>
      <c r="E3889" t="s">
        <v>8</v>
      </c>
      <c r="F3889" t="s">
        <v>7748</v>
      </c>
      <c r="G3889" t="s">
        <v>7749</v>
      </c>
      <c r="H3889" t="s">
        <v>7749</v>
      </c>
      <c r="I3889" t="s">
        <v>7750</v>
      </c>
    </row>
    <row r="3890" spans="1:9" x14ac:dyDescent="0.25">
      <c r="A3890" s="1" t="str">
        <f>HYPERLINK("https://lynxcrm-apac--c.eu19.visual.force.com/0011i000001xo81AAA","Pharmacy - Chinatown Point, Guardian")</f>
        <v>Pharmacy - Chinatown Point, Guardian</v>
      </c>
      <c r="B3890" t="s">
        <v>7751</v>
      </c>
      <c r="C3890" t="s">
        <v>28</v>
      </c>
      <c r="D3890" t="s">
        <v>7752</v>
      </c>
      <c r="E3890" t="s">
        <v>8</v>
      </c>
      <c r="F3890" t="s">
        <v>7753</v>
      </c>
      <c r="G3890" t="s">
        <v>7754</v>
      </c>
      <c r="H3890" t="s">
        <v>7754</v>
      </c>
      <c r="I3890" t="s">
        <v>3188</v>
      </c>
    </row>
    <row r="3891" spans="1:9" x14ac:dyDescent="0.25">
      <c r="A3891" s="1" t="str">
        <f>HYPERLINK("https://lynxcrm-apac--c.eu19.visual.force.com/0011i000001xob8AAA","Pharmacy - Citi Link Mall, Guardian")</f>
        <v>Pharmacy - Citi Link Mall, Guardian</v>
      </c>
      <c r="B3891" t="s">
        <v>7755</v>
      </c>
      <c r="C3891" t="s">
        <v>28</v>
      </c>
      <c r="D3891" t="s">
        <v>3714</v>
      </c>
      <c r="E3891" t="s">
        <v>8</v>
      </c>
      <c r="F3891" t="s">
        <v>3714</v>
      </c>
      <c r="G3891" t="s">
        <v>3715</v>
      </c>
      <c r="H3891" t="s">
        <v>3715</v>
      </c>
      <c r="I3891" t="s">
        <v>3716</v>
      </c>
    </row>
    <row r="3892" spans="1:9" x14ac:dyDescent="0.25">
      <c r="A3892" s="1" t="str">
        <f>HYPERLINK("https://lynxcrm-apac--c.eu19.visual.force.com/0011i000001xomGAAQ","Pharmacy - City Square, Guardian")</f>
        <v>Pharmacy - City Square, Guardian</v>
      </c>
      <c r="B3892" t="s">
        <v>7756</v>
      </c>
      <c r="C3892" t="s">
        <v>28</v>
      </c>
      <c r="D3892" t="s">
        <v>7757</v>
      </c>
      <c r="E3892" t="s">
        <v>8</v>
      </c>
      <c r="F3892" t="s">
        <v>7757</v>
      </c>
      <c r="G3892" t="s">
        <v>7758</v>
      </c>
      <c r="H3892" t="s">
        <v>7758</v>
      </c>
      <c r="I3892" t="s">
        <v>7759</v>
      </c>
    </row>
    <row r="3893" spans="1:9" x14ac:dyDescent="0.25">
      <c r="A3893" s="1" t="str">
        <f>HYPERLINK("https://lynxcrm-apac--c.eu19.visual.force.com/0011i000001xo9cAAA","Pharmacy - Clementi Mall, Unity")</f>
        <v>Pharmacy - Clementi Mall, Unity</v>
      </c>
      <c r="B3893" t="s">
        <v>7760</v>
      </c>
      <c r="C3893" t="s">
        <v>28</v>
      </c>
      <c r="D3893" t="s">
        <v>7761</v>
      </c>
      <c r="E3893" t="s">
        <v>8</v>
      </c>
      <c r="F3893" t="s">
        <v>7761</v>
      </c>
      <c r="G3893" t="s">
        <v>7762</v>
      </c>
      <c r="H3893" t="s">
        <v>7762</v>
      </c>
      <c r="I3893" t="s">
        <v>7763</v>
      </c>
    </row>
    <row r="3894" spans="1:9" x14ac:dyDescent="0.25">
      <c r="A3894" s="1" t="str">
        <f>HYPERLINK("https://lynxcrm-apac--c.eu19.visual.force.com/0011i000001xnNOAAY","Pharmacy Department")</f>
        <v>Pharmacy Department</v>
      </c>
      <c r="B3894" t="s">
        <v>7764</v>
      </c>
      <c r="C3894" t="s">
        <v>10</v>
      </c>
      <c r="D3894" t="s">
        <v>8</v>
      </c>
      <c r="E3894" t="s">
        <v>8</v>
      </c>
      <c r="F3894" t="s">
        <v>6362</v>
      </c>
      <c r="G3894" t="s">
        <v>6363</v>
      </c>
      <c r="H3894" t="s">
        <v>6363</v>
      </c>
      <c r="I3894" t="s">
        <v>260</v>
      </c>
    </row>
    <row r="3895" spans="1:9" x14ac:dyDescent="0.25">
      <c r="A3895" s="1" t="str">
        <f>HYPERLINK("https://lynxcrm-apac--c.eu19.visual.force.com/0011i000001xnTEAAY","Pharmacy Department")</f>
        <v>Pharmacy Department</v>
      </c>
      <c r="B3895" t="s">
        <v>7765</v>
      </c>
      <c r="C3895" t="s">
        <v>10</v>
      </c>
      <c r="D3895" t="s">
        <v>8</v>
      </c>
      <c r="E3895" t="s">
        <v>8</v>
      </c>
      <c r="F3895" t="s">
        <v>258</v>
      </c>
      <c r="G3895" t="s">
        <v>261</v>
      </c>
      <c r="H3895" t="s">
        <v>261</v>
      </c>
      <c r="I3895" t="s">
        <v>260</v>
      </c>
    </row>
    <row r="3896" spans="1:9" x14ac:dyDescent="0.25">
      <c r="A3896" s="1" t="str">
        <f>HYPERLINK("https://lynxcrm-apac--c.eu19.visual.force.com/0011i000001xnNPAAY","Pharmacy Department")</f>
        <v>Pharmacy Department</v>
      </c>
      <c r="B3896" t="s">
        <v>7766</v>
      </c>
      <c r="C3896" t="s">
        <v>10</v>
      </c>
      <c r="D3896" t="s">
        <v>8</v>
      </c>
      <c r="E3896" t="s">
        <v>8</v>
      </c>
      <c r="F3896" t="s">
        <v>487</v>
      </c>
      <c r="G3896" t="s">
        <v>486</v>
      </c>
      <c r="H3896" t="s">
        <v>486</v>
      </c>
      <c r="I3896" t="s">
        <v>488</v>
      </c>
    </row>
    <row r="3897" spans="1:9" x14ac:dyDescent="0.25">
      <c r="A3897" s="1" t="str">
        <f>HYPERLINK("https://lynxcrm-apac--c.eu19.visual.force.com/0011i000001xn1TAAQ","Pharmacy Department")</f>
        <v>Pharmacy Department</v>
      </c>
      <c r="B3897" t="s">
        <v>7767</v>
      </c>
      <c r="C3897" t="s">
        <v>10</v>
      </c>
      <c r="D3897" t="s">
        <v>8</v>
      </c>
      <c r="E3897" t="s">
        <v>8</v>
      </c>
      <c r="F3897" t="s">
        <v>7768</v>
      </c>
      <c r="G3897" t="s">
        <v>449</v>
      </c>
      <c r="H3897" t="s">
        <v>449</v>
      </c>
      <c r="I3897" t="s">
        <v>454</v>
      </c>
    </row>
    <row r="3898" spans="1:9" x14ac:dyDescent="0.25">
      <c r="A3898" s="1" t="str">
        <f>HYPERLINK("https://lynxcrm-apac--c.eu19.visual.force.com/0011i000001xn1WAAQ","Pharmacy Department")</f>
        <v>Pharmacy Department</v>
      </c>
      <c r="B3898" t="s">
        <v>7769</v>
      </c>
      <c r="C3898" t="s">
        <v>10</v>
      </c>
      <c r="D3898" t="s">
        <v>8</v>
      </c>
      <c r="E3898" t="s">
        <v>8</v>
      </c>
      <c r="F3898" t="s">
        <v>449</v>
      </c>
      <c r="G3898" t="s">
        <v>4452</v>
      </c>
      <c r="H3898" t="s">
        <v>4452</v>
      </c>
      <c r="I3898" t="s">
        <v>454</v>
      </c>
    </row>
    <row r="3899" spans="1:9" x14ac:dyDescent="0.25">
      <c r="A3899" s="1" t="str">
        <f>HYPERLINK("https://lynxcrm-apac--c.eu19.visual.force.com/0011i000001xnBHAAY","Pharmacy Department")</f>
        <v>Pharmacy Department</v>
      </c>
      <c r="B3899" t="s">
        <v>7770</v>
      </c>
      <c r="C3899" t="s">
        <v>10</v>
      </c>
      <c r="D3899" t="s">
        <v>8</v>
      </c>
      <c r="E3899" t="s">
        <v>8</v>
      </c>
      <c r="F3899" t="s">
        <v>429</v>
      </c>
      <c r="G3899" t="s">
        <v>428</v>
      </c>
      <c r="H3899" t="s">
        <v>428</v>
      </c>
      <c r="I3899" t="s">
        <v>430</v>
      </c>
    </row>
    <row r="3900" spans="1:9" x14ac:dyDescent="0.25">
      <c r="A3900" s="1" t="str">
        <f>HYPERLINK("https://lynxcrm-apac--c.eu19.visual.force.com/0011i000001xnRRAAY","Pharmacy Department")</f>
        <v>Pharmacy Department</v>
      </c>
      <c r="B3900" t="s">
        <v>7771</v>
      </c>
      <c r="C3900" t="s">
        <v>10</v>
      </c>
      <c r="D3900" t="s">
        <v>8</v>
      </c>
      <c r="E3900" t="s">
        <v>8</v>
      </c>
      <c r="F3900" t="s">
        <v>487</v>
      </c>
      <c r="G3900" t="s">
        <v>486</v>
      </c>
      <c r="H3900" t="s">
        <v>486</v>
      </c>
      <c r="I3900" t="s">
        <v>488</v>
      </c>
    </row>
    <row r="3901" spans="1:9" x14ac:dyDescent="0.25">
      <c r="A3901" s="1" t="str">
        <f>HYPERLINK("https://lynxcrm-apac--c.eu19.visual.force.com/0011i000001xo0GAAQ","Pharmacy - GMC, Guardian")</f>
        <v>Pharmacy - GMC, Guardian</v>
      </c>
      <c r="B3901" t="s">
        <v>7772</v>
      </c>
      <c r="C3901" t="s">
        <v>28</v>
      </c>
      <c r="D3901" t="s">
        <v>7773</v>
      </c>
      <c r="E3901" t="s">
        <v>8</v>
      </c>
      <c r="F3901" t="s">
        <v>3726</v>
      </c>
      <c r="G3901" t="s">
        <v>65</v>
      </c>
      <c r="H3901" t="s">
        <v>65</v>
      </c>
      <c r="I3901" t="s">
        <v>466</v>
      </c>
    </row>
    <row r="3902" spans="1:9" x14ac:dyDescent="0.25">
      <c r="A3902" s="1" t="str">
        <f>HYPERLINK("https://lynxcrm-apac--c.eu19.visual.force.com/0011i000001xoThAAI","Pharmacy - Great World City, Guardian")</f>
        <v>Pharmacy - Great World City, Guardian</v>
      </c>
      <c r="B3902" t="s">
        <v>7774</v>
      </c>
      <c r="C3902" t="s">
        <v>28</v>
      </c>
      <c r="D3902" t="s">
        <v>3728</v>
      </c>
      <c r="E3902" t="s">
        <v>8</v>
      </c>
      <c r="F3902" t="s">
        <v>3728</v>
      </c>
      <c r="G3902" t="s">
        <v>3729</v>
      </c>
      <c r="H3902" t="s">
        <v>3729</v>
      </c>
      <c r="I3902" t="s">
        <v>3730</v>
      </c>
    </row>
    <row r="3903" spans="1:9" x14ac:dyDescent="0.25">
      <c r="A3903" s="1" t="str">
        <f>HYPERLINK("https://lynxcrm-apac--c.eu19.visual.force.com/0011i000001xoURAAY","Pharmacy - Great World City, Unity")</f>
        <v>Pharmacy - Great World City, Unity</v>
      </c>
      <c r="B3903" t="s">
        <v>7775</v>
      </c>
      <c r="C3903" t="s">
        <v>28</v>
      </c>
      <c r="D3903" t="s">
        <v>7776</v>
      </c>
      <c r="E3903" t="s">
        <v>8</v>
      </c>
      <c r="F3903" t="s">
        <v>7776</v>
      </c>
      <c r="G3903" t="s">
        <v>7777</v>
      </c>
      <c r="H3903" t="s">
        <v>7777</v>
      </c>
      <c r="I3903" t="s">
        <v>3730</v>
      </c>
    </row>
    <row r="3904" spans="1:9" x14ac:dyDescent="0.25">
      <c r="A3904" s="1" t="str">
        <f>HYPERLINK("https://lynxcrm-apac--c.eu19.visual.force.com/0011i000001xnytAAA","Pharmacy - Harbourfront Center, Unity")</f>
        <v>Pharmacy - Harbourfront Center, Unity</v>
      </c>
      <c r="B3904" t="s">
        <v>7778</v>
      </c>
      <c r="C3904" t="s">
        <v>28</v>
      </c>
      <c r="D3904" t="s">
        <v>7779</v>
      </c>
      <c r="E3904" t="s">
        <v>8</v>
      </c>
      <c r="F3904" t="s">
        <v>7779</v>
      </c>
      <c r="G3904" t="s">
        <v>7780</v>
      </c>
      <c r="H3904" t="s">
        <v>7780</v>
      </c>
      <c r="I3904" t="s">
        <v>7781</v>
      </c>
    </row>
    <row r="3905" spans="1:9" x14ac:dyDescent="0.25">
      <c r="A3905" s="1" t="str">
        <f>HYPERLINK("https://lynxcrm-apac--c.eu19.visual.force.com/0011i000001xohyAAA","Pharmacy - Heartland Mall, Guardian")</f>
        <v>Pharmacy - Heartland Mall, Guardian</v>
      </c>
      <c r="B3905" t="s">
        <v>7782</v>
      </c>
      <c r="C3905" t="s">
        <v>28</v>
      </c>
      <c r="D3905" t="s">
        <v>3732</v>
      </c>
      <c r="E3905" t="s">
        <v>8</v>
      </c>
      <c r="F3905" t="s">
        <v>3732</v>
      </c>
      <c r="G3905" t="s">
        <v>3733</v>
      </c>
      <c r="H3905" t="s">
        <v>3733</v>
      </c>
      <c r="I3905" t="s">
        <v>3734</v>
      </c>
    </row>
    <row r="3906" spans="1:9" x14ac:dyDescent="0.25">
      <c r="A3906" s="1" t="str">
        <f>HYPERLINK("https://lynxcrm-apac--c.eu19.visual.force.com/0011i000001xoiUAAQ","Pharmacy - Holland, Guardian")</f>
        <v>Pharmacy - Holland, Guardian</v>
      </c>
      <c r="B3906" t="s">
        <v>7783</v>
      </c>
      <c r="C3906" t="s">
        <v>28</v>
      </c>
      <c r="D3906" t="s">
        <v>3736</v>
      </c>
      <c r="E3906" t="s">
        <v>8</v>
      </c>
      <c r="F3906" t="s">
        <v>3736</v>
      </c>
      <c r="G3906" t="s">
        <v>3737</v>
      </c>
      <c r="H3906" t="s">
        <v>3737</v>
      </c>
      <c r="I3906" t="s">
        <v>3738</v>
      </c>
    </row>
    <row r="3907" spans="1:9" x14ac:dyDescent="0.25">
      <c r="A3907" s="1" t="str">
        <f>HYPERLINK("https://lynxcrm-apac--c.eu19.visual.force.com/0011i000001xo8vAAA","Pharmacy - Holland, Watson")</f>
        <v>Pharmacy - Holland, Watson</v>
      </c>
      <c r="B3907" t="s">
        <v>7784</v>
      </c>
      <c r="C3907" t="s">
        <v>28</v>
      </c>
      <c r="D3907" t="s">
        <v>7785</v>
      </c>
      <c r="E3907" t="s">
        <v>8</v>
      </c>
      <c r="F3907" t="s">
        <v>7785</v>
      </c>
      <c r="G3907" t="s">
        <v>7786</v>
      </c>
      <c r="H3907" t="s">
        <v>7786</v>
      </c>
      <c r="I3907" t="s">
        <v>3738</v>
      </c>
    </row>
    <row r="3908" spans="1:9" x14ac:dyDescent="0.25">
      <c r="A3908" s="1" t="str">
        <f>HYPERLINK("https://lynxcrm-apac--c.eu19.visual.force.com/0011i000001xofeAAA","Pharmacy - Hougang Mall, Guardian")</f>
        <v>Pharmacy - Hougang Mall, Guardian</v>
      </c>
      <c r="B3908" t="s">
        <v>7787</v>
      </c>
      <c r="C3908" t="s">
        <v>28</v>
      </c>
      <c r="D3908" t="s">
        <v>7788</v>
      </c>
      <c r="E3908" t="s">
        <v>8</v>
      </c>
      <c r="F3908" t="s">
        <v>7788</v>
      </c>
      <c r="G3908" t="s">
        <v>7789</v>
      </c>
      <c r="H3908" t="s">
        <v>7789</v>
      </c>
      <c r="I3908" t="s">
        <v>7790</v>
      </c>
    </row>
    <row r="3909" spans="1:9" x14ac:dyDescent="0.25">
      <c r="A3909" s="1" t="str">
        <f>HYPERLINK("https://lynxcrm-apac--c.eu19.visual.force.com/0011i000001xoUTAAY","Pharmacy - Hougang Mall, Unity")</f>
        <v>Pharmacy - Hougang Mall, Unity</v>
      </c>
      <c r="B3909" t="s">
        <v>7791</v>
      </c>
      <c r="C3909" t="s">
        <v>28</v>
      </c>
      <c r="D3909" t="s">
        <v>7792</v>
      </c>
      <c r="E3909" t="s">
        <v>8</v>
      </c>
      <c r="F3909" t="s">
        <v>7792</v>
      </c>
      <c r="G3909" t="s">
        <v>7793</v>
      </c>
      <c r="H3909" t="s">
        <v>7793</v>
      </c>
      <c r="I3909" t="s">
        <v>3993</v>
      </c>
    </row>
    <row r="3910" spans="1:9" x14ac:dyDescent="0.25">
      <c r="A3910" s="1" t="str">
        <f>HYPERLINK("https://lynxcrm-apac--c.eu19.visual.force.com/0011i000001xoTjAAI","Pharmacy - IMM, Guardian")</f>
        <v>Pharmacy - IMM, Guardian</v>
      </c>
      <c r="B3910" t="s">
        <v>7794</v>
      </c>
      <c r="C3910" t="s">
        <v>28</v>
      </c>
      <c r="D3910" t="s">
        <v>7795</v>
      </c>
      <c r="E3910" t="s">
        <v>8</v>
      </c>
      <c r="F3910" t="s">
        <v>7795</v>
      </c>
      <c r="G3910" t="s">
        <v>7796</v>
      </c>
      <c r="H3910" t="s">
        <v>7796</v>
      </c>
      <c r="I3910" t="s">
        <v>7797</v>
      </c>
    </row>
    <row r="3911" spans="1:9" x14ac:dyDescent="0.25">
      <c r="A3911" s="1" t="str">
        <f>HYPERLINK("https://lynxcrm-apac--c.eu19.visual.force.com/0011i000001xnhYAAQ","Pharmacy - International Building, Guardian")</f>
        <v>Pharmacy - International Building, Guardian</v>
      </c>
      <c r="B3911" t="s">
        <v>7798</v>
      </c>
      <c r="C3911" t="s">
        <v>28</v>
      </c>
      <c r="D3911" t="s">
        <v>7799</v>
      </c>
      <c r="E3911" t="s">
        <v>8</v>
      </c>
      <c r="F3911" t="s">
        <v>7799</v>
      </c>
      <c r="G3911" t="s">
        <v>117</v>
      </c>
      <c r="H3911" t="s">
        <v>117</v>
      </c>
      <c r="I3911" t="s">
        <v>119</v>
      </c>
    </row>
    <row r="3912" spans="1:9" x14ac:dyDescent="0.25">
      <c r="A3912" s="1" t="str">
        <f>HYPERLINK("https://lynxcrm-apac--c.eu19.visual.force.com/0011i000001xoHVAAY","Pharmacy - ION, Guardian")</f>
        <v>Pharmacy - ION, Guardian</v>
      </c>
      <c r="B3912" t="s">
        <v>7800</v>
      </c>
      <c r="C3912" t="s">
        <v>28</v>
      </c>
      <c r="D3912" t="s">
        <v>7801</v>
      </c>
      <c r="E3912" t="s">
        <v>8</v>
      </c>
      <c r="F3912" t="s">
        <v>7801</v>
      </c>
      <c r="G3912" t="s">
        <v>7802</v>
      </c>
      <c r="H3912" t="s">
        <v>7802</v>
      </c>
      <c r="I3912" t="s">
        <v>6370</v>
      </c>
    </row>
    <row r="3913" spans="1:9" x14ac:dyDescent="0.25">
      <c r="A3913" s="1" t="str">
        <f>HYPERLINK("https://lynxcrm-apac--c.eu19.visual.force.com/0011i000001xoTRAAY","Pharmacy - Junction 8, Guardian")</f>
        <v>Pharmacy - Junction 8, Guardian</v>
      </c>
      <c r="B3913" t="s">
        <v>7803</v>
      </c>
      <c r="C3913" t="s">
        <v>28</v>
      </c>
      <c r="D3913" t="s">
        <v>7804</v>
      </c>
      <c r="E3913" t="s">
        <v>8</v>
      </c>
      <c r="F3913" t="s">
        <v>7804</v>
      </c>
      <c r="G3913" t="s">
        <v>7805</v>
      </c>
      <c r="H3913" t="s">
        <v>7805</v>
      </c>
      <c r="I3913" t="s">
        <v>7806</v>
      </c>
    </row>
    <row r="3914" spans="1:9" x14ac:dyDescent="0.25">
      <c r="A3914" s="1" t="str">
        <f>HYPERLINK("https://lynxcrm-apac--c.eu19.visual.force.com/0011i000001xoTlAAI","Pharmacy - Jurong Point, Guardian")</f>
        <v>Pharmacy - Jurong Point, Guardian</v>
      </c>
      <c r="B3914" t="s">
        <v>7807</v>
      </c>
      <c r="C3914" t="s">
        <v>28</v>
      </c>
      <c r="D3914" t="s">
        <v>3744</v>
      </c>
      <c r="E3914" t="s">
        <v>8</v>
      </c>
      <c r="F3914" t="s">
        <v>3744</v>
      </c>
      <c r="G3914" t="s">
        <v>3745</v>
      </c>
      <c r="H3914" t="s">
        <v>3745</v>
      </c>
      <c r="I3914" t="s">
        <v>1994</v>
      </c>
    </row>
    <row r="3915" spans="1:9" x14ac:dyDescent="0.25">
      <c r="A3915" s="1" t="str">
        <f>HYPERLINK("https://lynxcrm-apac--c.eu19.visual.force.com/0011i000001xo9OAAQ","Pharmacy - Kallang Leisure Mall, Watson")</f>
        <v>Pharmacy - Kallang Leisure Mall, Watson</v>
      </c>
      <c r="B3915" t="s">
        <v>7808</v>
      </c>
      <c r="C3915" t="s">
        <v>28</v>
      </c>
      <c r="D3915" t="s">
        <v>7809</v>
      </c>
      <c r="E3915" t="s">
        <v>8</v>
      </c>
      <c r="F3915" t="s">
        <v>7809</v>
      </c>
      <c r="G3915" t="s">
        <v>7810</v>
      </c>
      <c r="H3915" t="s">
        <v>7810</v>
      </c>
      <c r="I3915" t="s">
        <v>7811</v>
      </c>
    </row>
    <row r="3916" spans="1:9" x14ac:dyDescent="0.25">
      <c r="A3916" s="1" t="str">
        <f>HYPERLINK("https://lynxcrm-apac--c.eu19.visual.force.com/0011i000001xoToAAI","Pharmacy - Lot 1, Guardian")</f>
        <v>Pharmacy - Lot 1, Guardian</v>
      </c>
      <c r="B3916" t="s">
        <v>7812</v>
      </c>
      <c r="C3916" t="s">
        <v>28</v>
      </c>
      <c r="D3916" t="s">
        <v>3747</v>
      </c>
      <c r="E3916" t="s">
        <v>8</v>
      </c>
      <c r="F3916" t="s">
        <v>3747</v>
      </c>
      <c r="G3916" t="s">
        <v>3748</v>
      </c>
      <c r="H3916" t="s">
        <v>3748</v>
      </c>
      <c r="I3916" t="s">
        <v>3749</v>
      </c>
    </row>
    <row r="3917" spans="1:9" x14ac:dyDescent="0.25">
      <c r="A3917" s="1" t="str">
        <f>HYPERLINK("https://lynxcrm-apac--c.eu19.visual.force.com/0011i000001xoWdAAI","Pharmacy - Maritime Square, Guardian")</f>
        <v>Pharmacy - Maritime Square, Guardian</v>
      </c>
      <c r="B3917" t="s">
        <v>7813</v>
      </c>
      <c r="C3917" t="s">
        <v>28</v>
      </c>
      <c r="D3917" t="s">
        <v>99</v>
      </c>
      <c r="E3917" t="s">
        <v>8</v>
      </c>
      <c r="F3917" t="s">
        <v>7814</v>
      </c>
      <c r="G3917" t="s">
        <v>7815</v>
      </c>
      <c r="H3917" t="s">
        <v>7815</v>
      </c>
      <c r="I3917" t="s">
        <v>7781</v>
      </c>
    </row>
    <row r="3918" spans="1:9" x14ac:dyDescent="0.25">
      <c r="A3918" s="1" t="str">
        <f>HYPERLINK("https://lynxcrm-apac--c.eu19.visual.force.com/0011i000001xoTrAAI","Pharmacy - MEMC, Guardian")</f>
        <v>Pharmacy - MEMC, Guardian</v>
      </c>
      <c r="B3918" t="s">
        <v>7816</v>
      </c>
      <c r="C3918" t="s">
        <v>28</v>
      </c>
      <c r="D3918" t="s">
        <v>7817</v>
      </c>
      <c r="E3918" t="s">
        <v>8</v>
      </c>
      <c r="F3918" t="s">
        <v>7817</v>
      </c>
      <c r="G3918" t="s">
        <v>7818</v>
      </c>
      <c r="H3918" t="s">
        <v>7818</v>
      </c>
      <c r="I3918" t="s">
        <v>123</v>
      </c>
    </row>
    <row r="3919" spans="1:9" x14ac:dyDescent="0.25">
      <c r="A3919" s="1" t="str">
        <f>HYPERLINK("https://lynxcrm-apac--c.eu19.visual.force.com/0011i00000Q3X2kAAF","Pharmacy - Mount Elizabeth Novena")</f>
        <v>Pharmacy - Mount Elizabeth Novena</v>
      </c>
      <c r="B3919" t="s">
        <v>7819</v>
      </c>
      <c r="C3919" t="s">
        <v>28</v>
      </c>
      <c r="D3919" t="s">
        <v>8</v>
      </c>
      <c r="E3919" t="s">
        <v>8</v>
      </c>
      <c r="F3919" t="s">
        <v>7820</v>
      </c>
      <c r="G3919" t="s">
        <v>7821</v>
      </c>
      <c r="H3919" t="s">
        <v>8</v>
      </c>
      <c r="I3919" t="s">
        <v>344</v>
      </c>
    </row>
    <row r="3920" spans="1:9" x14ac:dyDescent="0.25">
      <c r="A3920" s="1" t="str">
        <f>HYPERLINK("https://lynxcrm-apac--c.eu19.visual.force.com/0011i000001xo7WAAQ","Pharmacy - NEX, Guardian")</f>
        <v>Pharmacy - NEX, Guardian</v>
      </c>
      <c r="B3920" t="s">
        <v>7822</v>
      </c>
      <c r="C3920" t="s">
        <v>28</v>
      </c>
      <c r="D3920" t="s">
        <v>7823</v>
      </c>
      <c r="E3920" t="s">
        <v>8</v>
      </c>
      <c r="F3920" t="s">
        <v>7823</v>
      </c>
      <c r="G3920" t="s">
        <v>7824</v>
      </c>
      <c r="H3920" t="s">
        <v>7824</v>
      </c>
      <c r="I3920" t="s">
        <v>7825</v>
      </c>
    </row>
    <row r="3921" spans="1:9" x14ac:dyDescent="0.25">
      <c r="A3921" s="1" t="str">
        <f>HYPERLINK("https://lynxcrm-apac--c.eu19.visual.force.com/0011i000001xnu4AAA","Pharmacy - Northpoint, Watson")</f>
        <v>Pharmacy - Northpoint, Watson</v>
      </c>
      <c r="B3921" t="s">
        <v>7826</v>
      </c>
      <c r="C3921" t="s">
        <v>28</v>
      </c>
      <c r="D3921" t="s">
        <v>7827</v>
      </c>
      <c r="E3921" t="s">
        <v>8</v>
      </c>
      <c r="F3921" t="s">
        <v>7827</v>
      </c>
      <c r="G3921" t="s">
        <v>7828</v>
      </c>
      <c r="H3921" t="s">
        <v>7828</v>
      </c>
      <c r="I3921" t="s">
        <v>7829</v>
      </c>
    </row>
    <row r="3922" spans="1:9" x14ac:dyDescent="0.25">
      <c r="A3922" s="1" t="str">
        <f>HYPERLINK("https://lynxcrm-apac--c.eu19.visual.force.com/0011i000001xo7PAAQ","Pharmacy - Novena Hospital, Guardian")</f>
        <v>Pharmacy - Novena Hospital, Guardian</v>
      </c>
      <c r="B3922" t="s">
        <v>7830</v>
      </c>
      <c r="C3922" t="s">
        <v>28</v>
      </c>
      <c r="D3922" t="s">
        <v>3751</v>
      </c>
      <c r="E3922" t="s">
        <v>8</v>
      </c>
      <c r="F3922" t="s">
        <v>3751</v>
      </c>
      <c r="G3922" t="s">
        <v>1838</v>
      </c>
      <c r="H3922" t="s">
        <v>1838</v>
      </c>
      <c r="I3922" t="s">
        <v>344</v>
      </c>
    </row>
    <row r="3923" spans="1:9" x14ac:dyDescent="0.25">
      <c r="A3923" s="1" t="str">
        <f>HYPERLINK("https://lynxcrm-apac--c.eu19.visual.force.com/0011i000001xoTyAAI","Pharmacy - Novena Square, Guardian")</f>
        <v>Pharmacy - Novena Square, Guardian</v>
      </c>
      <c r="B3923" t="s">
        <v>7831</v>
      </c>
      <c r="C3923" t="s">
        <v>28</v>
      </c>
      <c r="D3923" t="s">
        <v>3753</v>
      </c>
      <c r="E3923" t="s">
        <v>8</v>
      </c>
      <c r="F3923" t="s">
        <v>3753</v>
      </c>
      <c r="G3923" t="s">
        <v>3754</v>
      </c>
      <c r="H3923" t="s">
        <v>3754</v>
      </c>
      <c r="I3923" t="s">
        <v>3755</v>
      </c>
    </row>
    <row r="3924" spans="1:9" x14ac:dyDescent="0.25">
      <c r="A3924" s="1" t="str">
        <f>HYPERLINK("https://lynxcrm-apac--c.eu19.visual.force.com/0011i000001xnkwAAA","Pharmacy - Oasis Terrace, Guardian")</f>
        <v>Pharmacy - Oasis Terrace, Guardian</v>
      </c>
      <c r="B3924" t="s">
        <v>7832</v>
      </c>
      <c r="C3924" t="s">
        <v>28</v>
      </c>
      <c r="D3924" t="s">
        <v>7833</v>
      </c>
      <c r="E3924" t="s">
        <v>8</v>
      </c>
      <c r="F3924" t="s">
        <v>7833</v>
      </c>
      <c r="G3924" t="s">
        <v>7834</v>
      </c>
      <c r="H3924" t="s">
        <v>7834</v>
      </c>
      <c r="I3924" t="s">
        <v>592</v>
      </c>
    </row>
    <row r="3925" spans="1:9" x14ac:dyDescent="0.25">
      <c r="A3925" s="1" t="str">
        <f>HYPERLINK("https://lynxcrm-apac--c.eu19.visual.force.com/0011i000001xoU0AAI","Pharmacy - Paragon, Guardian")</f>
        <v>Pharmacy - Paragon, Guardian</v>
      </c>
      <c r="B3925" t="s">
        <v>7835</v>
      </c>
      <c r="C3925" t="s">
        <v>28</v>
      </c>
      <c r="D3925" t="s">
        <v>3757</v>
      </c>
      <c r="E3925" t="s">
        <v>8</v>
      </c>
      <c r="F3925" t="s">
        <v>3757</v>
      </c>
      <c r="G3925" t="s">
        <v>3758</v>
      </c>
      <c r="H3925" t="s">
        <v>3758</v>
      </c>
      <c r="I3925" t="s">
        <v>85</v>
      </c>
    </row>
    <row r="3926" spans="1:9" x14ac:dyDescent="0.25">
      <c r="A3926" s="1" t="str">
        <f>HYPERLINK("https://lynxcrm-apac--c.eu19.visual.force.com/0011i00000Q3YSkAAN","Pharmacy - Paragon")</f>
        <v>Pharmacy - Paragon</v>
      </c>
      <c r="B3926" t="s">
        <v>7836</v>
      </c>
      <c r="C3926" t="s">
        <v>28</v>
      </c>
      <c r="D3926" t="s">
        <v>8</v>
      </c>
      <c r="E3926" t="s">
        <v>8</v>
      </c>
      <c r="F3926" t="s">
        <v>7837</v>
      </c>
      <c r="G3926" t="s">
        <v>7838</v>
      </c>
      <c r="H3926" t="s">
        <v>8</v>
      </c>
      <c r="I3926" t="s">
        <v>85</v>
      </c>
    </row>
    <row r="3927" spans="1:9" x14ac:dyDescent="0.25">
      <c r="A3927" s="1" t="str">
        <f>HYPERLINK("https://lynxcrm-apac--c.eu19.visual.force.com/0011i000001xoU1AAI","Pharmacy - Parkway Parade, Guardian")</f>
        <v>Pharmacy - Parkway Parade, Guardian</v>
      </c>
      <c r="B3927" t="s">
        <v>7839</v>
      </c>
      <c r="C3927" t="s">
        <v>28</v>
      </c>
      <c r="D3927" t="s">
        <v>3760</v>
      </c>
      <c r="E3927" t="s">
        <v>8</v>
      </c>
      <c r="F3927" t="s">
        <v>3760</v>
      </c>
      <c r="G3927" t="s">
        <v>3761</v>
      </c>
      <c r="H3927" t="s">
        <v>3761</v>
      </c>
      <c r="I3927" t="s">
        <v>2357</v>
      </c>
    </row>
    <row r="3928" spans="1:9" x14ac:dyDescent="0.25">
      <c r="A3928" s="1" t="str">
        <f>HYPERLINK("https://lynxcrm-apac--c.eu19.visual.force.com/0011i000001xomEAAQ","Pharmacy - Plaza Singapura, Unity")</f>
        <v>Pharmacy - Plaza Singapura, Unity</v>
      </c>
      <c r="B3928" t="s">
        <v>7840</v>
      </c>
      <c r="C3928" t="s">
        <v>28</v>
      </c>
      <c r="D3928" t="s">
        <v>7841</v>
      </c>
      <c r="E3928" t="s">
        <v>8</v>
      </c>
      <c r="F3928" t="s">
        <v>7841</v>
      </c>
      <c r="G3928" t="s">
        <v>7842</v>
      </c>
      <c r="H3928" t="s">
        <v>7842</v>
      </c>
      <c r="I3928" t="s">
        <v>7843</v>
      </c>
    </row>
    <row r="3929" spans="1:9" x14ac:dyDescent="0.25">
      <c r="A3929" s="1" t="str">
        <f>HYPERLINK("https://lynxcrm-apac--c.eu19.visual.force.com/0011i000001xorYAAQ","Pharmacy - Punggol Central, Guardian")</f>
        <v>Pharmacy - Punggol Central, Guardian</v>
      </c>
      <c r="B3929" t="s">
        <v>7844</v>
      </c>
      <c r="C3929" t="s">
        <v>28</v>
      </c>
      <c r="D3929" t="s">
        <v>7845</v>
      </c>
      <c r="E3929" t="s">
        <v>8</v>
      </c>
      <c r="F3929" t="s">
        <v>7845</v>
      </c>
      <c r="G3929" t="s">
        <v>7846</v>
      </c>
      <c r="H3929" t="s">
        <v>7846</v>
      </c>
      <c r="I3929" t="s">
        <v>7336</v>
      </c>
    </row>
    <row r="3930" spans="1:9" x14ac:dyDescent="0.25">
      <c r="A3930" s="1" t="str">
        <f>HYPERLINK("https://lynxcrm-apac--c.eu19.visual.force.com/0011i000001xoU2AAI","Pharmacy - Raffles City, Guardian")</f>
        <v>Pharmacy - Raffles City, Guardian</v>
      </c>
      <c r="B3930" t="s">
        <v>7847</v>
      </c>
      <c r="C3930" t="s">
        <v>28</v>
      </c>
      <c r="D3930" t="s">
        <v>3763</v>
      </c>
      <c r="E3930" t="s">
        <v>8</v>
      </c>
      <c r="F3930" t="s">
        <v>3763</v>
      </c>
      <c r="G3930" t="s">
        <v>3764</v>
      </c>
      <c r="H3930" t="s">
        <v>3764</v>
      </c>
      <c r="I3930" t="s">
        <v>2904</v>
      </c>
    </row>
    <row r="3931" spans="1:9" x14ac:dyDescent="0.25">
      <c r="A3931" s="1" t="str">
        <f>HYPERLINK("https://lynxcrm-apac--c.eu19.visual.force.com/0011i000001xoTdAAI","Pharmacy - Raffles Place, Guardian")</f>
        <v>Pharmacy - Raffles Place, Guardian</v>
      </c>
      <c r="B3931" t="s">
        <v>7848</v>
      </c>
      <c r="C3931" t="s">
        <v>28</v>
      </c>
      <c r="D3931" t="s">
        <v>7849</v>
      </c>
      <c r="E3931" t="s">
        <v>8</v>
      </c>
      <c r="F3931" t="s">
        <v>7850</v>
      </c>
      <c r="G3931" t="s">
        <v>2910</v>
      </c>
      <c r="H3931" t="s">
        <v>2910</v>
      </c>
      <c r="I3931" t="s">
        <v>2340</v>
      </c>
    </row>
    <row r="3932" spans="1:9" x14ac:dyDescent="0.25">
      <c r="A3932" s="1" t="str">
        <f>HYPERLINK("https://lynxcrm-apac--c.eu19.visual.force.com/0011i000001xoU3AAI","Pharmacy -Serangoon Garden, Guardian")</f>
        <v>Pharmacy -Serangoon Garden, Guardian</v>
      </c>
      <c r="B3932" t="s">
        <v>7851</v>
      </c>
      <c r="C3932" t="s">
        <v>28</v>
      </c>
      <c r="D3932" t="s">
        <v>3766</v>
      </c>
      <c r="E3932" t="s">
        <v>8</v>
      </c>
      <c r="F3932" t="s">
        <v>3766</v>
      </c>
      <c r="G3932" t="s">
        <v>3767</v>
      </c>
      <c r="H3932" t="s">
        <v>8</v>
      </c>
      <c r="I3932" t="s">
        <v>3768</v>
      </c>
    </row>
    <row r="3933" spans="1:9" x14ac:dyDescent="0.25">
      <c r="A3933" s="1" t="str">
        <f>HYPERLINK("https://lynxcrm-apac--c.eu19.visual.force.com/0011i000001xoU7AAI","Pharmacy - Suntec City, Guardian")</f>
        <v>Pharmacy - Suntec City, Guardian</v>
      </c>
      <c r="B3933" t="s">
        <v>7852</v>
      </c>
      <c r="C3933" t="s">
        <v>28</v>
      </c>
      <c r="D3933" t="s">
        <v>7853</v>
      </c>
      <c r="E3933" t="s">
        <v>8</v>
      </c>
      <c r="F3933" t="s">
        <v>7853</v>
      </c>
      <c r="G3933" t="s">
        <v>7854</v>
      </c>
      <c r="H3933" t="s">
        <v>7854</v>
      </c>
      <c r="I3933" t="s">
        <v>883</v>
      </c>
    </row>
    <row r="3934" spans="1:9" x14ac:dyDescent="0.25">
      <c r="A3934" s="1" t="str">
        <f>HYPERLINK("https://lynxcrm-apac--c.eu19.visual.force.com/0011i000001xnByAAI","Pharmacy Supervisor")</f>
        <v>Pharmacy Supervisor</v>
      </c>
      <c r="B3934" t="s">
        <v>7855</v>
      </c>
      <c r="C3934" t="s">
        <v>10</v>
      </c>
      <c r="D3934" t="s">
        <v>8</v>
      </c>
      <c r="E3934" t="s">
        <v>8</v>
      </c>
      <c r="F3934" t="s">
        <v>1126</v>
      </c>
      <c r="G3934" t="s">
        <v>7856</v>
      </c>
      <c r="H3934" t="s">
        <v>7857</v>
      </c>
      <c r="I3934" t="s">
        <v>1609</v>
      </c>
    </row>
    <row r="3935" spans="1:9" x14ac:dyDescent="0.25">
      <c r="A3935" s="1" t="str">
        <f>HYPERLINK("https://lynxcrm-apac--c.eu19.visual.force.com/0011i000001xohgAAA","Pharmacy - Takashimaya, Watson")</f>
        <v>Pharmacy - Takashimaya, Watson</v>
      </c>
      <c r="B3935" t="s">
        <v>7858</v>
      </c>
      <c r="C3935" t="s">
        <v>28</v>
      </c>
      <c r="D3935" t="s">
        <v>7859</v>
      </c>
      <c r="E3935" t="s">
        <v>8</v>
      </c>
      <c r="F3935" t="s">
        <v>7859</v>
      </c>
      <c r="G3935" t="s">
        <v>7860</v>
      </c>
      <c r="H3935" t="s">
        <v>7860</v>
      </c>
      <c r="I3935" t="s">
        <v>7861</v>
      </c>
    </row>
    <row r="3936" spans="1:9" x14ac:dyDescent="0.25">
      <c r="A3936" s="1" t="str">
        <f>HYPERLINK("https://lynxcrm-apac--c.eu19.visual.force.com/0011i000001xoUcAAI","Pharmacy - Tampines Mall, Unity")</f>
        <v>Pharmacy - Tampines Mall, Unity</v>
      </c>
      <c r="B3936" t="s">
        <v>7862</v>
      </c>
      <c r="C3936" t="s">
        <v>28</v>
      </c>
      <c r="D3936" t="s">
        <v>7863</v>
      </c>
      <c r="E3936" t="s">
        <v>8</v>
      </c>
      <c r="F3936" t="s">
        <v>7864</v>
      </c>
      <c r="G3936" t="s">
        <v>7865</v>
      </c>
      <c r="H3936" t="s">
        <v>3783</v>
      </c>
      <c r="I3936" t="s">
        <v>7866</v>
      </c>
    </row>
    <row r="3937" spans="1:9" x14ac:dyDescent="0.25">
      <c r="A3937" s="1" t="str">
        <f>HYPERLINK("https://lynxcrm-apac--c.eu19.visual.force.com/0011i000001xoAgAAI","Pharmacy - Tanjong Pagar, Guardian")</f>
        <v>Pharmacy - Tanjong Pagar, Guardian</v>
      </c>
      <c r="B3937" t="s">
        <v>7867</v>
      </c>
      <c r="C3937" t="s">
        <v>28</v>
      </c>
      <c r="D3937" t="s">
        <v>7868</v>
      </c>
      <c r="E3937" t="s">
        <v>8</v>
      </c>
      <c r="F3937" t="s">
        <v>3786</v>
      </c>
      <c r="G3937" t="s">
        <v>3787</v>
      </c>
      <c r="H3937" t="s">
        <v>3787</v>
      </c>
      <c r="I3937" t="s">
        <v>3788</v>
      </c>
    </row>
    <row r="3938" spans="1:9" x14ac:dyDescent="0.25">
      <c r="A3938" s="1" t="str">
        <f>HYPERLINK("https://lynxcrm-apac--c.eu19.visual.force.com/0011i000001xoUfAAI","Pharmacy - Tanjong Pagar Plaza, Unity")</f>
        <v>Pharmacy - Tanjong Pagar Plaza, Unity</v>
      </c>
      <c r="B3938" t="s">
        <v>7869</v>
      </c>
      <c r="C3938" t="s">
        <v>28</v>
      </c>
      <c r="D3938" t="s">
        <v>7870</v>
      </c>
      <c r="E3938" t="s">
        <v>8</v>
      </c>
      <c r="F3938" t="s">
        <v>7871</v>
      </c>
      <c r="G3938" t="s">
        <v>7872</v>
      </c>
      <c r="H3938" t="s">
        <v>7872</v>
      </c>
      <c r="I3938" t="s">
        <v>7873</v>
      </c>
    </row>
    <row r="3939" spans="1:9" x14ac:dyDescent="0.25">
      <c r="A3939" s="1" t="str">
        <f>HYPERLINK("https://lynxcrm-apac--c.eu19.visual.force.com/0011i000001xok9AAA","Pharmacy - Thomson Plaza, Unity")</f>
        <v>Pharmacy - Thomson Plaza, Unity</v>
      </c>
      <c r="B3939" t="s">
        <v>7874</v>
      </c>
      <c r="C3939" t="s">
        <v>28</v>
      </c>
      <c r="D3939" t="s">
        <v>7875</v>
      </c>
      <c r="E3939" t="s">
        <v>8</v>
      </c>
      <c r="F3939" t="s">
        <v>7875</v>
      </c>
      <c r="G3939" t="s">
        <v>7876</v>
      </c>
      <c r="H3939" t="s">
        <v>7876</v>
      </c>
      <c r="I3939" t="s">
        <v>3792</v>
      </c>
    </row>
    <row r="3940" spans="1:9" x14ac:dyDescent="0.25">
      <c r="A3940" s="1" t="str">
        <f>HYPERLINK("https://lynxcrm-apac--c.eu19.visual.force.com/0011i000001xnkyAAA","Pharmacy - Tiong Bahru, Guardian")</f>
        <v>Pharmacy - Tiong Bahru, Guardian</v>
      </c>
      <c r="B3940" t="s">
        <v>7877</v>
      </c>
      <c r="C3940" t="s">
        <v>28</v>
      </c>
      <c r="D3940" t="s">
        <v>7878</v>
      </c>
      <c r="E3940" t="s">
        <v>8</v>
      </c>
      <c r="F3940" t="s">
        <v>7878</v>
      </c>
      <c r="G3940" t="s">
        <v>7879</v>
      </c>
      <c r="H3940" t="s">
        <v>7879</v>
      </c>
      <c r="I3940" t="s">
        <v>7880</v>
      </c>
    </row>
    <row r="3941" spans="1:9" x14ac:dyDescent="0.25">
      <c r="A3941" s="1" t="str">
        <f>HYPERLINK("https://lynxcrm-apac--c.eu19.visual.force.com/0011i000001xoUCAAY","Pharmacy - Tiong Bahru B1, Guardian")</f>
        <v>Pharmacy - Tiong Bahru B1, Guardian</v>
      </c>
      <c r="B3941" t="s">
        <v>7881</v>
      </c>
      <c r="C3941" t="s">
        <v>28</v>
      </c>
      <c r="D3941" t="s">
        <v>3794</v>
      </c>
      <c r="E3941" t="s">
        <v>8</v>
      </c>
      <c r="F3941" t="s">
        <v>3794</v>
      </c>
      <c r="G3941" t="s">
        <v>3795</v>
      </c>
      <c r="H3941" t="s">
        <v>3796</v>
      </c>
      <c r="I3941" t="s">
        <v>3797</v>
      </c>
    </row>
    <row r="3942" spans="1:9" x14ac:dyDescent="0.25">
      <c r="A3942" s="1" t="str">
        <f>HYPERLINK("https://lynxcrm-apac--c.eu19.visual.force.com/0011i000001xoUEAAY","Pharmacy - United Square, Guardian")</f>
        <v>Pharmacy - United Square, Guardian</v>
      </c>
      <c r="B3942" t="s">
        <v>7882</v>
      </c>
      <c r="C3942" t="s">
        <v>28</v>
      </c>
      <c r="D3942" t="s">
        <v>7883</v>
      </c>
      <c r="E3942" t="s">
        <v>8</v>
      </c>
      <c r="F3942" t="s">
        <v>7884</v>
      </c>
      <c r="G3942" t="s">
        <v>7885</v>
      </c>
      <c r="H3942" t="s">
        <v>7885</v>
      </c>
      <c r="I3942" t="s">
        <v>7886</v>
      </c>
    </row>
    <row r="3943" spans="1:9" x14ac:dyDescent="0.25">
      <c r="A3943" s="1" t="str">
        <f>HYPERLINK("https://lynxcrm-apac--c.eu19.visual.force.com/0011i00000S22gZAAR","Pharmacy - United Square")</f>
        <v>Pharmacy - United Square</v>
      </c>
      <c r="B3943" t="s">
        <v>7887</v>
      </c>
      <c r="C3943" t="s">
        <v>28</v>
      </c>
      <c r="D3943" t="s">
        <v>8</v>
      </c>
      <c r="E3943" t="s">
        <v>8</v>
      </c>
      <c r="F3943" t="s">
        <v>7888</v>
      </c>
      <c r="G3943" t="s">
        <v>7889</v>
      </c>
      <c r="H3943" t="s">
        <v>8</v>
      </c>
      <c r="I3943" t="s">
        <v>7886</v>
      </c>
    </row>
    <row r="3944" spans="1:9" x14ac:dyDescent="0.25">
      <c r="A3944" s="1" t="str">
        <f>HYPERLINK("https://lynxcrm-apac--c.eu19.visual.force.com/0011i000001xniMAAQ","Pharmacy - Vivo City, Guardian")</f>
        <v>Pharmacy - Vivo City, Guardian</v>
      </c>
      <c r="B3944" t="s">
        <v>7890</v>
      </c>
      <c r="C3944" t="s">
        <v>28</v>
      </c>
      <c r="D3944" t="s">
        <v>3803</v>
      </c>
      <c r="E3944" t="s">
        <v>8</v>
      </c>
      <c r="F3944" t="s">
        <v>3803</v>
      </c>
      <c r="G3944" t="s">
        <v>3804</v>
      </c>
      <c r="H3944" t="s">
        <v>3804</v>
      </c>
      <c r="I3944" t="s">
        <v>3805</v>
      </c>
    </row>
    <row r="3945" spans="1:9" x14ac:dyDescent="0.25">
      <c r="A3945" s="1" t="str">
        <f>HYPERLINK("https://lynxcrm-apac--c.eu19.visual.force.com/0011i000001xniOAAQ","Pharmacy - Waterway Point, Unity")</f>
        <v>Pharmacy - Waterway Point, Unity</v>
      </c>
      <c r="B3945" t="s">
        <v>7891</v>
      </c>
      <c r="C3945" t="s">
        <v>28</v>
      </c>
      <c r="D3945" t="s">
        <v>7892</v>
      </c>
      <c r="E3945" t="s">
        <v>8</v>
      </c>
      <c r="F3945" t="s">
        <v>7892</v>
      </c>
      <c r="G3945" t="s">
        <v>7893</v>
      </c>
      <c r="H3945" t="s">
        <v>7893</v>
      </c>
      <c r="I3945" t="s">
        <v>7336</v>
      </c>
    </row>
    <row r="3946" spans="1:9" x14ac:dyDescent="0.25">
      <c r="A3946" s="1" t="str">
        <f>HYPERLINK("https://lynxcrm-apac--c.eu19.visual.force.com/0011i000001xosXAAQ","Pharmacy - Woodlands Ave 6, Guardian")</f>
        <v>Pharmacy - Woodlands Ave 6, Guardian</v>
      </c>
      <c r="B3946" t="s">
        <v>7894</v>
      </c>
      <c r="C3946" t="s">
        <v>28</v>
      </c>
      <c r="D3946" t="s">
        <v>3692</v>
      </c>
      <c r="E3946" t="s">
        <v>8</v>
      </c>
      <c r="F3946" t="s">
        <v>3692</v>
      </c>
      <c r="G3946" t="s">
        <v>3693</v>
      </c>
      <c r="H3946" t="s">
        <v>3693</v>
      </c>
      <c r="I3946" t="s">
        <v>304</v>
      </c>
    </row>
    <row r="3947" spans="1:9" x14ac:dyDescent="0.25">
      <c r="A3947" s="1" t="str">
        <f>HYPERLINK("https://lynxcrm-apac--c.eu19.visual.force.com/0011i000001xoB5AAI","Pharmacy - Yew Tee, Guardian")</f>
        <v>Pharmacy - Yew Tee, Guardian</v>
      </c>
      <c r="B3947" t="s">
        <v>7895</v>
      </c>
      <c r="C3947" t="s">
        <v>28</v>
      </c>
      <c r="D3947" t="s">
        <v>3809</v>
      </c>
      <c r="E3947" t="s">
        <v>8</v>
      </c>
      <c r="F3947" t="s">
        <v>3809</v>
      </c>
      <c r="G3947" t="s">
        <v>3810</v>
      </c>
      <c r="H3947" t="s">
        <v>3810</v>
      </c>
      <c r="I3947" t="s">
        <v>3811</v>
      </c>
    </row>
    <row r="3948" spans="1:9" x14ac:dyDescent="0.25">
      <c r="A3948" s="1" t="str">
        <f>HYPERLINK("https://lynxcrm-apac--c.eu19.visual.force.com/0011i000001xoA5AAI","Philip, Sara")</f>
        <v>Philip, Sara</v>
      </c>
      <c r="B3948" t="s">
        <v>7896</v>
      </c>
      <c r="C3948" t="s">
        <v>28</v>
      </c>
      <c r="D3948" t="s">
        <v>516</v>
      </c>
      <c r="E3948" t="s">
        <v>8</v>
      </c>
      <c r="F3948" t="s">
        <v>3046</v>
      </c>
      <c r="G3948" t="s">
        <v>3046</v>
      </c>
      <c r="H3948" t="s">
        <v>3047</v>
      </c>
      <c r="I3948" t="s">
        <v>518</v>
      </c>
    </row>
    <row r="3949" spans="1:9" x14ac:dyDescent="0.25">
      <c r="A3949" s="1" t="str">
        <f>HYPERLINK("https://lynxcrm-apac--c.eu19.visual.force.com/0011i000001xoA5AAI","Philip, Sara")</f>
        <v>Philip, Sara</v>
      </c>
      <c r="B3949" t="s">
        <v>7896</v>
      </c>
      <c r="C3949" t="s">
        <v>28</v>
      </c>
      <c r="D3949" t="s">
        <v>516</v>
      </c>
      <c r="E3949" t="s">
        <v>8</v>
      </c>
      <c r="F3949" t="s">
        <v>517</v>
      </c>
      <c r="G3949" t="s">
        <v>517</v>
      </c>
      <c r="H3949" t="s">
        <v>8</v>
      </c>
      <c r="I3949" t="s">
        <v>518</v>
      </c>
    </row>
    <row r="3950" spans="1:9" x14ac:dyDescent="0.25">
      <c r="A3950" s="1" t="str">
        <f>HYPERLINK("https://lynxcrm-apac--c.eu19.visual.force.com/0011i000001xnEXAAY","Philip Eng Respiratory &amp; Medical Clinic")</f>
        <v>Philip Eng Respiratory &amp; Medical Clinic</v>
      </c>
      <c r="B3950" t="s">
        <v>7897</v>
      </c>
      <c r="C3950" t="s">
        <v>10</v>
      </c>
      <c r="D3950" t="s">
        <v>8</v>
      </c>
      <c r="E3950" t="s">
        <v>8</v>
      </c>
      <c r="F3950" t="s">
        <v>377</v>
      </c>
      <c r="G3950" t="s">
        <v>3029</v>
      </c>
      <c r="H3950" t="s">
        <v>3030</v>
      </c>
      <c r="I3950" t="s">
        <v>123</v>
      </c>
    </row>
    <row r="3951" spans="1:9" x14ac:dyDescent="0.25">
      <c r="A3951" s="1" t="str">
        <f>HYPERLINK("https://lynxcrm-apac--c.eu19.visual.force.com/0011i000001xnp3AAA","Phipps, Mary Ann")</f>
        <v>Phipps, Mary Ann</v>
      </c>
      <c r="B3951" t="s">
        <v>7898</v>
      </c>
      <c r="C3951" t="s">
        <v>28</v>
      </c>
      <c r="D3951" t="s">
        <v>7899</v>
      </c>
      <c r="E3951" t="s">
        <v>8</v>
      </c>
      <c r="F3951" t="s">
        <v>6569</v>
      </c>
      <c r="G3951" t="s">
        <v>7900</v>
      </c>
      <c r="H3951" t="s">
        <v>7901</v>
      </c>
      <c r="I3951" t="s">
        <v>6571</v>
      </c>
    </row>
    <row r="3952" spans="1:9" x14ac:dyDescent="0.25">
      <c r="A3952" s="1" t="str">
        <f>HYPERLINK("https://lynxcrm-apac--c.eu19.visual.force.com/0011i000001xoA6AAI","Phoa, Lee Lan")</f>
        <v>Phoa, Lee Lan</v>
      </c>
      <c r="B3952" t="s">
        <v>7902</v>
      </c>
      <c r="C3952" t="s">
        <v>28</v>
      </c>
      <c r="D3952" t="s">
        <v>261</v>
      </c>
      <c r="E3952" t="s">
        <v>8</v>
      </c>
      <c r="F3952" t="s">
        <v>261</v>
      </c>
      <c r="G3952" t="s">
        <v>347</v>
      </c>
      <c r="H3952" t="s">
        <v>347</v>
      </c>
      <c r="I3952" t="s">
        <v>260</v>
      </c>
    </row>
    <row r="3953" spans="1:9" x14ac:dyDescent="0.25">
      <c r="A3953" s="1" t="str">
        <f>HYPERLINK("https://lynxcrm-apac--c.eu19.visual.force.com/0011i000001xoA6AAI","Phoa, Lee Lan")</f>
        <v>Phoa, Lee Lan</v>
      </c>
      <c r="B3953" t="s">
        <v>7902</v>
      </c>
      <c r="C3953" t="s">
        <v>28</v>
      </c>
      <c r="D3953" t="s">
        <v>261</v>
      </c>
      <c r="E3953" t="s">
        <v>8</v>
      </c>
      <c r="F3953" t="s">
        <v>239</v>
      </c>
      <c r="G3953" t="s">
        <v>258</v>
      </c>
      <c r="H3953" t="s">
        <v>259</v>
      </c>
      <c r="I3953" t="s">
        <v>260</v>
      </c>
    </row>
    <row r="3954" spans="1:9" x14ac:dyDescent="0.25">
      <c r="A3954" s="1" t="str">
        <f>HYPERLINK("https://lynxcrm-apac--c.eu19.visual.force.com/0011i000001xmwSAAQ","Phoenix Medical Group")</f>
        <v>Phoenix Medical Group</v>
      </c>
      <c r="B3954" t="s">
        <v>7903</v>
      </c>
      <c r="C3954" t="s">
        <v>10</v>
      </c>
      <c r="D3954" t="s">
        <v>8</v>
      </c>
      <c r="E3954" t="s">
        <v>8</v>
      </c>
      <c r="F3954" t="s">
        <v>7904</v>
      </c>
      <c r="G3954" t="s">
        <v>7905</v>
      </c>
      <c r="H3954" t="s">
        <v>7905</v>
      </c>
      <c r="I3954" t="s">
        <v>7906</v>
      </c>
    </row>
    <row r="3955" spans="1:9" x14ac:dyDescent="0.25">
      <c r="A3955" s="1" t="str">
        <f>HYPERLINK("https://lynxcrm-apac--c.eu19.visual.force.com/0011i00000C7N8iAAF","Phoenix Medical Group Paya Lebar")</f>
        <v>Phoenix Medical Group Paya Lebar</v>
      </c>
      <c r="B3955" t="s">
        <v>7907</v>
      </c>
      <c r="C3955" t="s">
        <v>10</v>
      </c>
      <c r="D3955" t="s">
        <v>8</v>
      </c>
      <c r="E3955" t="s">
        <v>8</v>
      </c>
      <c r="F3955" t="s">
        <v>3316</v>
      </c>
      <c r="G3955" t="s">
        <v>3317</v>
      </c>
      <c r="H3955" t="s">
        <v>8</v>
      </c>
      <c r="I3955" t="s">
        <v>3318</v>
      </c>
    </row>
    <row r="3956" spans="1:9" x14ac:dyDescent="0.25">
      <c r="A3956" s="1" t="str">
        <f>HYPERLINK("https://lynxcrm-apac--c.eu19.visual.force.com/0011i000001xoXjAAI","Phoon, Chiu Yong")</f>
        <v>Phoon, Chiu Yong</v>
      </c>
      <c r="B3956" t="s">
        <v>7908</v>
      </c>
      <c r="C3956" t="s">
        <v>28</v>
      </c>
      <c r="D3956" t="s">
        <v>1333</v>
      </c>
      <c r="E3956" t="s">
        <v>8</v>
      </c>
      <c r="F3956" t="s">
        <v>579</v>
      </c>
      <c r="G3956" t="s">
        <v>7909</v>
      </c>
      <c r="H3956" t="s">
        <v>7909</v>
      </c>
      <c r="I3956" t="s">
        <v>581</v>
      </c>
    </row>
    <row r="3957" spans="1:9" x14ac:dyDescent="0.25">
      <c r="A3957" s="1" t="str">
        <f>HYPERLINK("https://lynxcrm-apac--c.eu19.visual.force.com/0011i000001xnCiAAI","Phoon Clinic &amp; Surgery")</f>
        <v>Phoon Clinic &amp; Surgery</v>
      </c>
      <c r="B3957" t="s">
        <v>7910</v>
      </c>
      <c r="C3957" t="s">
        <v>10</v>
      </c>
      <c r="D3957" t="s">
        <v>8</v>
      </c>
      <c r="E3957" t="s">
        <v>8</v>
      </c>
      <c r="F3957" t="s">
        <v>7911</v>
      </c>
      <c r="G3957" t="s">
        <v>7912</v>
      </c>
      <c r="H3957" t="s">
        <v>7913</v>
      </c>
      <c r="I3957" t="s">
        <v>7615</v>
      </c>
    </row>
    <row r="3958" spans="1:9" x14ac:dyDescent="0.25">
      <c r="A3958" s="1" t="str">
        <f t="shared" ref="A3958:A3963" si="33">HYPERLINK("https://lynxcrm-apac--c.eu19.visual.force.com/0011i000001xoH2AAI","Phua, Eng Joo")</f>
        <v>Phua, Eng Joo</v>
      </c>
      <c r="B3958" t="s">
        <v>7914</v>
      </c>
      <c r="C3958" t="s">
        <v>28</v>
      </c>
      <c r="D3958" t="s">
        <v>501</v>
      </c>
      <c r="E3958" t="s">
        <v>8</v>
      </c>
      <c r="F3958" t="s">
        <v>501</v>
      </c>
      <c r="G3958" t="s">
        <v>502</v>
      </c>
      <c r="H3958" t="s">
        <v>502</v>
      </c>
      <c r="I3958" t="s">
        <v>506</v>
      </c>
    </row>
    <row r="3959" spans="1:9" x14ac:dyDescent="0.25">
      <c r="A3959" s="1" t="str">
        <f t="shared" si="33"/>
        <v>Phua, Eng Joo</v>
      </c>
      <c r="B3959" t="s">
        <v>7914</v>
      </c>
      <c r="C3959" t="s">
        <v>28</v>
      </c>
      <c r="D3959" t="s">
        <v>501</v>
      </c>
      <c r="E3959" t="s">
        <v>8</v>
      </c>
      <c r="F3959" t="s">
        <v>502</v>
      </c>
      <c r="G3959" t="s">
        <v>502</v>
      </c>
      <c r="H3959" t="s">
        <v>503</v>
      </c>
      <c r="I3959" t="s">
        <v>504</v>
      </c>
    </row>
    <row r="3960" spans="1:9" x14ac:dyDescent="0.25">
      <c r="A3960" s="1" t="str">
        <f t="shared" si="33"/>
        <v>Phua, Eng Joo</v>
      </c>
      <c r="B3960" t="s">
        <v>7914</v>
      </c>
      <c r="C3960" t="s">
        <v>28</v>
      </c>
      <c r="D3960" t="s">
        <v>501</v>
      </c>
      <c r="E3960" t="s">
        <v>8</v>
      </c>
      <c r="F3960" t="s">
        <v>246</v>
      </c>
      <c r="G3960" t="s">
        <v>502</v>
      </c>
      <c r="H3960" t="s">
        <v>503</v>
      </c>
      <c r="I3960" t="s">
        <v>504</v>
      </c>
    </row>
    <row r="3961" spans="1:9" x14ac:dyDescent="0.25">
      <c r="A3961" s="1" t="str">
        <f t="shared" si="33"/>
        <v>Phua, Eng Joo</v>
      </c>
      <c r="B3961" t="s">
        <v>7914</v>
      </c>
      <c r="C3961" t="s">
        <v>28</v>
      </c>
      <c r="D3961" t="s">
        <v>501</v>
      </c>
      <c r="E3961" t="s">
        <v>8</v>
      </c>
      <c r="F3961" t="s">
        <v>246</v>
      </c>
      <c r="G3961" t="s">
        <v>502</v>
      </c>
      <c r="H3961" t="s">
        <v>503</v>
      </c>
      <c r="I3961" t="s">
        <v>505</v>
      </c>
    </row>
    <row r="3962" spans="1:9" x14ac:dyDescent="0.25">
      <c r="A3962" s="1" t="str">
        <f t="shared" si="33"/>
        <v>Phua, Eng Joo</v>
      </c>
      <c r="B3962" t="s">
        <v>7914</v>
      </c>
      <c r="C3962" t="s">
        <v>28</v>
      </c>
      <c r="D3962" t="s">
        <v>501</v>
      </c>
      <c r="E3962" t="s">
        <v>8</v>
      </c>
      <c r="F3962" t="s">
        <v>234</v>
      </c>
      <c r="G3962" t="s">
        <v>502</v>
      </c>
      <c r="H3962" t="s">
        <v>503</v>
      </c>
      <c r="I3962" t="s">
        <v>504</v>
      </c>
    </row>
    <row r="3963" spans="1:9" x14ac:dyDescent="0.25">
      <c r="A3963" s="1" t="str">
        <f t="shared" si="33"/>
        <v>Phua, Eng Joo</v>
      </c>
      <c r="B3963" t="s">
        <v>7914</v>
      </c>
      <c r="C3963" t="s">
        <v>28</v>
      </c>
      <c r="D3963" t="s">
        <v>501</v>
      </c>
      <c r="E3963" t="s">
        <v>8</v>
      </c>
      <c r="F3963" t="s">
        <v>359</v>
      </c>
      <c r="G3963" t="s">
        <v>502</v>
      </c>
      <c r="H3963" t="s">
        <v>503</v>
      </c>
      <c r="I3963" t="s">
        <v>506</v>
      </c>
    </row>
    <row r="3964" spans="1:9" x14ac:dyDescent="0.25">
      <c r="A3964" s="1" t="str">
        <f>HYPERLINK("https://lynxcrm-apac--c.eu19.visual.force.com/0011i000001xo4WAAQ","Phua, Ling Yaw")</f>
        <v>Phua, Ling Yaw</v>
      </c>
      <c r="B3964" t="s">
        <v>7915</v>
      </c>
      <c r="C3964" t="s">
        <v>28</v>
      </c>
      <c r="D3964" t="s">
        <v>7916</v>
      </c>
      <c r="E3964" t="s">
        <v>8</v>
      </c>
      <c r="F3964" t="s">
        <v>7642</v>
      </c>
      <c r="G3964" t="s">
        <v>7643</v>
      </c>
      <c r="H3964" t="s">
        <v>7643</v>
      </c>
      <c r="I3964" t="s">
        <v>7644</v>
      </c>
    </row>
    <row r="3965" spans="1:9" x14ac:dyDescent="0.25">
      <c r="A3965" s="1" t="str">
        <f>HYPERLINK("https://lynxcrm-apac--c.eu19.visual.force.com/0011i000001xo0aAAA","Phua, Mei Fang")</f>
        <v>Phua, Mei Fang</v>
      </c>
      <c r="B3965" t="s">
        <v>7917</v>
      </c>
      <c r="C3965" t="s">
        <v>28</v>
      </c>
      <c r="D3965" t="s">
        <v>7918</v>
      </c>
      <c r="E3965" t="s">
        <v>8</v>
      </c>
      <c r="F3965" t="s">
        <v>6644</v>
      </c>
      <c r="G3965" t="s">
        <v>6645</v>
      </c>
      <c r="H3965" t="s">
        <v>6645</v>
      </c>
      <c r="I3965" t="s">
        <v>6646</v>
      </c>
    </row>
    <row r="3966" spans="1:9" x14ac:dyDescent="0.25">
      <c r="A3966" s="1" t="str">
        <f>HYPERLINK("https://lynxcrm-apac--c.eu19.visual.force.com/0011i00000Xz2a8AAB","Phua, Michelle")</f>
        <v>Phua, Michelle</v>
      </c>
      <c r="B3966" t="s">
        <v>7919</v>
      </c>
      <c r="C3966" t="s">
        <v>28</v>
      </c>
      <c r="D3966" t="s">
        <v>7920</v>
      </c>
      <c r="E3966" t="s">
        <v>8</v>
      </c>
      <c r="F3966" t="s">
        <v>7921</v>
      </c>
      <c r="G3966" t="s">
        <v>7238</v>
      </c>
      <c r="H3966" t="s">
        <v>8</v>
      </c>
      <c r="I3966" t="s">
        <v>2302</v>
      </c>
    </row>
    <row r="3967" spans="1:9" x14ac:dyDescent="0.25">
      <c r="A3967" s="1" t="str">
        <f>HYPERLINK("https://lynxcrm-apac--c.eu19.visual.force.com/0011i000001xnp8AAA","Phua, Ngee Boon")</f>
        <v>Phua, Ngee Boon</v>
      </c>
      <c r="B3967" t="s">
        <v>7922</v>
      </c>
      <c r="C3967" t="s">
        <v>28</v>
      </c>
      <c r="D3967" t="s">
        <v>7923</v>
      </c>
      <c r="E3967" t="s">
        <v>8</v>
      </c>
      <c r="F3967" t="s">
        <v>3915</v>
      </c>
      <c r="G3967" t="s">
        <v>3915</v>
      </c>
      <c r="H3967" t="s">
        <v>7924</v>
      </c>
      <c r="I3967" t="s">
        <v>3916</v>
      </c>
    </row>
    <row r="3968" spans="1:9" x14ac:dyDescent="0.25">
      <c r="A3968" s="1" t="str">
        <f>HYPERLINK("https://lynxcrm-apac--c.eu19.visual.force.com/0011i000001xnp9AAA","Phua, See Chun")</f>
        <v>Phua, See Chun</v>
      </c>
      <c r="B3968" t="s">
        <v>7925</v>
      </c>
      <c r="C3968" t="s">
        <v>28</v>
      </c>
      <c r="D3968" t="s">
        <v>937</v>
      </c>
      <c r="E3968" t="s">
        <v>8</v>
      </c>
      <c r="F3968" t="s">
        <v>1723</v>
      </c>
      <c r="G3968" t="s">
        <v>7926</v>
      </c>
      <c r="H3968" t="s">
        <v>7926</v>
      </c>
      <c r="I3968" t="s">
        <v>1725</v>
      </c>
    </row>
    <row r="3969" spans="1:9" x14ac:dyDescent="0.25">
      <c r="A3969" s="1" t="str">
        <f>HYPERLINK("https://lynxcrm-apac--c.eu19.visual.force.com/0011i000001xnArAAI","Physician Practice Family Medical")</f>
        <v>Physician Practice Family Medical</v>
      </c>
      <c r="B3969" t="s">
        <v>7927</v>
      </c>
      <c r="C3969" t="s">
        <v>10</v>
      </c>
      <c r="D3969" t="s">
        <v>8</v>
      </c>
      <c r="E3969" t="s">
        <v>8</v>
      </c>
      <c r="F3969" t="s">
        <v>7928</v>
      </c>
      <c r="G3969" t="s">
        <v>7929</v>
      </c>
      <c r="H3969" t="s">
        <v>7929</v>
      </c>
      <c r="I3969" t="s">
        <v>7886</v>
      </c>
    </row>
    <row r="3970" spans="1:9" x14ac:dyDescent="0.25">
      <c r="A3970" s="1" t="str">
        <f>HYPERLINK("https://lynxcrm-apac--c.eu19.visual.force.com/0011i000001xn7aAAA","Physician Practice Family Medical Centre")</f>
        <v>Physician Practice Family Medical Centre</v>
      </c>
      <c r="B3970" t="s">
        <v>7930</v>
      </c>
      <c r="C3970" t="s">
        <v>10</v>
      </c>
      <c r="D3970" t="s">
        <v>8</v>
      </c>
      <c r="E3970" t="s">
        <v>8</v>
      </c>
      <c r="F3970" t="s">
        <v>7884</v>
      </c>
      <c r="G3970" t="s">
        <v>7931</v>
      </c>
      <c r="H3970" t="s">
        <v>7931</v>
      </c>
      <c r="I3970" t="s">
        <v>7886</v>
      </c>
    </row>
    <row r="3971" spans="1:9" x14ac:dyDescent="0.25">
      <c r="A3971" s="1" t="str">
        <f>HYPERLINK("https://lynxcrm-apac--c.eu19.visual.force.com/0011i000001xnBMAAY","Picton Medical Centre")</f>
        <v>Picton Medical Centre</v>
      </c>
      <c r="B3971" t="s">
        <v>7932</v>
      </c>
      <c r="C3971" t="s">
        <v>10</v>
      </c>
      <c r="D3971" t="s">
        <v>8</v>
      </c>
      <c r="E3971" t="s">
        <v>8</v>
      </c>
      <c r="F3971" t="s">
        <v>5545</v>
      </c>
      <c r="G3971" t="s">
        <v>5546</v>
      </c>
      <c r="H3971" t="s">
        <v>5547</v>
      </c>
      <c r="I3971" t="s">
        <v>4078</v>
      </c>
    </row>
    <row r="3972" spans="1:9" x14ac:dyDescent="0.25">
      <c r="A3972" s="1" t="str">
        <f>HYPERLINK("https://lynxcrm-apac--c.eu19.visual.force.com/0011i000001xnpCAAQ","Pillay, Vettivaloo Kand")</f>
        <v>Pillay, Vettivaloo Kand</v>
      </c>
      <c r="B3972" t="s">
        <v>7933</v>
      </c>
      <c r="C3972" t="s">
        <v>28</v>
      </c>
      <c r="D3972" t="s">
        <v>7934</v>
      </c>
      <c r="E3972" t="s">
        <v>8</v>
      </c>
      <c r="F3972" t="s">
        <v>121</v>
      </c>
      <c r="G3972" t="s">
        <v>122</v>
      </c>
      <c r="H3972" t="s">
        <v>122</v>
      </c>
      <c r="I3972" t="s">
        <v>123</v>
      </c>
    </row>
    <row r="3973" spans="1:9" x14ac:dyDescent="0.25">
      <c r="A3973" s="1" t="str">
        <f>HYPERLINK("https://lynxcrm-apac--c.eu19.visual.force.com/0011i000001xnCkAAI","Pillay Ortho Spine &amp; Reconstructive")</f>
        <v>Pillay Ortho Spine &amp; Reconstructive</v>
      </c>
      <c r="B3973" t="s">
        <v>7935</v>
      </c>
      <c r="C3973" t="s">
        <v>10</v>
      </c>
      <c r="D3973" t="s">
        <v>8</v>
      </c>
      <c r="E3973" t="s">
        <v>8</v>
      </c>
      <c r="F3973" t="s">
        <v>377</v>
      </c>
      <c r="G3973" t="s">
        <v>7936</v>
      </c>
      <c r="H3973" t="s">
        <v>7937</v>
      </c>
      <c r="I3973" t="s">
        <v>123</v>
      </c>
    </row>
    <row r="3974" spans="1:9" x14ac:dyDescent="0.25">
      <c r="A3974" s="1" t="str">
        <f>HYPERLINK("https://lynxcrm-apac--c.eu19.visual.force.com/0011i000001xnpEAAQ","Pilo, Linda Mary")</f>
        <v>Pilo, Linda Mary</v>
      </c>
      <c r="B3974" t="s">
        <v>7938</v>
      </c>
      <c r="C3974" t="s">
        <v>28</v>
      </c>
      <c r="D3974" t="s">
        <v>1199</v>
      </c>
      <c r="E3974" t="s">
        <v>8</v>
      </c>
      <c r="F3974" t="s">
        <v>7939</v>
      </c>
      <c r="G3974" t="s">
        <v>439</v>
      </c>
      <c r="H3974" t="s">
        <v>439</v>
      </c>
      <c r="I3974" t="s">
        <v>7940</v>
      </c>
    </row>
    <row r="3975" spans="1:9" x14ac:dyDescent="0.25">
      <c r="A3975" s="1" t="str">
        <f>HYPERLINK("https://lynxcrm-apac--c.eu19.visual.force.com/0011i000001xn0mAAA","Pinnacle Family Clinic")</f>
        <v>Pinnacle Family Clinic</v>
      </c>
      <c r="B3975" t="s">
        <v>7941</v>
      </c>
      <c r="C3975" t="s">
        <v>10</v>
      </c>
      <c r="D3975" t="s">
        <v>8</v>
      </c>
      <c r="E3975" t="s">
        <v>8</v>
      </c>
      <c r="F3975" t="s">
        <v>6746</v>
      </c>
      <c r="G3975" t="s">
        <v>6746</v>
      </c>
      <c r="H3975" t="s">
        <v>8</v>
      </c>
      <c r="I3975" t="s">
        <v>6747</v>
      </c>
    </row>
    <row r="3976" spans="1:9" x14ac:dyDescent="0.25">
      <c r="A3976" s="1" t="str">
        <f>HYPERLINK("https://lynxcrm-apac--c.eu19.visual.force.com/0011i000001xnFJAAY","Pinnacle Orthopaedic, Joint &amp; Sports Ctr")</f>
        <v>Pinnacle Orthopaedic, Joint &amp; Sports Ctr</v>
      </c>
      <c r="B3976" t="s">
        <v>7942</v>
      </c>
      <c r="C3976" t="s">
        <v>10</v>
      </c>
      <c r="D3976" t="s">
        <v>8</v>
      </c>
      <c r="E3976" t="s">
        <v>8</v>
      </c>
      <c r="F3976" t="s">
        <v>4130</v>
      </c>
      <c r="G3976" t="s">
        <v>7943</v>
      </c>
      <c r="H3976" t="s">
        <v>7943</v>
      </c>
      <c r="I3976" t="s">
        <v>123</v>
      </c>
    </row>
    <row r="3977" spans="1:9" x14ac:dyDescent="0.25">
      <c r="A3977" s="1" t="str">
        <f>HYPERLINK("https://lynxcrm-apac--c.eu19.visual.force.com/0011i000001xnH4AAI","Pinnacle Orthopaedic &amp; Sports Ctr")</f>
        <v>Pinnacle Orthopaedic &amp; Sports Ctr</v>
      </c>
      <c r="B3977" t="s">
        <v>7944</v>
      </c>
      <c r="C3977" t="s">
        <v>10</v>
      </c>
      <c r="D3977" t="s">
        <v>8</v>
      </c>
      <c r="E3977" t="s">
        <v>8</v>
      </c>
      <c r="F3977" t="s">
        <v>4130</v>
      </c>
      <c r="G3977" t="s">
        <v>121</v>
      </c>
      <c r="H3977" t="s">
        <v>121</v>
      </c>
      <c r="I3977" t="s">
        <v>123</v>
      </c>
    </row>
    <row r="3978" spans="1:9" x14ac:dyDescent="0.25">
      <c r="A3978" s="1" t="str">
        <f>HYPERLINK("https://lynxcrm-apac--c.eu19.visual.force.com/0011i000007DbTnAAK","Pioneer Polyclinic")</f>
        <v>Pioneer Polyclinic</v>
      </c>
      <c r="B3978" t="s">
        <v>7945</v>
      </c>
      <c r="C3978" t="s">
        <v>10</v>
      </c>
      <c r="D3978" t="s">
        <v>8</v>
      </c>
      <c r="E3978" t="s">
        <v>8</v>
      </c>
      <c r="F3978" t="s">
        <v>1463</v>
      </c>
      <c r="G3978" t="s">
        <v>1464</v>
      </c>
      <c r="H3978" t="s">
        <v>8</v>
      </c>
      <c r="I3978" t="s">
        <v>1465</v>
      </c>
    </row>
    <row r="3979" spans="1:9" x14ac:dyDescent="0.25">
      <c r="A3979" s="1" t="str">
        <f>HYPERLINK("https://lynxcrm-apac--c.eu19.visual.force.com/0011i000001xnXLAAY","PJ Clinic")</f>
        <v>PJ Clinic</v>
      </c>
      <c r="B3979" t="s">
        <v>7946</v>
      </c>
      <c r="C3979" t="s">
        <v>10</v>
      </c>
      <c r="D3979" t="s">
        <v>8</v>
      </c>
      <c r="E3979" t="s">
        <v>8</v>
      </c>
      <c r="F3979" t="s">
        <v>7947</v>
      </c>
      <c r="G3979" t="s">
        <v>7948</v>
      </c>
      <c r="H3979" t="s">
        <v>7949</v>
      </c>
      <c r="I3979" t="s">
        <v>7950</v>
      </c>
    </row>
    <row r="3980" spans="1:9" x14ac:dyDescent="0.25">
      <c r="A3980" s="1" t="str">
        <f t="shared" ref="A3980:A3985" si="34">HYPERLINK("https://lynxcrm-apac--c.eu19.visual.force.com/0011i000007FFefAAG","Png, Donna")</f>
        <v>Png, Donna</v>
      </c>
      <c r="B3980" t="s">
        <v>7951</v>
      </c>
      <c r="C3980" t="s">
        <v>28</v>
      </c>
      <c r="D3980" t="s">
        <v>501</v>
      </c>
      <c r="E3980" t="s">
        <v>8</v>
      </c>
      <c r="F3980" t="s">
        <v>502</v>
      </c>
      <c r="G3980" t="s">
        <v>502</v>
      </c>
      <c r="H3980" t="s">
        <v>503</v>
      </c>
      <c r="I3980" t="s">
        <v>504</v>
      </c>
    </row>
    <row r="3981" spans="1:9" x14ac:dyDescent="0.25">
      <c r="A3981" s="1" t="str">
        <f t="shared" si="34"/>
        <v>Png, Donna</v>
      </c>
      <c r="B3981" t="s">
        <v>7951</v>
      </c>
      <c r="C3981" t="s">
        <v>28</v>
      </c>
      <c r="D3981" t="s">
        <v>501</v>
      </c>
      <c r="E3981" t="s">
        <v>8</v>
      </c>
      <c r="F3981" t="s">
        <v>246</v>
      </c>
      <c r="G3981" t="s">
        <v>502</v>
      </c>
      <c r="H3981" t="s">
        <v>503</v>
      </c>
      <c r="I3981" t="s">
        <v>504</v>
      </c>
    </row>
    <row r="3982" spans="1:9" x14ac:dyDescent="0.25">
      <c r="A3982" s="1" t="str">
        <f t="shared" si="34"/>
        <v>Png, Donna</v>
      </c>
      <c r="B3982" t="s">
        <v>7951</v>
      </c>
      <c r="C3982" t="s">
        <v>28</v>
      </c>
      <c r="D3982" t="s">
        <v>501</v>
      </c>
      <c r="E3982" t="s">
        <v>8</v>
      </c>
      <c r="F3982" t="s">
        <v>246</v>
      </c>
      <c r="G3982" t="s">
        <v>502</v>
      </c>
      <c r="H3982" t="s">
        <v>503</v>
      </c>
      <c r="I3982" t="s">
        <v>505</v>
      </c>
    </row>
    <row r="3983" spans="1:9" x14ac:dyDescent="0.25">
      <c r="A3983" s="1" t="str">
        <f t="shared" si="34"/>
        <v>Png, Donna</v>
      </c>
      <c r="B3983" t="s">
        <v>7951</v>
      </c>
      <c r="C3983" t="s">
        <v>28</v>
      </c>
      <c r="D3983" t="s">
        <v>501</v>
      </c>
      <c r="E3983" t="s">
        <v>8</v>
      </c>
      <c r="F3983" t="s">
        <v>501</v>
      </c>
      <c r="G3983" t="s">
        <v>502</v>
      </c>
      <c r="H3983" t="s">
        <v>502</v>
      </c>
      <c r="I3983" t="s">
        <v>506</v>
      </c>
    </row>
    <row r="3984" spans="1:9" x14ac:dyDescent="0.25">
      <c r="A3984" s="1" t="str">
        <f t="shared" si="34"/>
        <v>Png, Donna</v>
      </c>
      <c r="B3984" t="s">
        <v>7951</v>
      </c>
      <c r="C3984" t="s">
        <v>28</v>
      </c>
      <c r="D3984" t="s">
        <v>501</v>
      </c>
      <c r="E3984" t="s">
        <v>8</v>
      </c>
      <c r="F3984" t="s">
        <v>234</v>
      </c>
      <c r="G3984" t="s">
        <v>502</v>
      </c>
      <c r="H3984" t="s">
        <v>503</v>
      </c>
      <c r="I3984" t="s">
        <v>504</v>
      </c>
    </row>
    <row r="3985" spans="1:9" x14ac:dyDescent="0.25">
      <c r="A3985" s="1" t="str">
        <f t="shared" si="34"/>
        <v>Png, Donna</v>
      </c>
      <c r="B3985" t="s">
        <v>7951</v>
      </c>
      <c r="C3985" t="s">
        <v>28</v>
      </c>
      <c r="D3985" t="s">
        <v>501</v>
      </c>
      <c r="E3985" t="s">
        <v>8</v>
      </c>
      <c r="F3985" t="s">
        <v>359</v>
      </c>
      <c r="G3985" t="s">
        <v>502</v>
      </c>
      <c r="H3985" t="s">
        <v>503</v>
      </c>
      <c r="I3985" t="s">
        <v>506</v>
      </c>
    </row>
    <row r="3986" spans="1:9" x14ac:dyDescent="0.25">
      <c r="A3986" s="1" t="str">
        <f>HYPERLINK("https://lynxcrm-apac--c.eu19.visual.force.com/0011i000001xoLlAAI","Poh, Choo Hean")</f>
        <v>Poh, Choo Hean</v>
      </c>
      <c r="B3986" t="s">
        <v>7952</v>
      </c>
      <c r="C3986" t="s">
        <v>28</v>
      </c>
      <c r="D3986" t="s">
        <v>583</v>
      </c>
      <c r="E3986" t="s">
        <v>8</v>
      </c>
      <c r="F3986" t="s">
        <v>583</v>
      </c>
      <c r="G3986" t="s">
        <v>584</v>
      </c>
      <c r="H3986" t="s">
        <v>584</v>
      </c>
      <c r="I3986" t="s">
        <v>585</v>
      </c>
    </row>
    <row r="3987" spans="1:9" x14ac:dyDescent="0.25">
      <c r="A3987" s="1" t="str">
        <f>HYPERLINK("https://lynxcrm-apac--c.eu19.visual.force.com/0011i000001xoLlAAI","Poh, Choo Hean")</f>
        <v>Poh, Choo Hean</v>
      </c>
      <c r="B3987" t="s">
        <v>7952</v>
      </c>
      <c r="C3987" t="s">
        <v>28</v>
      </c>
      <c r="D3987" t="s">
        <v>583</v>
      </c>
      <c r="E3987" t="s">
        <v>8</v>
      </c>
      <c r="F3987" t="s">
        <v>257</v>
      </c>
      <c r="G3987" t="s">
        <v>584</v>
      </c>
      <c r="H3987" t="s">
        <v>1386</v>
      </c>
      <c r="I3987" t="s">
        <v>585</v>
      </c>
    </row>
    <row r="3988" spans="1:9" x14ac:dyDescent="0.25">
      <c r="A3988" s="1" t="str">
        <f>HYPERLINK("https://lynxcrm-apac--c.eu19.visual.force.com/0011i00000k1XChAAM","Poh, Guo Han Aaron")</f>
        <v>Poh, Guo Han Aaron</v>
      </c>
      <c r="B3988" t="s">
        <v>7953</v>
      </c>
      <c r="C3988" t="s">
        <v>28</v>
      </c>
      <c r="D3988" t="s">
        <v>7954</v>
      </c>
      <c r="E3988" t="s">
        <v>8</v>
      </c>
      <c r="F3988" t="s">
        <v>412</v>
      </c>
      <c r="G3988" t="s">
        <v>388</v>
      </c>
      <c r="H3988" t="s">
        <v>8</v>
      </c>
      <c r="I3988" t="s">
        <v>123</v>
      </c>
    </row>
    <row r="3989" spans="1:9" x14ac:dyDescent="0.25">
      <c r="A3989" s="1" t="str">
        <f>HYPERLINK("https://lynxcrm-apac--c.eu19.visual.force.com/0011i000001xoAAAAY","Poh, Wee Min")</f>
        <v>Poh, Wee Min</v>
      </c>
      <c r="B3989" t="s">
        <v>7955</v>
      </c>
      <c r="C3989" t="s">
        <v>28</v>
      </c>
      <c r="D3989" t="s">
        <v>163</v>
      </c>
      <c r="E3989" t="s">
        <v>8</v>
      </c>
      <c r="F3989" t="s">
        <v>163</v>
      </c>
      <c r="G3989" t="s">
        <v>164</v>
      </c>
      <c r="H3989" t="s">
        <v>164</v>
      </c>
      <c r="I3989" t="s">
        <v>165</v>
      </c>
    </row>
    <row r="3990" spans="1:9" x14ac:dyDescent="0.25">
      <c r="A3990" s="1" t="str">
        <f>HYPERLINK("https://lynxcrm-apac--c.eu19.visual.force.com/0011i000001xnXpAAI","Point Medical Group")</f>
        <v>Point Medical Group</v>
      </c>
      <c r="B3990" t="s">
        <v>7956</v>
      </c>
      <c r="C3990" t="s">
        <v>10</v>
      </c>
      <c r="D3990" t="s">
        <v>8</v>
      </c>
      <c r="E3990" t="s">
        <v>8</v>
      </c>
      <c r="F3990" t="s">
        <v>7399</v>
      </c>
      <c r="G3990" t="s">
        <v>7400</v>
      </c>
      <c r="H3990" t="s">
        <v>303</v>
      </c>
      <c r="I3990" t="s">
        <v>7401</v>
      </c>
    </row>
    <row r="3991" spans="1:9" x14ac:dyDescent="0.25">
      <c r="A3991" s="1" t="str">
        <f>HYPERLINK("https://lynxcrm-apac--c.eu19.visual.force.com/0011i000001xmfZAAQ","Point Medical Group")</f>
        <v>Point Medical Group</v>
      </c>
      <c r="B3991" t="s">
        <v>7957</v>
      </c>
      <c r="C3991" t="s">
        <v>10</v>
      </c>
      <c r="D3991" t="s">
        <v>8</v>
      </c>
      <c r="E3991" t="s">
        <v>8</v>
      </c>
      <c r="F3991" t="s">
        <v>7399</v>
      </c>
      <c r="G3991" t="s">
        <v>7400</v>
      </c>
      <c r="H3991" t="s">
        <v>303</v>
      </c>
      <c r="I3991" t="s">
        <v>7401</v>
      </c>
    </row>
    <row r="3992" spans="1:9" x14ac:dyDescent="0.25">
      <c r="A3992" s="1" t="str">
        <f>HYPERLINK("https://lynxcrm-apac--c.eu19.visual.force.com/0011i000001xofgAAA","Pok, Yang Hang")</f>
        <v>Pok, Yang Hang</v>
      </c>
      <c r="B3992" t="s">
        <v>7958</v>
      </c>
      <c r="C3992" t="s">
        <v>28</v>
      </c>
      <c r="D3992" t="s">
        <v>1894</v>
      </c>
      <c r="E3992" t="s">
        <v>8</v>
      </c>
      <c r="F3992" t="s">
        <v>3112</v>
      </c>
      <c r="G3992" t="s">
        <v>65</v>
      </c>
      <c r="H3992" t="s">
        <v>65</v>
      </c>
      <c r="I3992" t="s">
        <v>466</v>
      </c>
    </row>
    <row r="3993" spans="1:9" x14ac:dyDescent="0.25">
      <c r="A3993" s="1" t="str">
        <f>HYPERLINK("https://lynxcrm-apac--c.eu19.visual.force.com/0011i000001xoEMAAY","Ponampalam, R")</f>
        <v>Ponampalam, R</v>
      </c>
      <c r="B3993" t="s">
        <v>7959</v>
      </c>
      <c r="C3993" t="s">
        <v>28</v>
      </c>
      <c r="D3993" t="s">
        <v>251</v>
      </c>
      <c r="E3993" t="s">
        <v>8</v>
      </c>
      <c r="F3993" t="s">
        <v>251</v>
      </c>
      <c r="G3993" t="s">
        <v>252</v>
      </c>
      <c r="H3993" t="s">
        <v>252</v>
      </c>
      <c r="I3993" t="s">
        <v>253</v>
      </c>
    </row>
    <row r="3994" spans="1:9" x14ac:dyDescent="0.25">
      <c r="A3994" s="1" t="str">
        <f>HYPERLINK("https://lynxcrm-apac--c.eu19.visual.force.com/0011i000001xoEMAAY","Ponampalam, R")</f>
        <v>Ponampalam, R</v>
      </c>
      <c r="B3994" t="s">
        <v>7959</v>
      </c>
      <c r="C3994" t="s">
        <v>28</v>
      </c>
      <c r="D3994" t="s">
        <v>251</v>
      </c>
      <c r="E3994" t="s">
        <v>8</v>
      </c>
      <c r="F3994" t="s">
        <v>368</v>
      </c>
      <c r="G3994" t="s">
        <v>252</v>
      </c>
      <c r="H3994" t="s">
        <v>252</v>
      </c>
      <c r="I3994" t="s">
        <v>253</v>
      </c>
    </row>
    <row r="3995" spans="1:9" x14ac:dyDescent="0.25">
      <c r="A3995" s="1" t="str">
        <f>HYPERLINK("https://lynxcrm-apac--c.eu19.visual.force.com/0011i000001xol3AAA","Poon, Hei Wen")</f>
        <v>Poon, Hei Wen</v>
      </c>
      <c r="B3995" t="s">
        <v>7960</v>
      </c>
      <c r="C3995" t="s">
        <v>28</v>
      </c>
      <c r="D3995" t="s">
        <v>148</v>
      </c>
      <c r="E3995" t="s">
        <v>8</v>
      </c>
      <c r="F3995" t="s">
        <v>736</v>
      </c>
      <c r="G3995" t="s">
        <v>736</v>
      </c>
      <c r="H3995" t="s">
        <v>8</v>
      </c>
      <c r="I3995" t="s">
        <v>149</v>
      </c>
    </row>
    <row r="3996" spans="1:9" x14ac:dyDescent="0.25">
      <c r="A3996" s="1" t="str">
        <f>HYPERLINK("https://lynxcrm-apac--c.eu19.visual.force.com/0011i000001xntfAAA","Poon, Ngar Yee")</f>
        <v>Poon, Ngar Yee</v>
      </c>
      <c r="B3996" t="s">
        <v>7961</v>
      </c>
      <c r="C3996" t="s">
        <v>28</v>
      </c>
      <c r="D3996" t="s">
        <v>583</v>
      </c>
      <c r="E3996" t="s">
        <v>8</v>
      </c>
      <c r="F3996" t="s">
        <v>583</v>
      </c>
      <c r="G3996" t="s">
        <v>584</v>
      </c>
      <c r="H3996" t="s">
        <v>584</v>
      </c>
      <c r="I3996" t="s">
        <v>585</v>
      </c>
    </row>
    <row r="3997" spans="1:9" x14ac:dyDescent="0.25">
      <c r="A3997" s="1" t="str">
        <f>HYPERLINK("https://lynxcrm-apac--c.eu19.visual.force.com/0011i000001xor5AAA","Poon, Shi Hui")</f>
        <v>Poon, Shi Hui</v>
      </c>
      <c r="B3997" t="s">
        <v>7962</v>
      </c>
      <c r="C3997" t="s">
        <v>28</v>
      </c>
      <c r="D3997" t="s">
        <v>251</v>
      </c>
      <c r="E3997" t="s">
        <v>8</v>
      </c>
      <c r="F3997" t="s">
        <v>251</v>
      </c>
      <c r="G3997" t="s">
        <v>252</v>
      </c>
      <c r="H3997" t="s">
        <v>252</v>
      </c>
      <c r="I3997" t="s">
        <v>253</v>
      </c>
    </row>
    <row r="3998" spans="1:9" x14ac:dyDescent="0.25">
      <c r="A3998" s="1" t="str">
        <f>HYPERLINK("https://lynxcrm-apac--c.eu19.visual.force.com/0011i00000eV1NCAA0","Poon, Shi Hui")</f>
        <v>Poon, Shi Hui</v>
      </c>
      <c r="B3998" t="s">
        <v>7963</v>
      </c>
      <c r="C3998" t="s">
        <v>28</v>
      </c>
      <c r="D3998" t="s">
        <v>7964</v>
      </c>
      <c r="E3998" t="s">
        <v>8</v>
      </c>
      <c r="F3998" t="s">
        <v>6994</v>
      </c>
      <c r="G3998" t="s">
        <v>377</v>
      </c>
      <c r="H3998" t="s">
        <v>8</v>
      </c>
      <c r="I3998" t="s">
        <v>123</v>
      </c>
    </row>
    <row r="3999" spans="1:9" x14ac:dyDescent="0.25">
      <c r="A3999" s="1" t="str">
        <f>HYPERLINK("https://lynxcrm-apac--c.eu19.visual.force.com/0011i000001xoHhAAI","Poon, Sui Kit")</f>
        <v>Poon, Sui Kit</v>
      </c>
      <c r="B3999" t="s">
        <v>7965</v>
      </c>
      <c r="C3999" t="s">
        <v>28</v>
      </c>
      <c r="D3999" t="s">
        <v>701</v>
      </c>
      <c r="E3999" t="s">
        <v>8</v>
      </c>
      <c r="F3999" t="s">
        <v>1123</v>
      </c>
      <c r="G3999" t="s">
        <v>1123</v>
      </c>
      <c r="H3999" t="s">
        <v>1124</v>
      </c>
      <c r="I3999" t="s">
        <v>703</v>
      </c>
    </row>
    <row r="4000" spans="1:9" x14ac:dyDescent="0.25">
      <c r="A4000" s="1" t="str">
        <f>HYPERLINK("https://lynxcrm-apac--c.eu19.visual.force.com/0011i000001xoHhAAI","Poon, Sui Kit")</f>
        <v>Poon, Sui Kit</v>
      </c>
      <c r="B4000" t="s">
        <v>7965</v>
      </c>
      <c r="C4000" t="s">
        <v>28</v>
      </c>
      <c r="D4000" t="s">
        <v>701</v>
      </c>
      <c r="E4000" t="s">
        <v>8</v>
      </c>
      <c r="F4000" t="s">
        <v>1123</v>
      </c>
      <c r="G4000" t="s">
        <v>1123</v>
      </c>
      <c r="H4000" t="s">
        <v>8</v>
      </c>
      <c r="I4000" t="s">
        <v>703</v>
      </c>
    </row>
    <row r="4001" spans="1:9" x14ac:dyDescent="0.25">
      <c r="A4001" s="1" t="str">
        <f>HYPERLINK("https://lynxcrm-apac--c.eu19.visual.force.com/0011i000001xoZhAAI","Poon, Zhimin")</f>
        <v>Poon, Zhimin</v>
      </c>
      <c r="B4001" t="s">
        <v>7966</v>
      </c>
      <c r="C4001" t="s">
        <v>28</v>
      </c>
      <c r="D4001" t="s">
        <v>752</v>
      </c>
      <c r="E4001" t="s">
        <v>8</v>
      </c>
      <c r="F4001" t="s">
        <v>753</v>
      </c>
      <c r="G4001" t="s">
        <v>753</v>
      </c>
      <c r="H4001" t="s">
        <v>8</v>
      </c>
      <c r="I4001" t="s">
        <v>137</v>
      </c>
    </row>
    <row r="4002" spans="1:9" x14ac:dyDescent="0.25">
      <c r="A4002" s="1" t="str">
        <f>HYPERLINK("https://lynxcrm-apac--c.eu19.visual.force.com/0011i00000vHmfOAAS","Poon, Zhimin")</f>
        <v>Poon, Zhimin</v>
      </c>
      <c r="B4002" t="s">
        <v>7967</v>
      </c>
      <c r="C4002" t="s">
        <v>28</v>
      </c>
      <c r="D4002" t="s">
        <v>8</v>
      </c>
      <c r="E4002" t="s">
        <v>8</v>
      </c>
      <c r="F4002" t="s">
        <v>393</v>
      </c>
      <c r="G4002" t="s">
        <v>394</v>
      </c>
      <c r="H4002" t="s">
        <v>395</v>
      </c>
      <c r="I4002" t="s">
        <v>396</v>
      </c>
    </row>
    <row r="4003" spans="1:9" x14ac:dyDescent="0.25">
      <c r="A4003" s="1" t="str">
        <f>HYPERLINK("https://lynxcrm-apac--c.eu19.visual.force.com/0011i00000vHmfOAAS","Poon, Zhimin")</f>
        <v>Poon, Zhimin</v>
      </c>
      <c r="B4003" t="s">
        <v>7967</v>
      </c>
      <c r="C4003" t="s">
        <v>28</v>
      </c>
      <c r="D4003" t="s">
        <v>392</v>
      </c>
      <c r="E4003" t="s">
        <v>8</v>
      </c>
      <c r="F4003" t="s">
        <v>393</v>
      </c>
      <c r="G4003" t="s">
        <v>394</v>
      </c>
      <c r="H4003" t="s">
        <v>395</v>
      </c>
      <c r="I4003" t="s">
        <v>396</v>
      </c>
    </row>
    <row r="4004" spans="1:9" x14ac:dyDescent="0.25">
      <c r="A4004" s="1" t="str">
        <f>HYPERLINK("https://lynxcrm-apac--c.eu19.visual.force.com/0011i000001xmspAAA","Potong Pasir Medical Clinic")</f>
        <v>Potong Pasir Medical Clinic</v>
      </c>
      <c r="B4004" t="s">
        <v>7968</v>
      </c>
      <c r="C4004" t="s">
        <v>10</v>
      </c>
      <c r="D4004" t="s">
        <v>8</v>
      </c>
      <c r="E4004" t="s">
        <v>8</v>
      </c>
      <c r="F4004" t="s">
        <v>7969</v>
      </c>
      <c r="G4004" t="s">
        <v>1531</v>
      </c>
      <c r="H4004" t="s">
        <v>1531</v>
      </c>
      <c r="I4004" t="s">
        <v>7970</v>
      </c>
    </row>
    <row r="4005" spans="1:9" x14ac:dyDescent="0.25">
      <c r="A4005" s="1" t="str">
        <f>HYPERLINK("https://lynxcrm-apac--c.eu19.visual.force.com/0011i000001xnpLAAQ","Pow, Chun Wei")</f>
        <v>Pow, Chun Wei</v>
      </c>
      <c r="B4005" t="s">
        <v>7971</v>
      </c>
      <c r="C4005" t="s">
        <v>28</v>
      </c>
      <c r="D4005" t="s">
        <v>7972</v>
      </c>
      <c r="E4005" t="s">
        <v>8</v>
      </c>
      <c r="F4005" t="s">
        <v>7973</v>
      </c>
      <c r="G4005" t="s">
        <v>3175</v>
      </c>
      <c r="H4005" t="s">
        <v>7974</v>
      </c>
      <c r="I4005" t="s">
        <v>7975</v>
      </c>
    </row>
    <row r="4006" spans="1:9" x14ac:dyDescent="0.25">
      <c r="A4006" s="1" t="str">
        <f>HYPERLINK("https://lynxcrm-apac--c.eu19.visual.force.com/0011i000001xo4sAAA","Prabath, Joseph Francis")</f>
        <v>Prabath, Joseph Francis</v>
      </c>
      <c r="B4006" t="s">
        <v>7976</v>
      </c>
      <c r="C4006" t="s">
        <v>28</v>
      </c>
      <c r="D4006" t="s">
        <v>261</v>
      </c>
      <c r="E4006" t="s">
        <v>8</v>
      </c>
      <c r="F4006" t="s">
        <v>234</v>
      </c>
      <c r="G4006" t="s">
        <v>258</v>
      </c>
      <c r="H4006" t="s">
        <v>258</v>
      </c>
      <c r="I4006" t="s">
        <v>260</v>
      </c>
    </row>
    <row r="4007" spans="1:9" x14ac:dyDescent="0.25">
      <c r="A4007" s="1" t="str">
        <f>HYPERLINK("https://lynxcrm-apac--c.eu19.visual.force.com/0011i000001xo4sAAA","Prabath, Joseph Francis")</f>
        <v>Prabath, Joseph Francis</v>
      </c>
      <c r="B4007" t="s">
        <v>7976</v>
      </c>
      <c r="C4007" t="s">
        <v>28</v>
      </c>
      <c r="D4007" t="s">
        <v>261</v>
      </c>
      <c r="E4007" t="s">
        <v>8</v>
      </c>
      <c r="F4007" t="s">
        <v>261</v>
      </c>
      <c r="G4007" t="s">
        <v>347</v>
      </c>
      <c r="H4007" t="s">
        <v>347</v>
      </c>
      <c r="I4007" t="s">
        <v>260</v>
      </c>
    </row>
    <row r="4008" spans="1:9" x14ac:dyDescent="0.25">
      <c r="A4008" s="1" t="str">
        <f>HYPERLINK("https://lynxcrm-apac--c.eu19.visual.force.com/0011i000001xoHGAAY","Prabhakar, K S")</f>
        <v>Prabhakar, K S</v>
      </c>
      <c r="B4008" t="s">
        <v>7977</v>
      </c>
      <c r="C4008" t="s">
        <v>28</v>
      </c>
      <c r="D4008" t="s">
        <v>251</v>
      </c>
      <c r="E4008" t="s">
        <v>8</v>
      </c>
      <c r="F4008" t="s">
        <v>241</v>
      </c>
      <c r="G4008" t="s">
        <v>252</v>
      </c>
      <c r="H4008" t="s">
        <v>252</v>
      </c>
      <c r="I4008" t="s">
        <v>253</v>
      </c>
    </row>
    <row r="4009" spans="1:9" x14ac:dyDescent="0.25">
      <c r="A4009" s="1" t="str">
        <f>HYPERLINK("https://lynxcrm-apac--c.eu19.visual.force.com/0011i000001xoHGAAY","Prabhakar, K S")</f>
        <v>Prabhakar, K S</v>
      </c>
      <c r="B4009" t="s">
        <v>7977</v>
      </c>
      <c r="C4009" t="s">
        <v>28</v>
      </c>
      <c r="D4009" t="s">
        <v>251</v>
      </c>
      <c r="E4009" t="s">
        <v>8</v>
      </c>
      <c r="F4009" t="s">
        <v>251</v>
      </c>
      <c r="G4009" t="s">
        <v>252</v>
      </c>
      <c r="H4009" t="s">
        <v>252</v>
      </c>
      <c r="I4009" t="s">
        <v>253</v>
      </c>
    </row>
    <row r="4010" spans="1:9" x14ac:dyDescent="0.25">
      <c r="A4010" s="1" t="str">
        <f>HYPERLINK("https://lynxcrm-apac--c.eu19.visual.force.com/0011i000001xoONAAY","Pradhan, Swati")</f>
        <v>Pradhan, Swati</v>
      </c>
      <c r="B4010" t="s">
        <v>7978</v>
      </c>
      <c r="C4010" t="s">
        <v>28</v>
      </c>
      <c r="D4010" t="s">
        <v>90</v>
      </c>
      <c r="E4010" t="s">
        <v>8</v>
      </c>
      <c r="F4010" t="s">
        <v>90</v>
      </c>
      <c r="G4010" t="s">
        <v>91</v>
      </c>
      <c r="H4010" t="s">
        <v>91</v>
      </c>
      <c r="I4010" t="s">
        <v>92</v>
      </c>
    </row>
    <row r="4011" spans="1:9" x14ac:dyDescent="0.25">
      <c r="A4011" s="1" t="str">
        <f>HYPERLINK("https://lynxcrm-apac--c.eu19.visual.force.com/0011i000001xoONAAY","Pradhan, Swati")</f>
        <v>Pradhan, Swati</v>
      </c>
      <c r="B4011" t="s">
        <v>7978</v>
      </c>
      <c r="C4011" t="s">
        <v>28</v>
      </c>
      <c r="D4011" t="s">
        <v>520</v>
      </c>
      <c r="E4011" t="s">
        <v>8</v>
      </c>
      <c r="F4011" t="s">
        <v>90</v>
      </c>
      <c r="G4011" t="s">
        <v>521</v>
      </c>
      <c r="H4011" t="s">
        <v>521</v>
      </c>
      <c r="I4011" t="s">
        <v>92</v>
      </c>
    </row>
    <row r="4012" spans="1:9" x14ac:dyDescent="0.25">
      <c r="A4012" s="1" t="str">
        <f>HYPERLINK("https://lynxcrm-apac--c.eu19.visual.force.com/0011i00000uOGL7AAO","Praise Family Clinic")</f>
        <v>Praise Family Clinic</v>
      </c>
      <c r="B4012" t="s">
        <v>7979</v>
      </c>
      <c r="C4012" t="s">
        <v>10</v>
      </c>
      <c r="D4012" t="s">
        <v>8</v>
      </c>
      <c r="E4012" t="s">
        <v>8</v>
      </c>
      <c r="F4012" t="s">
        <v>7980</v>
      </c>
      <c r="G4012" t="s">
        <v>7981</v>
      </c>
      <c r="H4012" t="s">
        <v>8</v>
      </c>
      <c r="I4012" t="s">
        <v>7982</v>
      </c>
    </row>
    <row r="4013" spans="1:9" x14ac:dyDescent="0.25">
      <c r="A4013" s="1" t="str">
        <f>HYPERLINK("https://lynxcrm-apac--c.eu19.visual.force.com/0011i000001xodhAAA","Praveen, Shankar")</f>
        <v>Praveen, Shankar</v>
      </c>
      <c r="B4013" t="s">
        <v>7983</v>
      </c>
      <c r="C4013" t="s">
        <v>28</v>
      </c>
      <c r="D4013" t="s">
        <v>583</v>
      </c>
      <c r="E4013" t="s">
        <v>8</v>
      </c>
      <c r="F4013" t="s">
        <v>257</v>
      </c>
      <c r="G4013" t="s">
        <v>584</v>
      </c>
      <c r="H4013" t="s">
        <v>1386</v>
      </c>
      <c r="I4013" t="s">
        <v>585</v>
      </c>
    </row>
    <row r="4014" spans="1:9" x14ac:dyDescent="0.25">
      <c r="A4014" s="1" t="str">
        <f>HYPERLINK("https://lynxcrm-apac--c.eu19.visual.force.com/0011i000001xmdbAAA","Prema Raj Liver &amp; General Surgery")</f>
        <v>Prema Raj Liver &amp; General Surgery</v>
      </c>
      <c r="B4014" t="s">
        <v>7984</v>
      </c>
      <c r="C4014" t="s">
        <v>10</v>
      </c>
      <c r="D4014" t="s">
        <v>8</v>
      </c>
      <c r="E4014" t="s">
        <v>8</v>
      </c>
      <c r="F4014" t="s">
        <v>4568</v>
      </c>
      <c r="G4014" t="s">
        <v>121</v>
      </c>
      <c r="H4014" t="s">
        <v>121</v>
      </c>
      <c r="I4014" t="s">
        <v>123</v>
      </c>
    </row>
    <row r="4015" spans="1:9" x14ac:dyDescent="0.25">
      <c r="A4015" s="1" t="str">
        <f>HYPERLINK("https://lynxcrm-apac--c.eu19.visual.force.com/0011i000001xmtPAAQ","Premier Healthcare Clinic &amp; Surgery")</f>
        <v>Premier Healthcare Clinic &amp; Surgery</v>
      </c>
      <c r="B4015" t="s">
        <v>7985</v>
      </c>
      <c r="C4015" t="s">
        <v>10</v>
      </c>
      <c r="D4015" t="s">
        <v>8</v>
      </c>
      <c r="E4015" t="s">
        <v>8</v>
      </c>
      <c r="F4015" t="s">
        <v>6127</v>
      </c>
      <c r="G4015" t="s">
        <v>6128</v>
      </c>
      <c r="H4015" t="s">
        <v>6129</v>
      </c>
      <c r="I4015" t="s">
        <v>6130</v>
      </c>
    </row>
    <row r="4016" spans="1:9" x14ac:dyDescent="0.25">
      <c r="A4016" s="1" t="str">
        <f>HYPERLINK("https://lynxcrm-apac--c.eu19.visual.force.com/0011i000001xn5zAAA","President Medical Clinic")</f>
        <v>President Medical Clinic</v>
      </c>
      <c r="B4016" t="s">
        <v>7986</v>
      </c>
      <c r="C4016" t="s">
        <v>10</v>
      </c>
      <c r="D4016" t="s">
        <v>8</v>
      </c>
      <c r="E4016" t="s">
        <v>8</v>
      </c>
      <c r="F4016" t="s">
        <v>1870</v>
      </c>
      <c r="G4016" t="s">
        <v>1871</v>
      </c>
      <c r="H4016" t="s">
        <v>1871</v>
      </c>
      <c r="I4016" t="s">
        <v>1872</v>
      </c>
    </row>
    <row r="4017" spans="1:9" x14ac:dyDescent="0.25">
      <c r="A4017" s="1" t="str">
        <f>HYPERLINK("https://lynxcrm-apac--c.eu19.visual.force.com/0011i000001xmwmAAA","Prime Health Med Group")</f>
        <v>Prime Health Med Group</v>
      </c>
      <c r="B4017" t="s">
        <v>7987</v>
      </c>
      <c r="C4017" t="s">
        <v>10</v>
      </c>
      <c r="D4017" t="s">
        <v>8</v>
      </c>
      <c r="E4017" t="s">
        <v>8</v>
      </c>
      <c r="F4017" t="s">
        <v>7347</v>
      </c>
      <c r="G4017" t="s">
        <v>7348</v>
      </c>
      <c r="H4017" t="s">
        <v>7348</v>
      </c>
      <c r="I4017" t="s">
        <v>7349</v>
      </c>
    </row>
    <row r="4018" spans="1:9" x14ac:dyDescent="0.25">
      <c r="A4018" s="1" t="str">
        <f>HYPERLINK("https://lynxcrm-apac--c.eu19.visual.force.com/0011i000007EVGwAAO","Prime Heart Centre")</f>
        <v>Prime Heart Centre</v>
      </c>
      <c r="B4018" t="s">
        <v>7988</v>
      </c>
      <c r="C4018" t="s">
        <v>10</v>
      </c>
      <c r="D4018" t="s">
        <v>8</v>
      </c>
      <c r="E4018" t="s">
        <v>8</v>
      </c>
      <c r="F4018" t="s">
        <v>7989</v>
      </c>
      <c r="G4018" t="s">
        <v>469</v>
      </c>
      <c r="H4018" t="s">
        <v>8</v>
      </c>
      <c r="I4018" t="s">
        <v>466</v>
      </c>
    </row>
    <row r="4019" spans="1:9" x14ac:dyDescent="0.25">
      <c r="A4019" s="1" t="str">
        <f>HYPERLINK("https://lynxcrm-apac--c.eu19.visual.force.com/0011i000001xoTLAAY","Princeton Pharmacy")</f>
        <v>Princeton Pharmacy</v>
      </c>
      <c r="B4019" t="s">
        <v>7990</v>
      </c>
      <c r="C4019" t="s">
        <v>28</v>
      </c>
      <c r="D4019" t="s">
        <v>3494</v>
      </c>
      <c r="E4019" t="s">
        <v>8</v>
      </c>
      <c r="F4019" t="s">
        <v>7991</v>
      </c>
      <c r="G4019" t="s">
        <v>4600</v>
      </c>
      <c r="H4019" t="s">
        <v>4600</v>
      </c>
      <c r="I4019" t="s">
        <v>7992</v>
      </c>
    </row>
    <row r="4020" spans="1:9" x14ac:dyDescent="0.25">
      <c r="A4020" s="1" t="str">
        <f>HYPERLINK("https://lynxcrm-apac--c.eu19.visual.force.com/0011i000001xoNpAAI","Pritam, Singh")</f>
        <v>Pritam, Singh</v>
      </c>
      <c r="B4020" t="s">
        <v>7993</v>
      </c>
      <c r="C4020" t="s">
        <v>28</v>
      </c>
      <c r="D4020" t="s">
        <v>7994</v>
      </c>
      <c r="E4020" t="s">
        <v>8</v>
      </c>
      <c r="F4020" t="s">
        <v>377</v>
      </c>
      <c r="G4020" t="s">
        <v>7995</v>
      </c>
      <c r="H4020" t="s">
        <v>7995</v>
      </c>
      <c r="I4020" t="s">
        <v>123</v>
      </c>
    </row>
    <row r="4021" spans="1:9" x14ac:dyDescent="0.25">
      <c r="A4021" s="1" t="str">
        <f>HYPERLINK("https://lynxcrm-apac--c.eu19.visual.force.com/0011i000001xnOoAAI","Pritams Clinic &amp; Surgery, Ob-Gyn Consultants")</f>
        <v>Pritams Clinic &amp; Surgery, Ob-Gyn Consultants</v>
      </c>
      <c r="B4021" t="s">
        <v>7996</v>
      </c>
      <c r="C4021" t="s">
        <v>10</v>
      </c>
      <c r="D4021" t="s">
        <v>8</v>
      </c>
      <c r="E4021" t="s">
        <v>8</v>
      </c>
      <c r="F4021" t="s">
        <v>377</v>
      </c>
      <c r="G4021" t="s">
        <v>7995</v>
      </c>
      <c r="H4021" t="s">
        <v>7995</v>
      </c>
      <c r="I4021" t="s">
        <v>123</v>
      </c>
    </row>
    <row r="4022" spans="1:9" x14ac:dyDescent="0.25">
      <c r="A4022" s="1" t="str">
        <f>HYPERLINK("https://lynxcrm-apac--c.eu19.visual.force.com/0011i000001xnPpAAI","ProHealth 24-Hour Medical Clinic")</f>
        <v>ProHealth 24-Hour Medical Clinic</v>
      </c>
      <c r="B4022" t="s">
        <v>7997</v>
      </c>
      <c r="C4022" t="s">
        <v>10</v>
      </c>
      <c r="D4022" t="s">
        <v>8</v>
      </c>
      <c r="E4022" t="s">
        <v>8</v>
      </c>
      <c r="F4022" t="s">
        <v>7998</v>
      </c>
      <c r="G4022" t="s">
        <v>639</v>
      </c>
      <c r="H4022" t="s">
        <v>639</v>
      </c>
      <c r="I4022" t="s">
        <v>7999</v>
      </c>
    </row>
    <row r="4023" spans="1:9" x14ac:dyDescent="0.25">
      <c r="A4023" s="1" t="str">
        <f>HYPERLINK("https://lynxcrm-apac--c.eu19.visual.force.com/0011i000001xnPoAAI","ProHealth 24-Hour Medical Clinic")</f>
        <v>ProHealth 24-Hour Medical Clinic</v>
      </c>
      <c r="B4023" t="s">
        <v>8000</v>
      </c>
      <c r="C4023" t="s">
        <v>10</v>
      </c>
      <c r="D4023" t="s">
        <v>8</v>
      </c>
      <c r="E4023" t="s">
        <v>8</v>
      </c>
      <c r="F4023" t="s">
        <v>7998</v>
      </c>
      <c r="G4023" t="s">
        <v>639</v>
      </c>
      <c r="H4023" t="s">
        <v>639</v>
      </c>
      <c r="I4023" t="s">
        <v>7999</v>
      </c>
    </row>
    <row r="4024" spans="1:9" x14ac:dyDescent="0.25">
      <c r="A4024" s="1" t="str">
        <f>HYPERLINK("https://lynxcrm-apac--c.eu19.visual.force.com/0011i000001xnL1AAI","Pro-Life Medical Associates")</f>
        <v>Pro-Life Medical Associates</v>
      </c>
      <c r="B4024" t="s">
        <v>8001</v>
      </c>
      <c r="C4024" t="s">
        <v>10</v>
      </c>
      <c r="D4024" t="s">
        <v>8</v>
      </c>
      <c r="E4024" t="s">
        <v>8</v>
      </c>
      <c r="F4024" t="s">
        <v>1514</v>
      </c>
      <c r="G4024" t="s">
        <v>1515</v>
      </c>
      <c r="H4024" t="s">
        <v>1516</v>
      </c>
      <c r="I4024" t="s">
        <v>1517</v>
      </c>
    </row>
    <row r="4025" spans="1:9" x14ac:dyDescent="0.25">
      <c r="A4025" s="1" t="str">
        <f>HYPERLINK("https://lynxcrm-apac--c.eu19.visual.force.com/0011i000001xnSDAAY","Promises Healthcare Pte Ltd")</f>
        <v>Promises Healthcare Pte Ltd</v>
      </c>
      <c r="B4025" t="s">
        <v>8002</v>
      </c>
      <c r="C4025" t="s">
        <v>10</v>
      </c>
      <c r="D4025" t="s">
        <v>8</v>
      </c>
      <c r="E4025" t="s">
        <v>8</v>
      </c>
      <c r="F4025" t="s">
        <v>8003</v>
      </c>
      <c r="G4025" t="s">
        <v>8003</v>
      </c>
      <c r="H4025" t="s">
        <v>8004</v>
      </c>
      <c r="I4025" t="s">
        <v>887</v>
      </c>
    </row>
    <row r="4026" spans="1:9" x14ac:dyDescent="0.25">
      <c r="A4026" s="1" t="str">
        <f>HYPERLINK("https://lynxcrm-apac--c.eu19.visual.force.com/0011i000002Id77AAC","Providence Clinic @ Balestier")</f>
        <v>Providence Clinic @ Balestier</v>
      </c>
      <c r="B4026" t="s">
        <v>8005</v>
      </c>
      <c r="C4026" t="s">
        <v>10</v>
      </c>
      <c r="D4026" t="s">
        <v>8</v>
      </c>
      <c r="E4026" t="s">
        <v>8</v>
      </c>
      <c r="F4026" t="s">
        <v>8006</v>
      </c>
      <c r="G4026" t="s">
        <v>8007</v>
      </c>
      <c r="H4026" t="s">
        <v>8007</v>
      </c>
      <c r="I4026" t="s">
        <v>351</v>
      </c>
    </row>
    <row r="4027" spans="1:9" x14ac:dyDescent="0.25">
      <c r="A4027" s="1" t="str">
        <f>HYPERLINK("https://lynxcrm-apac--c.eu19.visual.force.com/0011i000001xnDaAAI","Providence Clinic &amp; Surgery")</f>
        <v>Providence Clinic &amp; Surgery</v>
      </c>
      <c r="B4027" t="s">
        <v>8008</v>
      </c>
      <c r="C4027" t="s">
        <v>10</v>
      </c>
      <c r="D4027" t="s">
        <v>8</v>
      </c>
      <c r="E4027" t="s">
        <v>8</v>
      </c>
      <c r="F4027" t="s">
        <v>3932</v>
      </c>
      <c r="G4027" t="s">
        <v>8009</v>
      </c>
      <c r="H4027" t="s">
        <v>8009</v>
      </c>
      <c r="I4027" t="s">
        <v>3935</v>
      </c>
    </row>
    <row r="4028" spans="1:9" x14ac:dyDescent="0.25">
      <c r="A4028" s="1" t="str">
        <f>HYPERLINK("https://lynxcrm-apac--c.eu19.visual.force.com/0011i000001xmk0AAA","Providence Medical Centre")</f>
        <v>Providence Medical Centre</v>
      </c>
      <c r="B4028" t="s">
        <v>8010</v>
      </c>
      <c r="C4028" t="s">
        <v>10</v>
      </c>
      <c r="D4028" t="s">
        <v>8</v>
      </c>
      <c r="E4028" t="s">
        <v>8</v>
      </c>
      <c r="F4028" t="s">
        <v>8011</v>
      </c>
      <c r="G4028" t="s">
        <v>8012</v>
      </c>
      <c r="H4028" t="s">
        <v>8012</v>
      </c>
      <c r="I4028" t="s">
        <v>8013</v>
      </c>
    </row>
    <row r="4029" spans="1:9" x14ac:dyDescent="0.25">
      <c r="A4029" s="1" t="str">
        <f>HYPERLINK("https://lynxcrm-apac--c.eu19.visual.force.com/0011i000001xn8tAAA","P S Lui Clinic &amp; Surg For Women")</f>
        <v>P S Lui Clinic &amp; Surg For Women</v>
      </c>
      <c r="B4029" t="s">
        <v>8014</v>
      </c>
      <c r="C4029" t="s">
        <v>10</v>
      </c>
      <c r="D4029" t="s">
        <v>8</v>
      </c>
      <c r="E4029" t="s">
        <v>8</v>
      </c>
      <c r="F4029" t="s">
        <v>215</v>
      </c>
      <c r="G4029" t="s">
        <v>6467</v>
      </c>
      <c r="H4029" t="s">
        <v>6468</v>
      </c>
      <c r="I4029" t="s">
        <v>216</v>
      </c>
    </row>
    <row r="4030" spans="1:9" x14ac:dyDescent="0.25">
      <c r="A4030" s="1" t="str">
        <f>HYPERLINK("https://lynxcrm-apac--c.eu19.visual.force.com/0011i000001xnVtAAI","P S Medical Clinic")</f>
        <v>P S Medical Clinic</v>
      </c>
      <c r="B4030" t="s">
        <v>8015</v>
      </c>
      <c r="C4030" t="s">
        <v>10</v>
      </c>
      <c r="D4030" t="s">
        <v>8</v>
      </c>
      <c r="E4030" t="s">
        <v>8</v>
      </c>
      <c r="F4030" t="s">
        <v>215</v>
      </c>
      <c r="G4030" t="s">
        <v>6467</v>
      </c>
      <c r="H4030" t="s">
        <v>6467</v>
      </c>
      <c r="I4030" t="s">
        <v>216</v>
      </c>
    </row>
    <row r="4031" spans="1:9" x14ac:dyDescent="0.25">
      <c r="A4031" s="1" t="str">
        <f>HYPERLINK("https://lynxcrm-apac--c.eu19.visual.force.com/0011i000001xnBqAAI","Psychiatric Clinic Lim Hsin Loh")</f>
        <v>Psychiatric Clinic Lim Hsin Loh</v>
      </c>
      <c r="B4031" t="s">
        <v>8016</v>
      </c>
      <c r="C4031" t="s">
        <v>10</v>
      </c>
      <c r="D4031" t="s">
        <v>8</v>
      </c>
      <c r="E4031" t="s">
        <v>8</v>
      </c>
      <c r="F4031" t="s">
        <v>377</v>
      </c>
      <c r="G4031" t="s">
        <v>5945</v>
      </c>
      <c r="H4031" t="s">
        <v>5946</v>
      </c>
      <c r="I4031" t="s">
        <v>123</v>
      </c>
    </row>
    <row r="4032" spans="1:9" x14ac:dyDescent="0.25">
      <c r="A4032" s="1" t="str">
        <f>HYPERLINK("https://lynxcrm-apac--c.eu19.visual.force.com/0011i000001xo1mAAA","Puar, Hai Kiat Troy")</f>
        <v>Puar, Hai Kiat Troy</v>
      </c>
      <c r="B4032" t="s">
        <v>8017</v>
      </c>
      <c r="C4032" t="s">
        <v>28</v>
      </c>
      <c r="D4032" t="s">
        <v>583</v>
      </c>
      <c r="E4032" t="s">
        <v>8</v>
      </c>
      <c r="F4032" t="s">
        <v>583</v>
      </c>
      <c r="G4032" t="s">
        <v>584</v>
      </c>
      <c r="H4032" t="s">
        <v>584</v>
      </c>
      <c r="I4032" t="s">
        <v>585</v>
      </c>
    </row>
    <row r="4033" spans="1:9" x14ac:dyDescent="0.25">
      <c r="A4033" s="1" t="str">
        <f>HYPERLINK("https://lynxcrm-apac--c.eu19.visual.force.com/0011i00000Egz8oAAB","Pulse Clinic")</f>
        <v>Pulse Clinic</v>
      </c>
      <c r="B4033" t="s">
        <v>8018</v>
      </c>
      <c r="C4033" t="s">
        <v>10</v>
      </c>
      <c r="D4033" t="s">
        <v>8</v>
      </c>
      <c r="E4033" t="s">
        <v>8</v>
      </c>
      <c r="F4033" t="s">
        <v>6857</v>
      </c>
      <c r="G4033" t="s">
        <v>6858</v>
      </c>
      <c r="H4033" t="s">
        <v>8</v>
      </c>
      <c r="I4033" t="s">
        <v>6859</v>
      </c>
    </row>
    <row r="4034" spans="1:9" x14ac:dyDescent="0.25">
      <c r="A4034" s="1" t="str">
        <f>HYPERLINK("https://lynxcrm-apac--c.eu19.visual.force.com/0011i000001xnStAAI","Purchasing Department")</f>
        <v>Purchasing Department</v>
      </c>
      <c r="B4034" t="s">
        <v>8019</v>
      </c>
      <c r="C4034" t="s">
        <v>10</v>
      </c>
      <c r="D4034" t="s">
        <v>8</v>
      </c>
      <c r="E4034" t="s">
        <v>8</v>
      </c>
      <c r="F4034" t="s">
        <v>428</v>
      </c>
      <c r="G4034" t="s">
        <v>429</v>
      </c>
      <c r="H4034" t="s">
        <v>429</v>
      </c>
      <c r="I4034" t="s">
        <v>430</v>
      </c>
    </row>
    <row r="4035" spans="1:9" x14ac:dyDescent="0.25">
      <c r="A4035" s="1" t="str">
        <f>HYPERLINK("https://lynxcrm-apac--c.eu19.visual.force.com/0011i000001xo5IAAQ","Puvanendran, Kathiravelu")</f>
        <v>Puvanendran, Kathiravelu</v>
      </c>
      <c r="B4035" t="s">
        <v>8020</v>
      </c>
      <c r="C4035" t="s">
        <v>28</v>
      </c>
      <c r="D4035" t="s">
        <v>251</v>
      </c>
      <c r="E4035" t="s">
        <v>8</v>
      </c>
      <c r="F4035" t="s">
        <v>251</v>
      </c>
      <c r="G4035" t="s">
        <v>252</v>
      </c>
      <c r="H4035" t="s">
        <v>252</v>
      </c>
      <c r="I4035" t="s">
        <v>253</v>
      </c>
    </row>
    <row r="4036" spans="1:9" x14ac:dyDescent="0.25">
      <c r="A4036" s="1" t="str">
        <f>HYPERLINK("https://lynxcrm-apac--c.eu19.visual.force.com/0011i000001xo5IAAQ","Puvanendran, Kathiravelu")</f>
        <v>Puvanendran, Kathiravelu</v>
      </c>
      <c r="B4036" t="s">
        <v>8020</v>
      </c>
      <c r="C4036" t="s">
        <v>28</v>
      </c>
      <c r="D4036" t="s">
        <v>251</v>
      </c>
      <c r="E4036" t="s">
        <v>8</v>
      </c>
      <c r="F4036" t="s">
        <v>1263</v>
      </c>
      <c r="G4036" t="s">
        <v>252</v>
      </c>
      <c r="H4036" t="s">
        <v>252</v>
      </c>
      <c r="I4036" t="s">
        <v>253</v>
      </c>
    </row>
    <row r="4037" spans="1:9" x14ac:dyDescent="0.25">
      <c r="A4037" s="1" t="str">
        <f>HYPERLINK("https://lynxcrm-apac--c.eu19.visual.force.com/0011i000001xnpNAAQ","Pwee, Hock Swee")</f>
        <v>Pwee, Hock Swee</v>
      </c>
      <c r="B4037" t="s">
        <v>8021</v>
      </c>
      <c r="C4037" t="s">
        <v>28</v>
      </c>
      <c r="D4037" t="s">
        <v>8022</v>
      </c>
      <c r="E4037" t="s">
        <v>8</v>
      </c>
      <c r="F4037" t="s">
        <v>7014</v>
      </c>
      <c r="G4037" t="s">
        <v>121</v>
      </c>
      <c r="H4037" t="s">
        <v>121</v>
      </c>
      <c r="I4037" t="s">
        <v>123</v>
      </c>
    </row>
    <row r="4038" spans="1:9" x14ac:dyDescent="0.25">
      <c r="A4038" s="1" t="str">
        <f>HYPERLINK("https://lynxcrm-apac--c.eu19.visual.force.com/0011i000001xoJ4AAI","Pwee, May Li Emily")</f>
        <v>Pwee, May Li Emily</v>
      </c>
      <c r="B4038" t="s">
        <v>8023</v>
      </c>
      <c r="C4038" t="s">
        <v>28</v>
      </c>
      <c r="D4038" t="s">
        <v>164</v>
      </c>
      <c r="E4038" t="s">
        <v>8</v>
      </c>
      <c r="F4038" t="s">
        <v>163</v>
      </c>
      <c r="G4038" t="s">
        <v>8024</v>
      </c>
      <c r="H4038" t="s">
        <v>8024</v>
      </c>
      <c r="I4038" t="s">
        <v>165</v>
      </c>
    </row>
    <row r="4039" spans="1:9" x14ac:dyDescent="0.25">
      <c r="A4039" s="1" t="str">
        <f>HYPERLINK("https://lynxcrm-apac--c.eu19.visual.force.com/0011i000001xmvUAAQ","Q&amp;M Medical Clinic")</f>
        <v>Q&amp;M Medical Clinic</v>
      </c>
      <c r="B4039" t="s">
        <v>8025</v>
      </c>
      <c r="C4039" t="s">
        <v>10</v>
      </c>
      <c r="D4039" t="s">
        <v>8</v>
      </c>
      <c r="E4039" t="s">
        <v>8</v>
      </c>
      <c r="F4039" t="s">
        <v>1371</v>
      </c>
      <c r="G4039" t="s">
        <v>1372</v>
      </c>
      <c r="H4039" t="s">
        <v>1372</v>
      </c>
      <c r="I4039" t="s">
        <v>1373</v>
      </c>
    </row>
    <row r="4040" spans="1:9" x14ac:dyDescent="0.25">
      <c r="A4040" s="1" t="str">
        <f>HYPERLINK("https://lynxcrm-apac--c.eu19.visual.force.com/0011i000001xnFfAAI","Q &amp; M Medical Clinic")</f>
        <v>Q &amp; M Medical Clinic</v>
      </c>
      <c r="B4040" t="s">
        <v>8026</v>
      </c>
      <c r="C4040" t="s">
        <v>10</v>
      </c>
      <c r="D4040" t="s">
        <v>8</v>
      </c>
      <c r="E4040" t="s">
        <v>8</v>
      </c>
      <c r="F4040" t="s">
        <v>5014</v>
      </c>
      <c r="G4040" t="s">
        <v>1372</v>
      </c>
      <c r="H4040" t="s">
        <v>1372</v>
      </c>
      <c r="I4040" t="s">
        <v>1373</v>
      </c>
    </row>
    <row r="4041" spans="1:9" x14ac:dyDescent="0.25">
      <c r="A4041" s="1" t="str">
        <f>HYPERLINK("https://lynxcrm-apac--c.eu19.visual.force.com/0011i000001xmlAAAQ","Q&amp;M Medical Group")</f>
        <v>Q&amp;M Medical Group</v>
      </c>
      <c r="B4041" t="s">
        <v>8027</v>
      </c>
      <c r="C4041" t="s">
        <v>10</v>
      </c>
      <c r="D4041" t="s">
        <v>8</v>
      </c>
      <c r="E4041" t="s">
        <v>8</v>
      </c>
      <c r="F4041" t="s">
        <v>5405</v>
      </c>
      <c r="G4041" t="s">
        <v>2906</v>
      </c>
      <c r="H4041" t="s">
        <v>2906</v>
      </c>
      <c r="I4041" t="s">
        <v>5406</v>
      </c>
    </row>
    <row r="4042" spans="1:9" x14ac:dyDescent="0.25">
      <c r="A4042" s="1" t="str">
        <f>HYPERLINK("https://lynxcrm-apac--c.eu19.visual.force.com/0011i000007FAkPAAW","Qing, Manli")</f>
        <v>Qing, Manli</v>
      </c>
      <c r="B4042" t="s">
        <v>8028</v>
      </c>
      <c r="C4042" t="s">
        <v>28</v>
      </c>
      <c r="D4042" t="s">
        <v>8029</v>
      </c>
      <c r="E4042" t="s">
        <v>8</v>
      </c>
      <c r="F4042" t="s">
        <v>2988</v>
      </c>
      <c r="G4042" t="s">
        <v>2989</v>
      </c>
      <c r="H4042" t="s">
        <v>8</v>
      </c>
      <c r="I4042" t="s">
        <v>2990</v>
      </c>
    </row>
    <row r="4043" spans="1:9" x14ac:dyDescent="0.25">
      <c r="A4043" s="1" t="str">
        <f>HYPERLINK("https://lynxcrm-apac--c.eu19.visual.force.com/0011i000001xo5JAAQ","Quah, Boon Long")</f>
        <v>Quah, Boon Long</v>
      </c>
      <c r="B4043" t="s">
        <v>8030</v>
      </c>
      <c r="C4043" t="s">
        <v>28</v>
      </c>
      <c r="D4043" t="s">
        <v>251</v>
      </c>
      <c r="E4043" t="s">
        <v>8</v>
      </c>
      <c r="F4043" t="s">
        <v>251</v>
      </c>
      <c r="G4043" t="s">
        <v>252</v>
      </c>
      <c r="H4043" t="s">
        <v>252</v>
      </c>
      <c r="I4043" t="s">
        <v>253</v>
      </c>
    </row>
    <row r="4044" spans="1:9" x14ac:dyDescent="0.25">
      <c r="A4044" s="1" t="str">
        <f>HYPERLINK("https://lynxcrm-apac--c.eu19.visual.force.com/0011i000001xo5JAAQ","Quah, Boon Long")</f>
        <v>Quah, Boon Long</v>
      </c>
      <c r="B4044" t="s">
        <v>8030</v>
      </c>
      <c r="C4044" t="s">
        <v>28</v>
      </c>
      <c r="D4044" t="s">
        <v>1318</v>
      </c>
      <c r="E4044" t="s">
        <v>8</v>
      </c>
      <c r="F4044" t="s">
        <v>252</v>
      </c>
      <c r="G4044" t="s">
        <v>251</v>
      </c>
      <c r="H4044" t="s">
        <v>251</v>
      </c>
      <c r="I4044" t="s">
        <v>253</v>
      </c>
    </row>
    <row r="4045" spans="1:9" x14ac:dyDescent="0.25">
      <c r="A4045" s="1" t="str">
        <f>HYPERLINK("https://lynxcrm-apac--c.eu19.visual.force.com/0011i000001xoC4AAI","Quah, Song Chiek")</f>
        <v>Quah, Song Chiek</v>
      </c>
      <c r="B4045" t="s">
        <v>8031</v>
      </c>
      <c r="C4045" t="s">
        <v>28</v>
      </c>
      <c r="D4045" t="s">
        <v>368</v>
      </c>
      <c r="E4045" t="s">
        <v>8</v>
      </c>
      <c r="F4045" t="s">
        <v>258</v>
      </c>
      <c r="G4045" t="s">
        <v>261</v>
      </c>
      <c r="H4045" t="s">
        <v>261</v>
      </c>
      <c r="I4045" t="s">
        <v>260</v>
      </c>
    </row>
    <row r="4046" spans="1:9" x14ac:dyDescent="0.25">
      <c r="A4046" s="1" t="str">
        <f>HYPERLINK("https://lynxcrm-apac--c.eu19.visual.force.com/0011i000001xoC4AAI","Quah, Song Chiek")</f>
        <v>Quah, Song Chiek</v>
      </c>
      <c r="B4046" t="s">
        <v>8031</v>
      </c>
      <c r="C4046" t="s">
        <v>28</v>
      </c>
      <c r="D4046" t="s">
        <v>261</v>
      </c>
      <c r="E4046" t="s">
        <v>8</v>
      </c>
      <c r="F4046" t="s">
        <v>261</v>
      </c>
      <c r="G4046" t="s">
        <v>347</v>
      </c>
      <c r="H4046" t="s">
        <v>347</v>
      </c>
      <c r="I4046" t="s">
        <v>260</v>
      </c>
    </row>
    <row r="4047" spans="1:9" x14ac:dyDescent="0.25">
      <c r="A4047" s="1" t="str">
        <f>HYPERLINK("https://lynxcrm-apac--c.eu19.visual.force.com/0011i00000UMnI0AAL","Quah, Soon Wee")</f>
        <v>Quah, Soon Wee</v>
      </c>
      <c r="B4047" t="s">
        <v>8032</v>
      </c>
      <c r="C4047" t="s">
        <v>28</v>
      </c>
      <c r="D4047" t="s">
        <v>8033</v>
      </c>
      <c r="E4047" t="s">
        <v>8</v>
      </c>
      <c r="F4047" t="s">
        <v>2518</v>
      </c>
      <c r="G4047" t="s">
        <v>2519</v>
      </c>
      <c r="H4047" t="s">
        <v>8</v>
      </c>
      <c r="I4047" t="s">
        <v>2520</v>
      </c>
    </row>
    <row r="4048" spans="1:9" x14ac:dyDescent="0.25">
      <c r="A4048" s="1" t="str">
        <f>HYPERLINK("https://lynxcrm-apac--c.eu19.visual.force.com/0011i000001xnpSAAQ","Quah, Swee Liang Edit")</f>
        <v>Quah, Swee Liang Edit</v>
      </c>
      <c r="B4048" t="s">
        <v>8034</v>
      </c>
      <c r="C4048" t="s">
        <v>28</v>
      </c>
      <c r="D4048" t="s">
        <v>8035</v>
      </c>
      <c r="E4048" t="s">
        <v>8</v>
      </c>
      <c r="F4048" t="s">
        <v>8036</v>
      </c>
      <c r="G4048" t="s">
        <v>8037</v>
      </c>
      <c r="H4048" t="s">
        <v>8037</v>
      </c>
      <c r="I4048" t="s">
        <v>8038</v>
      </c>
    </row>
    <row r="4049" spans="1:9" x14ac:dyDescent="0.25">
      <c r="A4049" s="1" t="str">
        <f>HYPERLINK("https://lynxcrm-apac--c.eu19.visual.force.com/0011i00000pbXQcAAM","Quah, Yan Ling")</f>
        <v>Quah, Yan Ling</v>
      </c>
      <c r="B4049" t="s">
        <v>8039</v>
      </c>
      <c r="C4049" t="s">
        <v>28</v>
      </c>
      <c r="D4049" t="s">
        <v>589</v>
      </c>
      <c r="E4049" t="s">
        <v>8</v>
      </c>
      <c r="F4049" t="s">
        <v>590</v>
      </c>
      <c r="G4049" t="s">
        <v>591</v>
      </c>
      <c r="H4049" t="s">
        <v>8</v>
      </c>
      <c r="I4049" t="s">
        <v>592</v>
      </c>
    </row>
    <row r="4050" spans="1:9" x14ac:dyDescent="0.25">
      <c r="A4050" s="1" t="str">
        <f>HYPERLINK("https://lynxcrm-apac--c.eu19.visual.force.com/0011i000001xnVvAAI","Quah Medical Clinic")</f>
        <v>Quah Medical Clinic</v>
      </c>
      <c r="B4050" t="s">
        <v>8040</v>
      </c>
      <c r="C4050" t="s">
        <v>10</v>
      </c>
      <c r="D4050" t="s">
        <v>8</v>
      </c>
      <c r="E4050" t="s">
        <v>8</v>
      </c>
      <c r="F4050" t="s">
        <v>8036</v>
      </c>
      <c r="G4050" t="s">
        <v>8037</v>
      </c>
      <c r="H4050" t="s">
        <v>8037</v>
      </c>
      <c r="I4050" t="s">
        <v>8038</v>
      </c>
    </row>
    <row r="4051" spans="1:9" x14ac:dyDescent="0.25">
      <c r="A4051" s="1" t="str">
        <f>HYPERLINK("https://lynxcrm-apac--c.eu19.visual.force.com/0011i00000ULtS7AAL","Quah Soon Wee")</f>
        <v>Quah Soon Wee</v>
      </c>
      <c r="B4051" t="s">
        <v>8041</v>
      </c>
      <c r="C4051" t="s">
        <v>10</v>
      </c>
      <c r="D4051" t="s">
        <v>8</v>
      </c>
      <c r="E4051" t="s">
        <v>8</v>
      </c>
      <c r="F4051" t="s">
        <v>2518</v>
      </c>
      <c r="G4051" t="s">
        <v>1642</v>
      </c>
      <c r="H4051" t="s">
        <v>8</v>
      </c>
      <c r="I4051" t="s">
        <v>2520</v>
      </c>
    </row>
    <row r="4052" spans="1:9" x14ac:dyDescent="0.25">
      <c r="A4052" s="1" t="str">
        <f>HYPERLINK("https://lynxcrm-apac--c.eu19.visual.force.com/0011i000001xoa2AAA","Quan, Wai Leong")</f>
        <v>Quan, Wai Leong</v>
      </c>
      <c r="B4052" t="s">
        <v>8042</v>
      </c>
      <c r="C4052" t="s">
        <v>28</v>
      </c>
      <c r="D4052" t="s">
        <v>8043</v>
      </c>
      <c r="E4052" t="s">
        <v>8</v>
      </c>
      <c r="F4052" t="s">
        <v>8044</v>
      </c>
      <c r="G4052" t="s">
        <v>309</v>
      </c>
      <c r="H4052" t="s">
        <v>309</v>
      </c>
      <c r="I4052" t="s">
        <v>310</v>
      </c>
    </row>
    <row r="4053" spans="1:9" x14ac:dyDescent="0.25">
      <c r="A4053" s="1" t="str">
        <f>HYPERLINK("https://lynxcrm-apac--c.eu19.visual.force.com/0011i000001xnTrAAI","Queenstown Polyclinic")</f>
        <v>Queenstown Polyclinic</v>
      </c>
      <c r="B4053" t="s">
        <v>8045</v>
      </c>
      <c r="C4053" t="s">
        <v>10</v>
      </c>
      <c r="D4053" t="s">
        <v>8</v>
      </c>
      <c r="E4053" t="s">
        <v>8</v>
      </c>
      <c r="F4053" t="s">
        <v>1165</v>
      </c>
      <c r="G4053" t="s">
        <v>1166</v>
      </c>
      <c r="H4053" t="s">
        <v>1166</v>
      </c>
      <c r="I4053" t="s">
        <v>1167</v>
      </c>
    </row>
    <row r="4054" spans="1:9" x14ac:dyDescent="0.25">
      <c r="A4054" s="1" t="str">
        <f>HYPERLINK("https://lynxcrm-apac--c.eu19.visual.force.com/0011i000001xmftAAA","Queenstown Polyclinic")</f>
        <v>Queenstown Polyclinic</v>
      </c>
      <c r="B4054" t="s">
        <v>8046</v>
      </c>
      <c r="C4054" t="s">
        <v>10</v>
      </c>
      <c r="D4054" t="s">
        <v>8</v>
      </c>
      <c r="E4054" t="s">
        <v>8</v>
      </c>
      <c r="F4054" t="s">
        <v>1165</v>
      </c>
      <c r="G4054" t="s">
        <v>1165</v>
      </c>
      <c r="H4054" t="s">
        <v>3621</v>
      </c>
      <c r="I4054" t="s">
        <v>1167</v>
      </c>
    </row>
    <row r="4055" spans="1:9" x14ac:dyDescent="0.25">
      <c r="A4055" s="1" t="str">
        <f>HYPERLINK("https://lynxcrm-apac--c.eu19.visual.force.com/0011i000001xmcfAAA","Queenstown Polyclinic")</f>
        <v>Queenstown Polyclinic</v>
      </c>
      <c r="B4055" t="s">
        <v>8047</v>
      </c>
      <c r="C4055" t="s">
        <v>10</v>
      </c>
      <c r="D4055" t="s">
        <v>8</v>
      </c>
      <c r="E4055" t="s">
        <v>8</v>
      </c>
      <c r="F4055" t="s">
        <v>1165</v>
      </c>
      <c r="G4055" t="s">
        <v>1165</v>
      </c>
      <c r="H4055" t="s">
        <v>3621</v>
      </c>
      <c r="I4055" t="s">
        <v>1167</v>
      </c>
    </row>
    <row r="4056" spans="1:9" x14ac:dyDescent="0.25">
      <c r="A4056" s="1" t="str">
        <f>HYPERLINK("https://lynxcrm-apac--c.eu19.visual.force.com/0011i000001xmihAAA","Queenstown Polyclinic")</f>
        <v>Queenstown Polyclinic</v>
      </c>
      <c r="B4056" t="s">
        <v>8048</v>
      </c>
      <c r="C4056" t="s">
        <v>10</v>
      </c>
      <c r="D4056" t="s">
        <v>8</v>
      </c>
      <c r="E4056" t="s">
        <v>8</v>
      </c>
      <c r="F4056" t="s">
        <v>1165</v>
      </c>
      <c r="G4056" t="s">
        <v>1165</v>
      </c>
      <c r="H4056" t="s">
        <v>3621</v>
      </c>
      <c r="I4056" t="s">
        <v>1167</v>
      </c>
    </row>
    <row r="4057" spans="1:9" x14ac:dyDescent="0.25">
      <c r="A4057" s="1" t="str">
        <f>HYPERLINK("https://lynxcrm-apac--c.eu19.visual.force.com/0011i000001xnJJAAY","Queenstown Polyclinic")</f>
        <v>Queenstown Polyclinic</v>
      </c>
      <c r="B4057" t="s">
        <v>8049</v>
      </c>
      <c r="C4057" t="s">
        <v>10</v>
      </c>
      <c r="D4057" t="s">
        <v>8</v>
      </c>
      <c r="E4057" t="s">
        <v>8</v>
      </c>
      <c r="F4057" t="s">
        <v>1165</v>
      </c>
      <c r="G4057" t="s">
        <v>1165</v>
      </c>
      <c r="H4057" t="s">
        <v>3621</v>
      </c>
      <c r="I4057" t="s">
        <v>1167</v>
      </c>
    </row>
    <row r="4058" spans="1:9" x14ac:dyDescent="0.25">
      <c r="A4058" s="1" t="str">
        <f>HYPERLINK("https://lynxcrm-apac--c.eu19.visual.force.com/0011i000001xnGHAAY","Queenstown Polyclinic")</f>
        <v>Queenstown Polyclinic</v>
      </c>
      <c r="B4058" t="s">
        <v>8050</v>
      </c>
      <c r="C4058" t="s">
        <v>10</v>
      </c>
      <c r="D4058" t="s">
        <v>8</v>
      </c>
      <c r="E4058" t="s">
        <v>8</v>
      </c>
      <c r="F4058" t="s">
        <v>1165</v>
      </c>
      <c r="G4058" t="s">
        <v>1165</v>
      </c>
      <c r="H4058" t="s">
        <v>3621</v>
      </c>
      <c r="I4058" t="s">
        <v>1167</v>
      </c>
    </row>
    <row r="4059" spans="1:9" x14ac:dyDescent="0.25">
      <c r="A4059" s="1" t="str">
        <f>HYPERLINK("https://lynxcrm-apac--c.eu19.visual.force.com/0011i000001xnKGAAY","Queenstown Polyclinic")</f>
        <v>Queenstown Polyclinic</v>
      </c>
      <c r="B4059" t="s">
        <v>8051</v>
      </c>
      <c r="C4059" t="s">
        <v>10</v>
      </c>
      <c r="D4059" t="s">
        <v>8</v>
      </c>
      <c r="E4059" t="s">
        <v>8</v>
      </c>
      <c r="F4059" t="s">
        <v>1165</v>
      </c>
      <c r="G4059" t="s">
        <v>1165</v>
      </c>
      <c r="H4059" t="s">
        <v>3621</v>
      </c>
      <c r="I4059" t="s">
        <v>1167</v>
      </c>
    </row>
    <row r="4060" spans="1:9" x14ac:dyDescent="0.25">
      <c r="A4060" s="1" t="str">
        <f>HYPERLINK("https://lynxcrm-apac--c.eu19.visual.force.com/0011i000001xoRTAAY","Quek, Gim Hian James")</f>
        <v>Quek, Gim Hian James</v>
      </c>
      <c r="B4060" t="s">
        <v>8052</v>
      </c>
      <c r="C4060" t="s">
        <v>28</v>
      </c>
      <c r="D4060" t="s">
        <v>8053</v>
      </c>
      <c r="E4060" t="s">
        <v>8</v>
      </c>
      <c r="F4060" t="s">
        <v>7998</v>
      </c>
      <c r="G4060" t="s">
        <v>639</v>
      </c>
      <c r="H4060" t="s">
        <v>639</v>
      </c>
      <c r="I4060" t="s">
        <v>7999</v>
      </c>
    </row>
    <row r="4061" spans="1:9" x14ac:dyDescent="0.25">
      <c r="A4061" s="1" t="str">
        <f>HYPERLINK("https://lynxcrm-apac--c.eu19.visual.force.com/0011i00000raTiCAAU","Quek, Jia Ling Jovina")</f>
        <v>Quek, Jia Ling Jovina</v>
      </c>
      <c r="B4061" t="s">
        <v>8054</v>
      </c>
      <c r="C4061" t="s">
        <v>28</v>
      </c>
      <c r="D4061" t="s">
        <v>589</v>
      </c>
      <c r="E4061" t="s">
        <v>8</v>
      </c>
      <c r="F4061" t="s">
        <v>590</v>
      </c>
      <c r="G4061" t="s">
        <v>591</v>
      </c>
      <c r="H4061" t="s">
        <v>8</v>
      </c>
      <c r="I4061" t="s">
        <v>592</v>
      </c>
    </row>
    <row r="4062" spans="1:9" x14ac:dyDescent="0.25">
      <c r="A4062" s="1" t="str">
        <f>HYPERLINK("https://lynxcrm-apac--c.eu19.visual.force.com/0011i000001xnpWAAQ","Quek, Koh Choon")</f>
        <v>Quek, Koh Choon</v>
      </c>
      <c r="B4062" t="s">
        <v>8055</v>
      </c>
      <c r="C4062" t="s">
        <v>28</v>
      </c>
      <c r="D4062" t="s">
        <v>8056</v>
      </c>
      <c r="E4062" t="s">
        <v>8</v>
      </c>
      <c r="F4062" t="s">
        <v>836</v>
      </c>
      <c r="G4062" t="s">
        <v>80</v>
      </c>
      <c r="H4062" t="s">
        <v>837</v>
      </c>
      <c r="I4062" t="s">
        <v>838</v>
      </c>
    </row>
    <row r="4063" spans="1:9" x14ac:dyDescent="0.25">
      <c r="A4063" s="1" t="str">
        <f>HYPERLINK("https://lynxcrm-apac--c.eu19.visual.force.com/0011i000001xoYvAAI","Quek, Lee Seh")</f>
        <v>Quek, Lee Seh</v>
      </c>
      <c r="B4063" t="s">
        <v>8057</v>
      </c>
      <c r="C4063" t="s">
        <v>28</v>
      </c>
      <c r="D4063" t="s">
        <v>8058</v>
      </c>
      <c r="E4063" t="s">
        <v>8</v>
      </c>
      <c r="F4063" t="s">
        <v>1220</v>
      </c>
      <c r="G4063" t="s">
        <v>1221</v>
      </c>
      <c r="H4063" t="s">
        <v>8059</v>
      </c>
      <c r="I4063" t="s">
        <v>1222</v>
      </c>
    </row>
    <row r="4064" spans="1:9" x14ac:dyDescent="0.25">
      <c r="A4064" s="1" t="str">
        <f>HYPERLINK("https://lynxcrm-apac--c.eu19.visual.force.com/0011i000001xo5KAAQ","Quek, Leng Choo Pearl")</f>
        <v>Quek, Leng Choo Pearl</v>
      </c>
      <c r="B4064" t="s">
        <v>8060</v>
      </c>
      <c r="C4064" t="s">
        <v>28</v>
      </c>
      <c r="D4064" t="s">
        <v>583</v>
      </c>
      <c r="E4064" t="s">
        <v>8</v>
      </c>
      <c r="F4064" t="s">
        <v>583</v>
      </c>
      <c r="G4064" t="s">
        <v>584</v>
      </c>
      <c r="H4064" t="s">
        <v>584</v>
      </c>
      <c r="I4064" t="s">
        <v>585</v>
      </c>
    </row>
    <row r="4065" spans="1:9" x14ac:dyDescent="0.25">
      <c r="A4065" s="1" t="str">
        <f>HYPERLINK("https://lynxcrm-apac--c.eu19.visual.force.com/0011i000001xo5KAAQ","Quek, Leng Choo Pearl")</f>
        <v>Quek, Leng Choo Pearl</v>
      </c>
      <c r="B4065" t="s">
        <v>8060</v>
      </c>
      <c r="C4065" t="s">
        <v>28</v>
      </c>
      <c r="D4065" t="s">
        <v>1623</v>
      </c>
      <c r="E4065" t="s">
        <v>8</v>
      </c>
      <c r="F4065" t="s">
        <v>584</v>
      </c>
      <c r="G4065" t="s">
        <v>583</v>
      </c>
      <c r="H4065" t="s">
        <v>583</v>
      </c>
      <c r="I4065" t="s">
        <v>585</v>
      </c>
    </row>
    <row r="4066" spans="1:9" x14ac:dyDescent="0.25">
      <c r="A4066" s="1" t="str">
        <f>HYPERLINK("https://lynxcrm-apac--c.eu19.visual.force.com/0011i000001xoCBAAY","Quek, Li Gek Selina")</f>
        <v>Quek, Li Gek Selina</v>
      </c>
      <c r="B4066" t="s">
        <v>8061</v>
      </c>
      <c r="C4066" t="s">
        <v>28</v>
      </c>
      <c r="D4066" t="s">
        <v>8062</v>
      </c>
      <c r="E4066" t="s">
        <v>8</v>
      </c>
      <c r="F4066" t="s">
        <v>6179</v>
      </c>
      <c r="G4066" t="s">
        <v>2743</v>
      </c>
      <c r="H4066" t="s">
        <v>8063</v>
      </c>
      <c r="I4066" t="s">
        <v>6181</v>
      </c>
    </row>
    <row r="4067" spans="1:9" x14ac:dyDescent="0.25">
      <c r="A4067" s="1" t="str">
        <f>HYPERLINK("https://lynxcrm-apac--c.eu19.visual.force.com/0011i000001xoWQAAY","Quek, Mong Seng")</f>
        <v>Quek, Mong Seng</v>
      </c>
      <c r="B4067" t="s">
        <v>8064</v>
      </c>
      <c r="C4067" t="s">
        <v>28</v>
      </c>
      <c r="D4067" t="s">
        <v>8065</v>
      </c>
      <c r="E4067" t="s">
        <v>8</v>
      </c>
      <c r="F4067" t="s">
        <v>8066</v>
      </c>
      <c r="G4067" t="s">
        <v>8067</v>
      </c>
      <c r="H4067" t="s">
        <v>8067</v>
      </c>
      <c r="I4067" t="s">
        <v>351</v>
      </c>
    </row>
    <row r="4068" spans="1:9" x14ac:dyDescent="0.25">
      <c r="A4068" s="1" t="str">
        <f>HYPERLINK("https://lynxcrm-apac--c.eu19.visual.force.com/0011i000001xnpcAAA","Quek, Peng Kiang")</f>
        <v>Quek, Peng Kiang</v>
      </c>
      <c r="B4068" t="s">
        <v>8068</v>
      </c>
      <c r="C4068" t="s">
        <v>28</v>
      </c>
      <c r="D4068" t="s">
        <v>8069</v>
      </c>
      <c r="E4068" t="s">
        <v>8</v>
      </c>
      <c r="F4068" t="s">
        <v>1514</v>
      </c>
      <c r="G4068" t="s">
        <v>1348</v>
      </c>
      <c r="H4068" t="s">
        <v>1348</v>
      </c>
      <c r="I4068" t="s">
        <v>1517</v>
      </c>
    </row>
    <row r="4069" spans="1:9" x14ac:dyDescent="0.25">
      <c r="A4069" s="1" t="str">
        <f>HYPERLINK("https://lynxcrm-apac--c.eu19.visual.force.com/0011i00000Xf1I3AAJ","Quek, Richard")</f>
        <v>Quek, Richard</v>
      </c>
      <c r="B4069" t="s">
        <v>8070</v>
      </c>
      <c r="C4069" t="s">
        <v>28</v>
      </c>
      <c r="D4069" t="s">
        <v>8071</v>
      </c>
      <c r="E4069" t="s">
        <v>8</v>
      </c>
      <c r="F4069" t="s">
        <v>966</v>
      </c>
      <c r="G4069" t="s">
        <v>65</v>
      </c>
      <c r="H4069" t="s">
        <v>8</v>
      </c>
      <c r="I4069" t="s">
        <v>123</v>
      </c>
    </row>
    <row r="4070" spans="1:9" x14ac:dyDescent="0.25">
      <c r="A4070" s="1" t="str">
        <f>HYPERLINK("https://lynxcrm-apac--c.eu19.visual.force.com/0011i000001xoqPAAQ","Quek, Sing Chew")</f>
        <v>Quek, Sing Chew</v>
      </c>
      <c r="B4070" t="s">
        <v>8072</v>
      </c>
      <c r="C4070" t="s">
        <v>28</v>
      </c>
      <c r="D4070" t="s">
        <v>148</v>
      </c>
      <c r="E4070" t="s">
        <v>8</v>
      </c>
      <c r="F4070" t="s">
        <v>736</v>
      </c>
      <c r="G4070" t="s">
        <v>736</v>
      </c>
      <c r="H4070" t="s">
        <v>8</v>
      </c>
      <c r="I4070" t="s">
        <v>149</v>
      </c>
    </row>
    <row r="4071" spans="1:9" x14ac:dyDescent="0.25">
      <c r="A4071" s="1" t="str">
        <f>HYPERLINK("https://lynxcrm-apac--c.eu19.visual.force.com/0011i000001xoOhAAI","Quek, Su Ling Lilian")</f>
        <v>Quek, Su Ling Lilian</v>
      </c>
      <c r="B4071" t="s">
        <v>8073</v>
      </c>
      <c r="C4071" t="s">
        <v>28</v>
      </c>
      <c r="D4071" t="s">
        <v>5505</v>
      </c>
      <c r="E4071" t="s">
        <v>8</v>
      </c>
      <c r="F4071" t="s">
        <v>38</v>
      </c>
      <c r="G4071" t="s">
        <v>35</v>
      </c>
      <c r="H4071" t="s">
        <v>35</v>
      </c>
      <c r="I4071" t="s">
        <v>36</v>
      </c>
    </row>
    <row r="4072" spans="1:9" x14ac:dyDescent="0.25">
      <c r="A4072" s="1" t="str">
        <f>HYPERLINK("https://lynxcrm-apac--c.eu19.visual.force.com/0011i000001xoODAAY","Quek, Swee Chong")</f>
        <v>Quek, Swee Chong</v>
      </c>
      <c r="B4072" t="s">
        <v>8074</v>
      </c>
      <c r="C4072" t="s">
        <v>28</v>
      </c>
      <c r="D4072" t="s">
        <v>8075</v>
      </c>
      <c r="E4072" t="s">
        <v>8</v>
      </c>
      <c r="F4072" t="s">
        <v>65</v>
      </c>
      <c r="G4072" t="s">
        <v>7634</v>
      </c>
      <c r="H4072" t="s">
        <v>7634</v>
      </c>
      <c r="I4072" t="s">
        <v>466</v>
      </c>
    </row>
    <row r="4073" spans="1:9" x14ac:dyDescent="0.25">
      <c r="A4073" s="1" t="str">
        <f>HYPERLINK("https://lynxcrm-apac--c.eu19.visual.force.com/0011i000001xnpdAAA","Quek, Swee San Susan")</f>
        <v>Quek, Swee San Susan</v>
      </c>
      <c r="B4073" t="s">
        <v>8076</v>
      </c>
      <c r="C4073" t="s">
        <v>28</v>
      </c>
      <c r="D4073" t="s">
        <v>8077</v>
      </c>
      <c r="E4073" t="s">
        <v>8</v>
      </c>
      <c r="F4073" t="s">
        <v>377</v>
      </c>
      <c r="G4073" t="s">
        <v>8078</v>
      </c>
      <c r="H4073" t="s">
        <v>8079</v>
      </c>
      <c r="I4073" t="s">
        <v>123</v>
      </c>
    </row>
    <row r="4074" spans="1:9" x14ac:dyDescent="0.25">
      <c r="A4074" s="1" t="str">
        <f>HYPERLINK("https://lynxcrm-apac--c.eu19.visual.force.com/0011i00000KMGxzAAH","Quevedo, Dacay Lily Mae")</f>
        <v>Quevedo, Dacay Lily Mae</v>
      </c>
      <c r="B4074" t="s">
        <v>8080</v>
      </c>
      <c r="C4074" t="s">
        <v>28</v>
      </c>
      <c r="D4074" t="s">
        <v>583</v>
      </c>
      <c r="E4074" t="s">
        <v>8</v>
      </c>
      <c r="F4074" t="s">
        <v>583</v>
      </c>
      <c r="G4074" t="s">
        <v>584</v>
      </c>
      <c r="H4074" t="s">
        <v>584</v>
      </c>
      <c r="I4074" t="s">
        <v>585</v>
      </c>
    </row>
    <row r="4075" spans="1:9" x14ac:dyDescent="0.25">
      <c r="A4075" s="1" t="str">
        <f>HYPERLINK("https://lynxcrm-apac--c.eu19.visual.force.com/0011i000001xoFaAAI","Rabind, Antony Charles")</f>
        <v>Rabind, Antony Charles</v>
      </c>
      <c r="B4075" t="s">
        <v>8081</v>
      </c>
      <c r="C4075" t="s">
        <v>28</v>
      </c>
      <c r="D4075" t="s">
        <v>261</v>
      </c>
      <c r="E4075" t="s">
        <v>8</v>
      </c>
      <c r="F4075" t="s">
        <v>261</v>
      </c>
      <c r="G4075" t="s">
        <v>347</v>
      </c>
      <c r="H4075" t="s">
        <v>347</v>
      </c>
      <c r="I4075" t="s">
        <v>260</v>
      </c>
    </row>
    <row r="4076" spans="1:9" x14ac:dyDescent="0.25">
      <c r="A4076" s="1" t="str">
        <f>HYPERLINK("https://lynxcrm-apac--c.eu19.visual.force.com/0011i000001xoFaAAI","Rabind, Antony Charles")</f>
        <v>Rabind, Antony Charles</v>
      </c>
      <c r="B4076" t="s">
        <v>8081</v>
      </c>
      <c r="C4076" t="s">
        <v>28</v>
      </c>
      <c r="D4076" t="s">
        <v>368</v>
      </c>
      <c r="E4076" t="s">
        <v>8</v>
      </c>
      <c r="F4076" t="s">
        <v>258</v>
      </c>
      <c r="G4076" t="s">
        <v>261</v>
      </c>
      <c r="H4076" t="s">
        <v>261</v>
      </c>
      <c r="I4076" t="s">
        <v>260</v>
      </c>
    </row>
    <row r="4077" spans="1:9" x14ac:dyDescent="0.25">
      <c r="A4077" s="1" t="str">
        <f>HYPERLINK("https://lynxcrm-apac--c.eu19.visual.force.com/0011i000001xoXxAAI","Rachelle")</f>
        <v>Rachelle</v>
      </c>
      <c r="B4077" t="s">
        <v>8082</v>
      </c>
      <c r="C4077" t="s">
        <v>28</v>
      </c>
      <c r="D4077" t="s">
        <v>1661</v>
      </c>
      <c r="E4077" t="s">
        <v>8</v>
      </c>
      <c r="F4077" t="s">
        <v>627</v>
      </c>
      <c r="G4077" t="s">
        <v>628</v>
      </c>
      <c r="H4077" t="s">
        <v>628</v>
      </c>
      <c r="I4077" t="s">
        <v>624</v>
      </c>
    </row>
    <row r="4078" spans="1:9" x14ac:dyDescent="0.25">
      <c r="A4078" s="1" t="str">
        <f>HYPERLINK("https://lynxcrm-apac--c.eu19.visual.force.com/0011i000001xosqAAA","Radha, d/o Krishnasamy")</f>
        <v>Radha, d/o Krishnasamy</v>
      </c>
      <c r="B4078" t="s">
        <v>8083</v>
      </c>
      <c r="C4078" t="s">
        <v>28</v>
      </c>
      <c r="D4078" t="s">
        <v>540</v>
      </c>
      <c r="E4078" t="s">
        <v>8</v>
      </c>
      <c r="F4078" t="s">
        <v>8084</v>
      </c>
      <c r="G4078" t="s">
        <v>3367</v>
      </c>
      <c r="H4078" t="s">
        <v>3367</v>
      </c>
      <c r="I4078" t="s">
        <v>3368</v>
      </c>
    </row>
    <row r="4079" spans="1:9" x14ac:dyDescent="0.25">
      <c r="A4079" s="1" t="str">
        <f>HYPERLINK("https://lynxcrm-apac--c.eu19.visual.force.com/0011i000001xmzzAAA","Radiant Medical &amp; Aesthetic Clinic")</f>
        <v>Radiant Medical &amp; Aesthetic Clinic</v>
      </c>
      <c r="B4079" t="s">
        <v>8085</v>
      </c>
      <c r="C4079" t="s">
        <v>10</v>
      </c>
      <c r="D4079" t="s">
        <v>8</v>
      </c>
      <c r="E4079" t="s">
        <v>8</v>
      </c>
      <c r="F4079" t="s">
        <v>8086</v>
      </c>
      <c r="G4079" t="s">
        <v>8087</v>
      </c>
      <c r="H4079" t="s">
        <v>8088</v>
      </c>
      <c r="I4079" t="s">
        <v>8089</v>
      </c>
    </row>
    <row r="4080" spans="1:9" x14ac:dyDescent="0.25">
      <c r="A4080" s="1" t="str">
        <f>HYPERLINK("https://lynxcrm-apac--c.eu19.visual.force.com/0011i000001xnGZAAY","Radlink Medicare")</f>
        <v>Radlink Medicare</v>
      </c>
      <c r="B4080" t="s">
        <v>8090</v>
      </c>
      <c r="C4080" t="s">
        <v>10</v>
      </c>
      <c r="D4080" t="s">
        <v>8</v>
      </c>
      <c r="E4080" t="s">
        <v>8</v>
      </c>
      <c r="F4080" t="s">
        <v>8091</v>
      </c>
      <c r="G4080" t="s">
        <v>8092</v>
      </c>
      <c r="H4080" t="s">
        <v>8092</v>
      </c>
      <c r="I4080" t="s">
        <v>8093</v>
      </c>
    </row>
    <row r="4081" spans="1:9" x14ac:dyDescent="0.25">
      <c r="A4081" s="1" t="str">
        <f>HYPERLINK("https://lynxcrm-apac--c.eu19.visual.force.com/0011i000001xmd9AAA","Raffles Hospital")</f>
        <v>Raffles Hospital</v>
      </c>
      <c r="B4081" t="s">
        <v>8094</v>
      </c>
      <c r="C4081" t="s">
        <v>10</v>
      </c>
      <c r="D4081" t="s">
        <v>8</v>
      </c>
      <c r="E4081" t="s">
        <v>8</v>
      </c>
      <c r="F4081" t="s">
        <v>2244</v>
      </c>
      <c r="G4081" t="s">
        <v>163</v>
      </c>
      <c r="H4081" t="s">
        <v>242</v>
      </c>
      <c r="I4081" t="s">
        <v>165</v>
      </c>
    </row>
    <row r="4082" spans="1:9" x14ac:dyDescent="0.25">
      <c r="A4082" s="1" t="str">
        <f>HYPERLINK("https://lynxcrm-apac--c.eu19.visual.force.com/0011i000001xnYzAAI","Raffles Hospital")</f>
        <v>Raffles Hospital</v>
      </c>
      <c r="B4082" t="s">
        <v>8095</v>
      </c>
      <c r="C4082" t="s">
        <v>10</v>
      </c>
      <c r="D4082" t="s">
        <v>8</v>
      </c>
      <c r="E4082" t="s">
        <v>8</v>
      </c>
      <c r="F4082" t="s">
        <v>8096</v>
      </c>
      <c r="G4082" t="s">
        <v>163</v>
      </c>
      <c r="H4082" t="s">
        <v>163</v>
      </c>
      <c r="I4082" t="s">
        <v>165</v>
      </c>
    </row>
    <row r="4083" spans="1:9" x14ac:dyDescent="0.25">
      <c r="A4083" s="1" t="str">
        <f>HYPERLINK("https://lynxcrm-apac--c.eu19.visual.force.com/0011i000001xn2HAAQ","Raffles Hospital")</f>
        <v>Raffles Hospital</v>
      </c>
      <c r="B4083" t="s">
        <v>8097</v>
      </c>
      <c r="C4083" t="s">
        <v>10</v>
      </c>
      <c r="D4083" t="s">
        <v>8</v>
      </c>
      <c r="E4083" t="s">
        <v>8</v>
      </c>
      <c r="F4083" t="s">
        <v>135</v>
      </c>
      <c r="G4083" t="s">
        <v>163</v>
      </c>
      <c r="H4083" t="s">
        <v>163</v>
      </c>
      <c r="I4083" t="s">
        <v>165</v>
      </c>
    </row>
    <row r="4084" spans="1:9" x14ac:dyDescent="0.25">
      <c r="A4084" s="1" t="str">
        <f>HYPERLINK("https://lynxcrm-apac--c.eu19.visual.force.com/0011i000001xn8aAAA","Raffles Hospital")</f>
        <v>Raffles Hospital</v>
      </c>
      <c r="B4084" t="s">
        <v>8098</v>
      </c>
      <c r="C4084" t="s">
        <v>10</v>
      </c>
      <c r="D4084" t="s">
        <v>8</v>
      </c>
      <c r="E4084" t="s">
        <v>8</v>
      </c>
      <c r="F4084" t="s">
        <v>163</v>
      </c>
      <c r="G4084" t="s">
        <v>4261</v>
      </c>
      <c r="H4084" t="s">
        <v>4261</v>
      </c>
      <c r="I4084" t="s">
        <v>242</v>
      </c>
    </row>
    <row r="4085" spans="1:9" x14ac:dyDescent="0.25">
      <c r="A4085" s="1" t="str">
        <f>HYPERLINK("https://lynxcrm-apac--c.eu19.visual.force.com/0011i000001xnMUAAY","Raffles Hospital")</f>
        <v>Raffles Hospital</v>
      </c>
      <c r="B4085" t="s">
        <v>8099</v>
      </c>
      <c r="C4085" t="s">
        <v>10</v>
      </c>
      <c r="D4085" t="s">
        <v>8</v>
      </c>
      <c r="E4085" t="s">
        <v>8</v>
      </c>
      <c r="F4085" t="s">
        <v>6312</v>
      </c>
      <c r="G4085" t="s">
        <v>163</v>
      </c>
      <c r="H4085" t="s">
        <v>163</v>
      </c>
      <c r="I4085" t="s">
        <v>165</v>
      </c>
    </row>
    <row r="4086" spans="1:9" x14ac:dyDescent="0.25">
      <c r="A4086" s="1" t="str">
        <f>HYPERLINK("https://lynxcrm-apac--c.eu19.visual.force.com/0011i000001xmtRAAQ","Raffles Hospital")</f>
        <v>Raffles Hospital</v>
      </c>
      <c r="B4086" t="s">
        <v>8100</v>
      </c>
      <c r="C4086" t="s">
        <v>10</v>
      </c>
      <c r="D4086" t="s">
        <v>8</v>
      </c>
      <c r="E4086" t="s">
        <v>8</v>
      </c>
      <c r="F4086" t="s">
        <v>163</v>
      </c>
      <c r="G4086" t="s">
        <v>8101</v>
      </c>
      <c r="H4086" t="s">
        <v>8101</v>
      </c>
      <c r="I4086" t="s">
        <v>165</v>
      </c>
    </row>
    <row r="4087" spans="1:9" x14ac:dyDescent="0.25">
      <c r="A4087" s="1" t="str">
        <f>HYPERLINK("https://lynxcrm-apac--c.eu19.visual.force.com/0011i000001xn0pAAA","Raffles Hospital")</f>
        <v>Raffles Hospital</v>
      </c>
      <c r="B4087" t="s">
        <v>8102</v>
      </c>
      <c r="C4087" t="s">
        <v>10</v>
      </c>
      <c r="D4087" t="s">
        <v>8</v>
      </c>
      <c r="E4087" t="s">
        <v>8</v>
      </c>
      <c r="F4087" t="s">
        <v>2284</v>
      </c>
      <c r="G4087" t="s">
        <v>2285</v>
      </c>
      <c r="H4087" t="s">
        <v>2285</v>
      </c>
      <c r="I4087" t="s">
        <v>165</v>
      </c>
    </row>
    <row r="4088" spans="1:9" x14ac:dyDescent="0.25">
      <c r="A4088" s="1" t="str">
        <f t="shared" ref="A4088:A4100" si="35">HYPERLINK("https://lynxcrm-apac--c.eu19.visual.force.com/0011i000001xmd4AAA","Raffles Hospital")</f>
        <v>Raffles Hospital</v>
      </c>
      <c r="B4088" t="s">
        <v>8103</v>
      </c>
      <c r="C4088" t="s">
        <v>10</v>
      </c>
      <c r="D4088" t="s">
        <v>8</v>
      </c>
      <c r="E4088" t="s">
        <v>8</v>
      </c>
      <c r="F4088" t="s">
        <v>236</v>
      </c>
      <c r="G4088" t="s">
        <v>237</v>
      </c>
      <c r="H4088" t="s">
        <v>237</v>
      </c>
      <c r="I4088" t="s">
        <v>165</v>
      </c>
    </row>
    <row r="4089" spans="1:9" x14ac:dyDescent="0.25">
      <c r="A4089" s="1" t="str">
        <f t="shared" si="35"/>
        <v>Raffles Hospital</v>
      </c>
      <c r="B4089" t="s">
        <v>8103</v>
      </c>
      <c r="C4089" t="s">
        <v>10</v>
      </c>
      <c r="D4089" t="s">
        <v>8</v>
      </c>
      <c r="E4089" t="s">
        <v>8</v>
      </c>
      <c r="F4089" t="s">
        <v>238</v>
      </c>
      <c r="G4089" t="s">
        <v>163</v>
      </c>
      <c r="H4089" t="s">
        <v>163</v>
      </c>
      <c r="I4089" t="s">
        <v>165</v>
      </c>
    </row>
    <row r="4090" spans="1:9" x14ac:dyDescent="0.25">
      <c r="A4090" s="1" t="str">
        <f t="shared" si="35"/>
        <v>Raffles Hospital</v>
      </c>
      <c r="B4090" t="s">
        <v>8103</v>
      </c>
      <c r="C4090" t="s">
        <v>10</v>
      </c>
      <c r="D4090" t="s">
        <v>8</v>
      </c>
      <c r="E4090" t="s">
        <v>8</v>
      </c>
      <c r="F4090" t="s">
        <v>239</v>
      </c>
      <c r="G4090" t="s">
        <v>163</v>
      </c>
      <c r="H4090" t="s">
        <v>163</v>
      </c>
      <c r="I4090" t="s">
        <v>165</v>
      </c>
    </row>
    <row r="4091" spans="1:9" x14ac:dyDescent="0.25">
      <c r="A4091" s="1" t="str">
        <f t="shared" si="35"/>
        <v>Raffles Hospital</v>
      </c>
      <c r="B4091" t="s">
        <v>8103</v>
      </c>
      <c r="C4091" t="s">
        <v>10</v>
      </c>
      <c r="D4091" t="s">
        <v>8</v>
      </c>
      <c r="E4091" t="s">
        <v>8</v>
      </c>
      <c r="F4091" t="s">
        <v>240</v>
      </c>
      <c r="G4091" t="s">
        <v>163</v>
      </c>
      <c r="H4091" t="s">
        <v>163</v>
      </c>
      <c r="I4091" t="s">
        <v>165</v>
      </c>
    </row>
    <row r="4092" spans="1:9" x14ac:dyDescent="0.25">
      <c r="A4092" s="1" t="str">
        <f t="shared" si="35"/>
        <v>Raffles Hospital</v>
      </c>
      <c r="B4092" t="s">
        <v>8103</v>
      </c>
      <c r="C4092" t="s">
        <v>10</v>
      </c>
      <c r="D4092" t="s">
        <v>8</v>
      </c>
      <c r="E4092" t="s">
        <v>8</v>
      </c>
      <c r="F4092" t="s">
        <v>234</v>
      </c>
      <c r="G4092" t="s">
        <v>163</v>
      </c>
      <c r="H4092" t="s">
        <v>163</v>
      </c>
      <c r="I4092" t="s">
        <v>235</v>
      </c>
    </row>
    <row r="4093" spans="1:9" x14ac:dyDescent="0.25">
      <c r="A4093" s="1" t="str">
        <f t="shared" si="35"/>
        <v>Raffles Hospital</v>
      </c>
      <c r="B4093" t="s">
        <v>8103</v>
      </c>
      <c r="C4093" t="s">
        <v>10</v>
      </c>
      <c r="D4093" t="s">
        <v>8</v>
      </c>
      <c r="E4093" t="s">
        <v>8</v>
      </c>
      <c r="F4093" t="s">
        <v>241</v>
      </c>
      <c r="G4093" t="s">
        <v>163</v>
      </c>
      <c r="H4093" t="s">
        <v>242</v>
      </c>
      <c r="I4093" t="s">
        <v>165</v>
      </c>
    </row>
    <row r="4094" spans="1:9" x14ac:dyDescent="0.25">
      <c r="A4094" s="1" t="str">
        <f t="shared" si="35"/>
        <v>Raffles Hospital</v>
      </c>
      <c r="B4094" t="s">
        <v>8103</v>
      </c>
      <c r="C4094" t="s">
        <v>10</v>
      </c>
      <c r="D4094" t="s">
        <v>8</v>
      </c>
      <c r="E4094" t="s">
        <v>8</v>
      </c>
      <c r="F4094" t="s">
        <v>243</v>
      </c>
      <c r="G4094" t="s">
        <v>163</v>
      </c>
      <c r="H4094" t="s">
        <v>163</v>
      </c>
      <c r="I4094" t="s">
        <v>244</v>
      </c>
    </row>
    <row r="4095" spans="1:9" x14ac:dyDescent="0.25">
      <c r="A4095" s="1" t="str">
        <f t="shared" si="35"/>
        <v>Raffles Hospital</v>
      </c>
      <c r="B4095" t="s">
        <v>8103</v>
      </c>
      <c r="C4095" t="s">
        <v>10</v>
      </c>
      <c r="D4095" t="s">
        <v>8</v>
      </c>
      <c r="E4095" t="s">
        <v>8</v>
      </c>
      <c r="F4095" t="s">
        <v>245</v>
      </c>
      <c r="G4095" t="s">
        <v>163</v>
      </c>
      <c r="H4095" t="s">
        <v>163</v>
      </c>
      <c r="I4095" t="s">
        <v>165</v>
      </c>
    </row>
    <row r="4096" spans="1:9" x14ac:dyDescent="0.25">
      <c r="A4096" s="1" t="str">
        <f t="shared" si="35"/>
        <v>Raffles Hospital</v>
      </c>
      <c r="B4096" t="s">
        <v>8103</v>
      </c>
      <c r="C4096" t="s">
        <v>10</v>
      </c>
      <c r="D4096" t="s">
        <v>8</v>
      </c>
      <c r="E4096" t="s">
        <v>8</v>
      </c>
      <c r="F4096" t="s">
        <v>246</v>
      </c>
      <c r="G4096" t="s">
        <v>163</v>
      </c>
      <c r="H4096" t="s">
        <v>163</v>
      </c>
      <c r="I4096" t="s">
        <v>244</v>
      </c>
    </row>
    <row r="4097" spans="1:9" x14ac:dyDescent="0.25">
      <c r="A4097" s="1" t="str">
        <f t="shared" si="35"/>
        <v>Raffles Hospital</v>
      </c>
      <c r="B4097" t="s">
        <v>8103</v>
      </c>
      <c r="C4097" t="s">
        <v>10</v>
      </c>
      <c r="D4097" t="s">
        <v>8</v>
      </c>
      <c r="E4097" t="s">
        <v>8</v>
      </c>
      <c r="F4097" t="s">
        <v>247</v>
      </c>
      <c r="G4097" t="s">
        <v>163</v>
      </c>
      <c r="H4097" t="s">
        <v>242</v>
      </c>
      <c r="I4097" t="s">
        <v>165</v>
      </c>
    </row>
    <row r="4098" spans="1:9" x14ac:dyDescent="0.25">
      <c r="A4098" s="1" t="str">
        <f t="shared" si="35"/>
        <v>Raffles Hospital</v>
      </c>
      <c r="B4098" t="s">
        <v>8103</v>
      </c>
      <c r="C4098" t="s">
        <v>10</v>
      </c>
      <c r="D4098" t="s">
        <v>8</v>
      </c>
      <c r="E4098" t="s">
        <v>8</v>
      </c>
      <c r="F4098" t="s">
        <v>248</v>
      </c>
      <c r="G4098" t="s">
        <v>163</v>
      </c>
      <c r="H4098" t="s">
        <v>242</v>
      </c>
      <c r="I4098" t="s">
        <v>165</v>
      </c>
    </row>
    <row r="4099" spans="1:9" x14ac:dyDescent="0.25">
      <c r="A4099" s="1" t="str">
        <f t="shared" si="35"/>
        <v>Raffles Hospital</v>
      </c>
      <c r="B4099" t="s">
        <v>8103</v>
      </c>
      <c r="C4099" t="s">
        <v>10</v>
      </c>
      <c r="D4099" t="s">
        <v>8</v>
      </c>
      <c r="E4099" t="s">
        <v>8</v>
      </c>
      <c r="F4099" t="s">
        <v>249</v>
      </c>
      <c r="G4099" t="s">
        <v>163</v>
      </c>
      <c r="H4099" t="s">
        <v>163</v>
      </c>
      <c r="I4099" t="s">
        <v>165</v>
      </c>
    </row>
    <row r="4100" spans="1:9" x14ac:dyDescent="0.25">
      <c r="A4100" s="1" t="str">
        <f t="shared" si="35"/>
        <v>Raffles Hospital</v>
      </c>
      <c r="B4100" t="s">
        <v>8103</v>
      </c>
      <c r="C4100" t="s">
        <v>10</v>
      </c>
      <c r="D4100" t="s">
        <v>8</v>
      </c>
      <c r="E4100" t="s">
        <v>8</v>
      </c>
      <c r="F4100" t="s">
        <v>234</v>
      </c>
      <c r="G4100" t="s">
        <v>163</v>
      </c>
      <c r="H4100" t="s">
        <v>163</v>
      </c>
      <c r="I4100" t="s">
        <v>244</v>
      </c>
    </row>
    <row r="4101" spans="1:9" x14ac:dyDescent="0.25">
      <c r="A4101" s="1" t="str">
        <f>HYPERLINK("https://lynxcrm-apac--c.eu19.visual.force.com/0011i000001xmtGAAQ","Raffles Hospital")</f>
        <v>Raffles Hospital</v>
      </c>
      <c r="B4101" t="s">
        <v>8104</v>
      </c>
      <c r="C4101" t="s">
        <v>10</v>
      </c>
      <c r="D4101" t="s">
        <v>8</v>
      </c>
      <c r="E4101" t="s">
        <v>8</v>
      </c>
      <c r="F4101" t="s">
        <v>163</v>
      </c>
      <c r="G4101" t="s">
        <v>8105</v>
      </c>
      <c r="H4101" t="s">
        <v>8105</v>
      </c>
      <c r="I4101" t="s">
        <v>165</v>
      </c>
    </row>
    <row r="4102" spans="1:9" x14ac:dyDescent="0.25">
      <c r="A4102" s="1" t="str">
        <f>HYPERLINK("https://lynxcrm-apac--c.eu19.visual.force.com/0011i000001xmgsAAA","Raffles Hospital Pte Ltd")</f>
        <v>Raffles Hospital Pte Ltd</v>
      </c>
      <c r="B4102" t="s">
        <v>8106</v>
      </c>
      <c r="C4102" t="s">
        <v>10</v>
      </c>
      <c r="D4102" t="s">
        <v>8</v>
      </c>
      <c r="E4102" t="s">
        <v>8</v>
      </c>
      <c r="F4102" t="s">
        <v>163</v>
      </c>
      <c r="G4102" t="s">
        <v>163</v>
      </c>
      <c r="H4102" t="s">
        <v>8</v>
      </c>
      <c r="I4102" t="s">
        <v>8</v>
      </c>
    </row>
    <row r="4103" spans="1:9" x14ac:dyDescent="0.25">
      <c r="A4103" s="1" t="str">
        <f>HYPERLINK("https://lynxcrm-apac--c.eu19.visual.force.com/0011i000001xnCaAAI","Raffles Hospital Pte Ltd")</f>
        <v>Raffles Hospital Pte Ltd</v>
      </c>
      <c r="B4103" t="s">
        <v>8107</v>
      </c>
      <c r="C4103" t="s">
        <v>10</v>
      </c>
      <c r="D4103" t="s">
        <v>8</v>
      </c>
      <c r="E4103" t="s">
        <v>8</v>
      </c>
      <c r="F4103" t="s">
        <v>163</v>
      </c>
      <c r="G4103" t="s">
        <v>163</v>
      </c>
      <c r="H4103" t="s">
        <v>242</v>
      </c>
      <c r="I4103" t="s">
        <v>3792</v>
      </c>
    </row>
    <row r="4104" spans="1:9" x14ac:dyDescent="0.25">
      <c r="A4104" s="1" t="str">
        <f>HYPERLINK("https://lynxcrm-apac--c.eu19.visual.force.com/0011i000001xnLgAAI","Raffles Hospital Pte Ltd")</f>
        <v>Raffles Hospital Pte Ltd</v>
      </c>
      <c r="B4104" t="s">
        <v>8108</v>
      </c>
      <c r="C4104" t="s">
        <v>10</v>
      </c>
      <c r="D4104" t="s">
        <v>8</v>
      </c>
      <c r="E4104" t="s">
        <v>8</v>
      </c>
      <c r="F4104" t="s">
        <v>2244</v>
      </c>
      <c r="G4104" t="s">
        <v>163</v>
      </c>
      <c r="H4104" t="s">
        <v>163</v>
      </c>
      <c r="I4104" t="s">
        <v>165</v>
      </c>
    </row>
    <row r="4105" spans="1:9" x14ac:dyDescent="0.25">
      <c r="A4105" s="1" t="str">
        <f>HYPERLINK("https://lynxcrm-apac--c.eu19.visual.force.com/0011i000001xnbsAAA","Raffles Internal Medicine Centre")</f>
        <v>Raffles Internal Medicine Centre</v>
      </c>
      <c r="B4105" t="s">
        <v>8109</v>
      </c>
      <c r="C4105" t="s">
        <v>10</v>
      </c>
      <c r="D4105" t="s">
        <v>8</v>
      </c>
      <c r="E4105" t="s">
        <v>8</v>
      </c>
      <c r="F4105" t="s">
        <v>237</v>
      </c>
      <c r="G4105" t="s">
        <v>164</v>
      </c>
      <c r="H4105" t="s">
        <v>164</v>
      </c>
      <c r="I4105" t="s">
        <v>165</v>
      </c>
    </row>
    <row r="4106" spans="1:9" x14ac:dyDescent="0.25">
      <c r="A4106" s="1" t="str">
        <f>HYPERLINK("https://lynxcrm-apac--c.eu19.visual.force.com/0011i000001xmntAAA","Raffles Japanese Clinic")</f>
        <v>Raffles Japanese Clinic</v>
      </c>
      <c r="B4106" t="s">
        <v>8110</v>
      </c>
      <c r="C4106" t="s">
        <v>10</v>
      </c>
      <c r="D4106" t="s">
        <v>8</v>
      </c>
      <c r="E4106" t="s">
        <v>8</v>
      </c>
      <c r="F4106" t="s">
        <v>163</v>
      </c>
      <c r="G4106" t="s">
        <v>6723</v>
      </c>
      <c r="H4106" t="s">
        <v>6723</v>
      </c>
      <c r="I4106" t="s">
        <v>165</v>
      </c>
    </row>
    <row r="4107" spans="1:9" x14ac:dyDescent="0.25">
      <c r="A4107" s="1" t="str">
        <f>HYPERLINK("https://lynxcrm-apac--c.eu19.visual.force.com/0011i000001xmxeAAA","Raffles Japanese Clinic Pte Ltd")</f>
        <v>Raffles Japanese Clinic Pte Ltd</v>
      </c>
      <c r="B4107" t="s">
        <v>8111</v>
      </c>
      <c r="C4107" t="s">
        <v>10</v>
      </c>
      <c r="D4107" t="s">
        <v>8</v>
      </c>
      <c r="E4107" t="s">
        <v>8</v>
      </c>
      <c r="F4107" t="s">
        <v>163</v>
      </c>
      <c r="G4107" t="s">
        <v>6723</v>
      </c>
      <c r="H4107" t="s">
        <v>6723</v>
      </c>
      <c r="I4107" t="s">
        <v>165</v>
      </c>
    </row>
    <row r="4108" spans="1:9" x14ac:dyDescent="0.25">
      <c r="A4108" s="1" t="str">
        <f>HYPERLINK("https://lynxcrm-apac--c.eu19.visual.force.com/0011i000001xnODAAY","Raffles Japanese Clinic Pte Ltd")</f>
        <v>Raffles Japanese Clinic Pte Ltd</v>
      </c>
      <c r="B4108" t="s">
        <v>8112</v>
      </c>
      <c r="C4108" t="s">
        <v>10</v>
      </c>
      <c r="D4108" t="s">
        <v>8</v>
      </c>
      <c r="E4108" t="s">
        <v>8</v>
      </c>
      <c r="F4108" t="s">
        <v>163</v>
      </c>
      <c r="G4108" t="s">
        <v>6723</v>
      </c>
      <c r="H4108" t="s">
        <v>8113</v>
      </c>
      <c r="I4108" t="s">
        <v>165</v>
      </c>
    </row>
    <row r="4109" spans="1:9" x14ac:dyDescent="0.25">
      <c r="A4109" s="1" t="str">
        <f>HYPERLINK("https://lynxcrm-apac--c.eu19.visual.force.com/0011i000001xmyOAAQ","Raffles Neuroscience Centre")</f>
        <v>Raffles Neuroscience Centre</v>
      </c>
      <c r="B4109" t="s">
        <v>8114</v>
      </c>
      <c r="C4109" t="s">
        <v>10</v>
      </c>
      <c r="D4109" t="s">
        <v>8</v>
      </c>
      <c r="E4109" t="s">
        <v>8</v>
      </c>
      <c r="F4109" t="s">
        <v>237</v>
      </c>
      <c r="G4109" t="s">
        <v>164</v>
      </c>
      <c r="H4109" t="s">
        <v>164</v>
      </c>
      <c r="I4109" t="s">
        <v>165</v>
      </c>
    </row>
    <row r="4110" spans="1:9" x14ac:dyDescent="0.25">
      <c r="A4110" s="1" t="str">
        <f>HYPERLINK("https://lynxcrm-apac--c.eu19.visual.force.com/0011i000001xn4ZAAQ","Raffles Surgery Centre")</f>
        <v>Raffles Surgery Centre</v>
      </c>
      <c r="B4110" t="s">
        <v>8115</v>
      </c>
      <c r="C4110" t="s">
        <v>10</v>
      </c>
      <c r="D4110" t="s">
        <v>8</v>
      </c>
      <c r="E4110" t="s">
        <v>8</v>
      </c>
      <c r="F4110" t="s">
        <v>8116</v>
      </c>
      <c r="G4110" t="s">
        <v>163</v>
      </c>
      <c r="H4110" t="s">
        <v>163</v>
      </c>
      <c r="I4110" t="s">
        <v>235</v>
      </c>
    </row>
    <row r="4111" spans="1:9" x14ac:dyDescent="0.25">
      <c r="A4111" s="1" t="str">
        <f>HYPERLINK("https://lynxcrm-apac--c.eu19.visual.force.com/0011i000001xmtSAAQ","Raflles Medical Group")</f>
        <v>Raflles Medical Group</v>
      </c>
      <c r="B4111" t="s">
        <v>8117</v>
      </c>
      <c r="C4111" t="s">
        <v>10</v>
      </c>
      <c r="D4111" t="s">
        <v>8</v>
      </c>
      <c r="E4111" t="s">
        <v>8</v>
      </c>
      <c r="F4111" t="s">
        <v>8118</v>
      </c>
      <c r="G4111" t="s">
        <v>8119</v>
      </c>
      <c r="H4111" t="s">
        <v>8119</v>
      </c>
      <c r="I4111" t="s">
        <v>8120</v>
      </c>
    </row>
    <row r="4112" spans="1:9" x14ac:dyDescent="0.25">
      <c r="A4112" s="1" t="str">
        <f>HYPERLINK("https://lynxcrm-apac--c.eu19.visual.force.com/0011i000001xoKSAAY","Rahman, Habeebul")</f>
        <v>Rahman, Habeebul</v>
      </c>
      <c r="B4112" t="s">
        <v>8121</v>
      </c>
      <c r="C4112" t="s">
        <v>28</v>
      </c>
      <c r="D4112" t="s">
        <v>261</v>
      </c>
      <c r="E4112" t="s">
        <v>8</v>
      </c>
      <c r="F4112" t="s">
        <v>261</v>
      </c>
      <c r="G4112" t="s">
        <v>347</v>
      </c>
      <c r="H4112" t="s">
        <v>347</v>
      </c>
      <c r="I4112" t="s">
        <v>260</v>
      </c>
    </row>
    <row r="4113" spans="1:9" x14ac:dyDescent="0.25">
      <c r="A4113" s="1" t="str">
        <f>HYPERLINK("https://lynxcrm-apac--c.eu19.visual.force.com/0011i000001xoVCAAY","Rahul, Ramnik Baxi")</f>
        <v>Rahul, Ramnik Baxi</v>
      </c>
      <c r="B4113" t="s">
        <v>8122</v>
      </c>
      <c r="C4113" t="s">
        <v>28</v>
      </c>
      <c r="D4113" t="s">
        <v>662</v>
      </c>
      <c r="E4113" t="s">
        <v>8</v>
      </c>
      <c r="F4113" t="s">
        <v>662</v>
      </c>
      <c r="G4113" t="s">
        <v>663</v>
      </c>
      <c r="H4113" t="s">
        <v>663</v>
      </c>
      <c r="I4113" t="s">
        <v>664</v>
      </c>
    </row>
    <row r="4114" spans="1:9" x14ac:dyDescent="0.25">
      <c r="A4114" s="1" t="str">
        <f>HYPERLINK("https://lynxcrm-apac--c.eu19.visual.force.com/0011i000001xnlzAAA","Rainbow, Katherine Anne")</f>
        <v>Rainbow, Katherine Anne</v>
      </c>
      <c r="B4114" t="s">
        <v>8123</v>
      </c>
      <c r="C4114" t="s">
        <v>28</v>
      </c>
      <c r="D4114" t="s">
        <v>819</v>
      </c>
      <c r="E4114" t="s">
        <v>8</v>
      </c>
      <c r="F4114" t="s">
        <v>820</v>
      </c>
      <c r="G4114" t="s">
        <v>820</v>
      </c>
      <c r="H4114" t="s">
        <v>821</v>
      </c>
      <c r="I4114" t="s">
        <v>822</v>
      </c>
    </row>
    <row r="4115" spans="1:9" x14ac:dyDescent="0.25">
      <c r="A4115" s="1" t="str">
        <f>HYPERLINK("https://lynxcrm-apac--c.eu19.visual.force.com/0011i000001xnpfAAA","Raja, Gopalan Ramanat")</f>
        <v>Raja, Gopalan Ramanat</v>
      </c>
      <c r="B4115" t="s">
        <v>8124</v>
      </c>
      <c r="C4115" t="s">
        <v>28</v>
      </c>
      <c r="D4115" t="s">
        <v>8125</v>
      </c>
      <c r="E4115" t="s">
        <v>8</v>
      </c>
      <c r="F4115" t="s">
        <v>173</v>
      </c>
      <c r="G4115" t="s">
        <v>174</v>
      </c>
      <c r="H4115" t="s">
        <v>174</v>
      </c>
      <c r="I4115" t="s">
        <v>175</v>
      </c>
    </row>
    <row r="4116" spans="1:9" x14ac:dyDescent="0.25">
      <c r="A4116" s="1" t="str">
        <f>HYPERLINK("https://lynxcrm-apac--c.eu19.visual.force.com/0011i00000Xf1H5AAJ","Rajasekaran, Tanujaa")</f>
        <v>Rajasekaran, Tanujaa</v>
      </c>
      <c r="B4116" t="s">
        <v>8126</v>
      </c>
      <c r="C4116" t="s">
        <v>28</v>
      </c>
      <c r="D4116" t="s">
        <v>2027</v>
      </c>
      <c r="E4116" t="s">
        <v>8</v>
      </c>
      <c r="F4116" t="s">
        <v>2028</v>
      </c>
      <c r="G4116" t="s">
        <v>2029</v>
      </c>
      <c r="H4116" t="s">
        <v>8</v>
      </c>
      <c r="I4116" t="s">
        <v>488</v>
      </c>
    </row>
    <row r="4117" spans="1:9" x14ac:dyDescent="0.25">
      <c r="A4117" s="1" t="str">
        <f>HYPERLINK("https://lynxcrm-apac--c.eu19.visual.force.com/0011i000001xoYBAAY","Rajendra, Tiruchelvarayan")</f>
        <v>Rajendra, Tiruchelvarayan</v>
      </c>
      <c r="B4117" t="s">
        <v>8127</v>
      </c>
      <c r="C4117" t="s">
        <v>28</v>
      </c>
      <c r="D4117" t="s">
        <v>251</v>
      </c>
      <c r="E4117" t="s">
        <v>8</v>
      </c>
      <c r="F4117" t="s">
        <v>251</v>
      </c>
      <c r="G4117" t="s">
        <v>252</v>
      </c>
      <c r="H4117" t="s">
        <v>252</v>
      </c>
      <c r="I4117" t="s">
        <v>253</v>
      </c>
    </row>
    <row r="4118" spans="1:9" x14ac:dyDescent="0.25">
      <c r="A4118" s="1" t="str">
        <f>HYPERLINK("https://lynxcrm-apac--c.eu19.visual.force.com/0011i000001xoYBAAY","Rajendra, Tiruchelvarayan")</f>
        <v>Rajendra, Tiruchelvarayan</v>
      </c>
      <c r="B4118" t="s">
        <v>8127</v>
      </c>
      <c r="C4118" t="s">
        <v>28</v>
      </c>
      <c r="D4118" t="s">
        <v>474</v>
      </c>
      <c r="E4118" t="s">
        <v>8</v>
      </c>
      <c r="F4118" t="s">
        <v>258</v>
      </c>
      <c r="G4118" t="s">
        <v>258</v>
      </c>
      <c r="H4118" t="s">
        <v>259</v>
      </c>
      <c r="I4118" t="s">
        <v>260</v>
      </c>
    </row>
    <row r="4119" spans="1:9" x14ac:dyDescent="0.25">
      <c r="A4119" s="1" t="str">
        <f>HYPERLINK("https://lynxcrm-apac--c.eu19.visual.force.com/0011i000001xoo3AAA","Rajesh, Jacob")</f>
        <v>Rajesh, Jacob</v>
      </c>
      <c r="B4119" t="s">
        <v>8128</v>
      </c>
      <c r="C4119" t="s">
        <v>28</v>
      </c>
      <c r="D4119" t="s">
        <v>815</v>
      </c>
      <c r="E4119" t="s">
        <v>8</v>
      </c>
      <c r="F4119" t="s">
        <v>816</v>
      </c>
      <c r="G4119" t="s">
        <v>815</v>
      </c>
      <c r="H4119" t="s">
        <v>815</v>
      </c>
      <c r="I4119" t="s">
        <v>817</v>
      </c>
    </row>
    <row r="4120" spans="1:9" x14ac:dyDescent="0.25">
      <c r="A4120" s="1" t="str">
        <f>HYPERLINK("https://lynxcrm-apac--c.eu19.visual.force.com/0011i000001xojGAAQ","Rajesh, Paul")</f>
        <v>Rajesh, Paul</v>
      </c>
      <c r="B4120" t="s">
        <v>8129</v>
      </c>
      <c r="C4120" t="s">
        <v>28</v>
      </c>
      <c r="D4120" t="s">
        <v>583</v>
      </c>
      <c r="E4120" t="s">
        <v>8</v>
      </c>
      <c r="F4120" t="s">
        <v>583</v>
      </c>
      <c r="G4120" t="s">
        <v>584</v>
      </c>
      <c r="H4120" t="s">
        <v>584</v>
      </c>
      <c r="I4120" t="s">
        <v>585</v>
      </c>
    </row>
    <row r="4121" spans="1:9" x14ac:dyDescent="0.25">
      <c r="A4121" s="1" t="str">
        <f>HYPERLINK("https://lynxcrm-apac--c.eu19.visual.force.com/0011i000001xoCjAAI","Rajinder, Singh")</f>
        <v>Rajinder, Singh</v>
      </c>
      <c r="B4121" t="s">
        <v>8130</v>
      </c>
      <c r="C4121" t="s">
        <v>28</v>
      </c>
      <c r="D4121" t="s">
        <v>474</v>
      </c>
      <c r="E4121" t="s">
        <v>8</v>
      </c>
      <c r="F4121" t="s">
        <v>1263</v>
      </c>
      <c r="G4121" t="s">
        <v>258</v>
      </c>
      <c r="H4121" t="s">
        <v>259</v>
      </c>
      <c r="I4121" t="s">
        <v>260</v>
      </c>
    </row>
    <row r="4122" spans="1:9" x14ac:dyDescent="0.25">
      <c r="A4122" s="1" t="str">
        <f>HYPERLINK("https://lynxcrm-apac--c.eu19.visual.force.com/0011i000001xnpkAAA","Raju, Cyril Kishore")</f>
        <v>Raju, Cyril Kishore</v>
      </c>
      <c r="B4122" t="s">
        <v>8131</v>
      </c>
      <c r="C4122" t="s">
        <v>28</v>
      </c>
      <c r="D4122" t="s">
        <v>8132</v>
      </c>
      <c r="E4122" t="s">
        <v>8</v>
      </c>
      <c r="F4122" t="s">
        <v>3634</v>
      </c>
      <c r="G4122" t="s">
        <v>3635</v>
      </c>
      <c r="H4122" t="s">
        <v>3635</v>
      </c>
      <c r="I4122" t="s">
        <v>3636</v>
      </c>
    </row>
    <row r="4123" spans="1:9" x14ac:dyDescent="0.25">
      <c r="A4123" s="1" t="str">
        <f>HYPERLINK("https://lynxcrm-apac--c.eu19.visual.force.com/0011i000001xoifAAA","Rakesh, Raveendran")</f>
        <v>Rakesh, Raveendran</v>
      </c>
      <c r="B4123" t="s">
        <v>8133</v>
      </c>
      <c r="C4123" t="s">
        <v>28</v>
      </c>
      <c r="D4123" t="s">
        <v>937</v>
      </c>
      <c r="E4123" t="s">
        <v>8</v>
      </c>
      <c r="F4123" t="s">
        <v>4088</v>
      </c>
      <c r="G4123" t="s">
        <v>4089</v>
      </c>
      <c r="H4123" t="s">
        <v>4089</v>
      </c>
      <c r="I4123" t="s">
        <v>193</v>
      </c>
    </row>
    <row r="4124" spans="1:9" x14ac:dyDescent="0.25">
      <c r="A4124" s="1" t="str">
        <f>HYPERLINK("https://lynxcrm-apac--c.eu19.visual.force.com/0011i000001xnZnAAI","Rakyat Clinic")</f>
        <v>Rakyat Clinic</v>
      </c>
      <c r="B4124" t="s">
        <v>8134</v>
      </c>
      <c r="C4124" t="s">
        <v>10</v>
      </c>
      <c r="D4124" t="s">
        <v>8</v>
      </c>
      <c r="E4124" t="s">
        <v>8</v>
      </c>
      <c r="F4124" t="s">
        <v>6727</v>
      </c>
      <c r="G4124" t="s">
        <v>6727</v>
      </c>
      <c r="H4124" t="s">
        <v>6728</v>
      </c>
      <c r="I4124" t="s">
        <v>6729</v>
      </c>
    </row>
    <row r="4125" spans="1:9" x14ac:dyDescent="0.25">
      <c r="A4125" s="1" t="str">
        <f>HYPERLINK("https://lynxcrm-apac--c.eu19.visual.force.com/0011i000001xnBYAAY","Rakyat Clinic")</f>
        <v>Rakyat Clinic</v>
      </c>
      <c r="B4125" t="s">
        <v>8135</v>
      </c>
      <c r="C4125" t="s">
        <v>10</v>
      </c>
      <c r="D4125" t="s">
        <v>8</v>
      </c>
      <c r="E4125" t="s">
        <v>8</v>
      </c>
      <c r="F4125" t="s">
        <v>6727</v>
      </c>
      <c r="G4125" t="s">
        <v>6727</v>
      </c>
      <c r="H4125" t="s">
        <v>8</v>
      </c>
      <c r="I4125" t="s">
        <v>6729</v>
      </c>
    </row>
    <row r="4126" spans="1:9" x14ac:dyDescent="0.25">
      <c r="A4126" s="1" t="str">
        <f>HYPERLINK("https://lynxcrm-apac--c.eu19.visual.force.com/0011i000001xoAnAAI","Ramanathan, Haridas")</f>
        <v>Ramanathan, Haridas</v>
      </c>
      <c r="B4126" t="s">
        <v>8136</v>
      </c>
      <c r="C4126" t="s">
        <v>28</v>
      </c>
      <c r="D4126" t="s">
        <v>8137</v>
      </c>
      <c r="E4126" t="s">
        <v>8</v>
      </c>
      <c r="F4126" t="s">
        <v>8138</v>
      </c>
      <c r="G4126" t="s">
        <v>8138</v>
      </c>
      <c r="H4126" t="s">
        <v>8139</v>
      </c>
      <c r="I4126" t="s">
        <v>8140</v>
      </c>
    </row>
    <row r="4127" spans="1:9" x14ac:dyDescent="0.25">
      <c r="A4127" s="1" t="str">
        <f>HYPERLINK("https://lynxcrm-apac--c.eu19.visual.force.com/0011i000001xoAoAAI","Ramasamy, Packiavathi")</f>
        <v>Ramasamy, Packiavathi</v>
      </c>
      <c r="B4127" t="s">
        <v>8141</v>
      </c>
      <c r="C4127" t="s">
        <v>28</v>
      </c>
      <c r="D4127" t="s">
        <v>1661</v>
      </c>
      <c r="E4127" t="s">
        <v>8</v>
      </c>
      <c r="F4127" t="s">
        <v>622</v>
      </c>
      <c r="G4127" t="s">
        <v>623</v>
      </c>
      <c r="H4127" t="s">
        <v>623</v>
      </c>
      <c r="I4127" t="s">
        <v>624</v>
      </c>
    </row>
    <row r="4128" spans="1:9" x14ac:dyDescent="0.25">
      <c r="A4128" s="1" t="str">
        <f>HYPERLINK("https://lynxcrm-apac--c.eu19.visual.force.com/0011i000001xoZSAAY","Ramason, Rani")</f>
        <v>Ramason, Rani</v>
      </c>
      <c r="B4128" t="s">
        <v>8142</v>
      </c>
      <c r="C4128" t="s">
        <v>28</v>
      </c>
      <c r="D4128" t="s">
        <v>261</v>
      </c>
      <c r="E4128" t="s">
        <v>8</v>
      </c>
      <c r="F4128" t="s">
        <v>248</v>
      </c>
      <c r="G4128" t="s">
        <v>258</v>
      </c>
      <c r="H4128" t="s">
        <v>258</v>
      </c>
      <c r="I4128" t="s">
        <v>260</v>
      </c>
    </row>
    <row r="4129" spans="1:9" x14ac:dyDescent="0.25">
      <c r="A4129" s="1" t="str">
        <f>HYPERLINK("https://lynxcrm-apac--c.eu19.visual.force.com/0011i000001xnpmAAA","Ranjan, Ramasamy")</f>
        <v>Ranjan, Ramasamy</v>
      </c>
      <c r="B4129" t="s">
        <v>8143</v>
      </c>
      <c r="C4129" t="s">
        <v>28</v>
      </c>
      <c r="D4129" t="s">
        <v>8144</v>
      </c>
      <c r="E4129" t="s">
        <v>8</v>
      </c>
      <c r="F4129" t="s">
        <v>6543</v>
      </c>
      <c r="G4129" t="s">
        <v>659</v>
      </c>
      <c r="H4129" t="s">
        <v>659</v>
      </c>
      <c r="I4129" t="s">
        <v>6544</v>
      </c>
    </row>
    <row r="4130" spans="1:9" x14ac:dyDescent="0.25">
      <c r="A4130" s="1" t="str">
        <f>HYPERLINK("https://lynxcrm-apac--c.eu19.visual.force.com/0011i000001xoX2AAI","Rao, Anil D")</f>
        <v>Rao, Anil D</v>
      </c>
      <c r="B4130" t="s">
        <v>8145</v>
      </c>
      <c r="C4130" t="s">
        <v>28</v>
      </c>
      <c r="D4130" t="s">
        <v>1253</v>
      </c>
      <c r="E4130" t="s">
        <v>8</v>
      </c>
      <c r="F4130" t="s">
        <v>366</v>
      </c>
      <c r="G4130" t="s">
        <v>360</v>
      </c>
      <c r="H4130" t="s">
        <v>361</v>
      </c>
      <c r="I4130" t="s">
        <v>362</v>
      </c>
    </row>
    <row r="4131" spans="1:9" x14ac:dyDescent="0.25">
      <c r="A4131" s="1" t="str">
        <f>HYPERLINK("https://lynxcrm-apac--c.eu19.visual.force.com/0011i000001xnzwAAA","Rao, Kailing")</f>
        <v>Rao, Kailing</v>
      </c>
      <c r="B4131" t="s">
        <v>8146</v>
      </c>
      <c r="C4131" t="s">
        <v>28</v>
      </c>
      <c r="D4131" t="s">
        <v>583</v>
      </c>
      <c r="E4131" t="s">
        <v>8</v>
      </c>
      <c r="F4131" t="s">
        <v>583</v>
      </c>
      <c r="G4131" t="s">
        <v>584</v>
      </c>
      <c r="H4131" t="s">
        <v>584</v>
      </c>
      <c r="I4131" t="s">
        <v>585</v>
      </c>
    </row>
    <row r="4132" spans="1:9" x14ac:dyDescent="0.25">
      <c r="A4132" s="1" t="str">
        <f>HYPERLINK("https://lynxcrm-apac--c.eu19.visual.force.com/0011i000001xnzwAAA","Rao, Kailing")</f>
        <v>Rao, Kailing</v>
      </c>
      <c r="B4132" t="s">
        <v>8146</v>
      </c>
      <c r="C4132" t="s">
        <v>28</v>
      </c>
      <c r="D4132" t="s">
        <v>583</v>
      </c>
      <c r="E4132" t="s">
        <v>8</v>
      </c>
      <c r="F4132" t="s">
        <v>234</v>
      </c>
      <c r="G4132" t="s">
        <v>584</v>
      </c>
      <c r="H4132" t="s">
        <v>1386</v>
      </c>
      <c r="I4132" t="s">
        <v>585</v>
      </c>
    </row>
    <row r="4133" spans="1:9" x14ac:dyDescent="0.25">
      <c r="A4133" s="1" t="str">
        <f>HYPERLINK("https://lynxcrm-apac--c.eu19.visual.force.com/0011i000001xnpnAAA","Rasanayagam, Wilmot Rajasing")</f>
        <v>Rasanayagam, Wilmot Rajasing</v>
      </c>
      <c r="B4133" t="s">
        <v>8147</v>
      </c>
      <c r="C4133" t="s">
        <v>28</v>
      </c>
      <c r="D4133" t="s">
        <v>8148</v>
      </c>
      <c r="E4133" t="s">
        <v>8</v>
      </c>
      <c r="F4133" t="s">
        <v>8149</v>
      </c>
      <c r="G4133" t="s">
        <v>8149</v>
      </c>
      <c r="H4133" t="s">
        <v>8150</v>
      </c>
      <c r="I4133" t="s">
        <v>8151</v>
      </c>
    </row>
    <row r="4134" spans="1:9" x14ac:dyDescent="0.25">
      <c r="A4134" s="1" t="str">
        <f>HYPERLINK("https://lynxcrm-apac--c.eu19.visual.force.com/0011i000001xoZ7AAI","Ravi, Yasoda")</f>
        <v>Ravi, Yasoda</v>
      </c>
      <c r="B4134" t="s">
        <v>8152</v>
      </c>
      <c r="C4134" t="s">
        <v>28</v>
      </c>
      <c r="D4134" t="s">
        <v>53</v>
      </c>
      <c r="E4134" t="s">
        <v>8</v>
      </c>
      <c r="F4134" t="s">
        <v>53</v>
      </c>
      <c r="G4134" t="s">
        <v>54</v>
      </c>
      <c r="H4134" t="s">
        <v>54</v>
      </c>
      <c r="I4134" t="s">
        <v>55</v>
      </c>
    </row>
    <row r="4135" spans="1:9" x14ac:dyDescent="0.25">
      <c r="A4135" s="1" t="str">
        <f>HYPERLINK("https://lynxcrm-apac--c.eu19.visual.force.com/0011i000001xoZ7AAI","Ravi, Yasoda")</f>
        <v>Ravi, Yasoda</v>
      </c>
      <c r="B4135" t="s">
        <v>8152</v>
      </c>
      <c r="C4135" t="s">
        <v>28</v>
      </c>
      <c r="D4135" t="s">
        <v>54</v>
      </c>
      <c r="E4135" t="s">
        <v>8</v>
      </c>
      <c r="F4135" t="s">
        <v>1225</v>
      </c>
      <c r="G4135" t="s">
        <v>1225</v>
      </c>
      <c r="H4135" t="s">
        <v>8</v>
      </c>
      <c r="I4135" t="s">
        <v>55</v>
      </c>
    </row>
    <row r="4136" spans="1:9" x14ac:dyDescent="0.25">
      <c r="A4136" s="1" t="str">
        <f>HYPERLINK("https://lynxcrm-apac--c.eu19.visual.force.com/0011i000001xnpoAAA","Ravinatharan, Tharmalingam")</f>
        <v>Ravinatharan, Tharmalingam</v>
      </c>
      <c r="B4136" t="s">
        <v>8153</v>
      </c>
      <c r="C4136" t="s">
        <v>28</v>
      </c>
      <c r="D4136" t="s">
        <v>8154</v>
      </c>
      <c r="E4136" t="s">
        <v>8</v>
      </c>
      <c r="F4136" t="s">
        <v>8155</v>
      </c>
      <c r="G4136" t="s">
        <v>388</v>
      </c>
      <c r="H4136" t="s">
        <v>388</v>
      </c>
      <c r="I4136" t="s">
        <v>123</v>
      </c>
    </row>
    <row r="4137" spans="1:9" x14ac:dyDescent="0.25">
      <c r="A4137" s="1" t="str">
        <f>HYPERLINK("https://lynxcrm-apac--c.eu19.visual.force.com/0011i00000C7N8YAAV","Ravindran, Meera")</f>
        <v>Ravindran, Meera</v>
      </c>
      <c r="B4137" t="s">
        <v>8156</v>
      </c>
      <c r="C4137" t="s">
        <v>28</v>
      </c>
      <c r="D4137" t="s">
        <v>8157</v>
      </c>
      <c r="E4137" t="s">
        <v>8</v>
      </c>
      <c r="F4137" t="s">
        <v>8158</v>
      </c>
      <c r="G4137" t="s">
        <v>8159</v>
      </c>
      <c r="H4137" t="s">
        <v>8</v>
      </c>
      <c r="I4137" t="s">
        <v>8160</v>
      </c>
    </row>
    <row r="4138" spans="1:9" x14ac:dyDescent="0.25">
      <c r="A4138" s="1" t="str">
        <f>HYPERLINK("https://lynxcrm-apac--c.eu19.visual.force.com/0011i000001xnCsAAI","Ravi Surgery")</f>
        <v>Ravi Surgery</v>
      </c>
      <c r="B4138" t="s">
        <v>8161</v>
      </c>
      <c r="C4138" t="s">
        <v>10</v>
      </c>
      <c r="D4138" t="s">
        <v>8</v>
      </c>
      <c r="E4138" t="s">
        <v>8</v>
      </c>
      <c r="F4138" t="s">
        <v>8155</v>
      </c>
      <c r="G4138" t="s">
        <v>388</v>
      </c>
      <c r="H4138" t="s">
        <v>388</v>
      </c>
      <c r="I4138" t="s">
        <v>123</v>
      </c>
    </row>
    <row r="4139" spans="1:9" x14ac:dyDescent="0.25">
      <c r="A4139" s="1" t="str">
        <f>HYPERLINK("https://lynxcrm-apac--c.eu19.visual.force.com/0011i000001xoAGAAY","Ray, Rilly")</f>
        <v>Ray, Rilly</v>
      </c>
      <c r="B4139" t="s">
        <v>8162</v>
      </c>
      <c r="C4139" t="s">
        <v>28</v>
      </c>
      <c r="D4139" t="s">
        <v>752</v>
      </c>
      <c r="E4139" t="s">
        <v>8</v>
      </c>
      <c r="F4139" t="s">
        <v>753</v>
      </c>
      <c r="G4139" t="s">
        <v>753</v>
      </c>
      <c r="H4139" t="s">
        <v>8</v>
      </c>
      <c r="I4139" t="s">
        <v>137</v>
      </c>
    </row>
    <row r="4140" spans="1:9" x14ac:dyDescent="0.25">
      <c r="A4140" s="1" t="str">
        <f>HYPERLINK("https://lynxcrm-apac--c.eu19.visual.force.com/0011i000001xoAGAAY","Ray, Rilly")</f>
        <v>Ray, Rilly</v>
      </c>
      <c r="B4140" t="s">
        <v>8162</v>
      </c>
      <c r="C4140" t="s">
        <v>28</v>
      </c>
      <c r="D4140" t="s">
        <v>753</v>
      </c>
      <c r="E4140" t="s">
        <v>8</v>
      </c>
      <c r="F4140" t="s">
        <v>135</v>
      </c>
      <c r="G4140" t="s">
        <v>136</v>
      </c>
      <c r="H4140" t="s">
        <v>136</v>
      </c>
      <c r="I4140" t="s">
        <v>137</v>
      </c>
    </row>
    <row r="4141" spans="1:9" x14ac:dyDescent="0.25">
      <c r="A4141" s="1" t="str">
        <f>HYPERLINK("https://lynxcrm-apac--c.eu19.visual.force.com/0011i000001xoR9AAI","Raymond, Wijanto")</f>
        <v>Raymond, Wijanto</v>
      </c>
      <c r="B4141" t="s">
        <v>8163</v>
      </c>
      <c r="C4141" t="s">
        <v>28</v>
      </c>
      <c r="D4141" t="s">
        <v>8164</v>
      </c>
      <c r="E4141" t="s">
        <v>8</v>
      </c>
      <c r="F4141" t="s">
        <v>121</v>
      </c>
      <c r="G4141" t="s">
        <v>8165</v>
      </c>
      <c r="H4141" t="s">
        <v>8165</v>
      </c>
      <c r="I4141" t="s">
        <v>123</v>
      </c>
    </row>
    <row r="4142" spans="1:9" x14ac:dyDescent="0.25">
      <c r="A4142" s="1" t="str">
        <f>HYPERLINK("https://lynxcrm-apac--c.eu19.visual.force.com/0011i000001xoguAAA","Razmi, bin Rahmat")</f>
        <v>Razmi, bin Rahmat</v>
      </c>
      <c r="B4142" t="s">
        <v>8166</v>
      </c>
      <c r="C4142" t="s">
        <v>28</v>
      </c>
      <c r="D4142" t="s">
        <v>1757</v>
      </c>
      <c r="E4142" t="s">
        <v>8</v>
      </c>
      <c r="F4142" t="s">
        <v>1102</v>
      </c>
      <c r="G4142" t="s">
        <v>121</v>
      </c>
      <c r="H4142" t="s">
        <v>121</v>
      </c>
      <c r="I4142" t="s">
        <v>123</v>
      </c>
    </row>
    <row r="4143" spans="1:9" x14ac:dyDescent="0.25">
      <c r="A4143" s="1" t="str">
        <f>HYPERLINK("https://lynxcrm-apac--c.eu19.visual.force.com/0011i000001xnR8AAI","Regent Clinic")</f>
        <v>Regent Clinic</v>
      </c>
      <c r="B4143" t="s">
        <v>8167</v>
      </c>
      <c r="C4143" t="s">
        <v>10</v>
      </c>
      <c r="D4143" t="s">
        <v>8</v>
      </c>
      <c r="E4143" t="s">
        <v>8</v>
      </c>
      <c r="F4143" t="s">
        <v>4423</v>
      </c>
      <c r="G4143" t="s">
        <v>4424</v>
      </c>
      <c r="H4143" t="s">
        <v>4425</v>
      </c>
      <c r="I4143" t="s">
        <v>3792</v>
      </c>
    </row>
    <row r="4144" spans="1:9" x14ac:dyDescent="0.25">
      <c r="A4144" s="1" t="str">
        <f>HYPERLINK("https://lynxcrm-apac--c.eu19.visual.force.com/0011i000001xnnpAAA","Regina, Zuzarte")</f>
        <v>Regina, Zuzarte</v>
      </c>
      <c r="B4144" t="s">
        <v>8168</v>
      </c>
      <c r="C4144" t="s">
        <v>28</v>
      </c>
      <c r="D4144" t="s">
        <v>8169</v>
      </c>
      <c r="E4144" t="s">
        <v>8</v>
      </c>
      <c r="F4144" t="s">
        <v>8170</v>
      </c>
      <c r="G4144" t="s">
        <v>2866</v>
      </c>
      <c r="H4144" t="s">
        <v>2866</v>
      </c>
      <c r="I4144" t="s">
        <v>8171</v>
      </c>
    </row>
    <row r="4145" spans="1:9" x14ac:dyDescent="0.25">
      <c r="A4145" s="1" t="str">
        <f>HYPERLINK("https://lynxcrm-apac--c.eu19.visual.force.com/0011i000001xngSAAQ","Regina")</f>
        <v>Regina</v>
      </c>
      <c r="B4145" t="s">
        <v>8172</v>
      </c>
      <c r="C4145" t="s">
        <v>28</v>
      </c>
      <c r="D4145" t="s">
        <v>701</v>
      </c>
      <c r="E4145" t="s">
        <v>8</v>
      </c>
      <c r="F4145" t="s">
        <v>1123</v>
      </c>
      <c r="G4145" t="s">
        <v>1123</v>
      </c>
      <c r="H4145" t="s">
        <v>1124</v>
      </c>
      <c r="I4145" t="s">
        <v>703</v>
      </c>
    </row>
    <row r="4146" spans="1:9" x14ac:dyDescent="0.25">
      <c r="A4146" s="1" t="str">
        <f>HYPERLINK("https://lynxcrm-apac--c.eu19.visual.force.com/0011i000001xn1aAAA","Regional Patientcare")</f>
        <v>Regional Patientcare</v>
      </c>
      <c r="B4146" t="s">
        <v>8173</v>
      </c>
      <c r="C4146" t="s">
        <v>10</v>
      </c>
      <c r="D4146" t="s">
        <v>8</v>
      </c>
      <c r="E4146" t="s">
        <v>8</v>
      </c>
      <c r="F4146" t="s">
        <v>1980</v>
      </c>
      <c r="G4146" t="s">
        <v>1981</v>
      </c>
      <c r="H4146" t="s">
        <v>1981</v>
      </c>
      <c r="I4146" t="s">
        <v>1982</v>
      </c>
    </row>
    <row r="4147" spans="1:9" x14ac:dyDescent="0.25">
      <c r="A4147" s="1" t="str">
        <f>HYPERLINK("https://lynxcrm-apac--c.eu19.visual.force.com/0011i000001xmqKAAQ","Regional Patientcare Med Grp")</f>
        <v>Regional Patientcare Med Grp</v>
      </c>
      <c r="B4147" t="s">
        <v>8174</v>
      </c>
      <c r="C4147" t="s">
        <v>10</v>
      </c>
      <c r="D4147" t="s">
        <v>8</v>
      </c>
      <c r="E4147" t="s">
        <v>8</v>
      </c>
      <c r="F4147" t="s">
        <v>8175</v>
      </c>
      <c r="G4147" t="s">
        <v>2052</v>
      </c>
      <c r="H4147" t="s">
        <v>2052</v>
      </c>
      <c r="I4147" t="s">
        <v>8176</v>
      </c>
    </row>
    <row r="4148" spans="1:9" x14ac:dyDescent="0.25">
      <c r="A4148" s="1" t="str">
        <f>HYPERLINK("https://lynxcrm-apac--c.eu19.visual.force.com/0011i000001xo5OAAQ","Rekha, Rajan")</f>
        <v>Rekha, Rajan</v>
      </c>
      <c r="B4148" t="s">
        <v>8177</v>
      </c>
      <c r="C4148" t="s">
        <v>28</v>
      </c>
      <c r="D4148" t="s">
        <v>701</v>
      </c>
      <c r="E4148" t="s">
        <v>8</v>
      </c>
      <c r="F4148" t="s">
        <v>1123</v>
      </c>
      <c r="G4148" t="s">
        <v>1123</v>
      </c>
      <c r="H4148" t="s">
        <v>1124</v>
      </c>
      <c r="I4148" t="s">
        <v>703</v>
      </c>
    </row>
    <row r="4149" spans="1:9" x14ac:dyDescent="0.25">
      <c r="A4149" s="1" t="str">
        <f>HYPERLINK("https://lynxcrm-apac--c.eu19.visual.force.com/0011i000001xmhzAAA","Renal Centre")</f>
        <v>Renal Centre</v>
      </c>
      <c r="B4149" t="s">
        <v>8178</v>
      </c>
      <c r="C4149" t="s">
        <v>10</v>
      </c>
      <c r="D4149" t="s">
        <v>8</v>
      </c>
      <c r="E4149" t="s">
        <v>8</v>
      </c>
      <c r="F4149" t="s">
        <v>469</v>
      </c>
      <c r="G4149" t="s">
        <v>3038</v>
      </c>
      <c r="H4149" t="s">
        <v>3039</v>
      </c>
      <c r="I4149" t="s">
        <v>67</v>
      </c>
    </row>
    <row r="4150" spans="1:9" x14ac:dyDescent="0.25">
      <c r="A4150" s="1" t="str">
        <f t="shared" ref="A4150:A4155" si="36">HYPERLINK("https://lynxcrm-apac--c.eu19.visual.force.com/0011i00000S3ZRwAAN","Renaud, Claude")</f>
        <v>Renaud, Claude</v>
      </c>
      <c r="B4150" t="s">
        <v>8179</v>
      </c>
      <c r="C4150" t="s">
        <v>28</v>
      </c>
      <c r="D4150" t="s">
        <v>501</v>
      </c>
      <c r="E4150" t="s">
        <v>8</v>
      </c>
      <c r="F4150" t="s">
        <v>501</v>
      </c>
      <c r="G4150" t="s">
        <v>502</v>
      </c>
      <c r="H4150" t="s">
        <v>502</v>
      </c>
      <c r="I4150" t="s">
        <v>506</v>
      </c>
    </row>
    <row r="4151" spans="1:9" x14ac:dyDescent="0.25">
      <c r="A4151" s="1" t="str">
        <f t="shared" si="36"/>
        <v>Renaud, Claude</v>
      </c>
      <c r="B4151" t="s">
        <v>8179</v>
      </c>
      <c r="C4151" t="s">
        <v>28</v>
      </c>
      <c r="D4151" t="s">
        <v>501</v>
      </c>
      <c r="E4151" t="s">
        <v>8</v>
      </c>
      <c r="F4151" t="s">
        <v>502</v>
      </c>
      <c r="G4151" t="s">
        <v>502</v>
      </c>
      <c r="H4151" t="s">
        <v>503</v>
      </c>
      <c r="I4151" t="s">
        <v>504</v>
      </c>
    </row>
    <row r="4152" spans="1:9" x14ac:dyDescent="0.25">
      <c r="A4152" s="1" t="str">
        <f t="shared" si="36"/>
        <v>Renaud, Claude</v>
      </c>
      <c r="B4152" t="s">
        <v>8179</v>
      </c>
      <c r="C4152" t="s">
        <v>28</v>
      </c>
      <c r="D4152" t="s">
        <v>501</v>
      </c>
      <c r="E4152" t="s">
        <v>8</v>
      </c>
      <c r="F4152" t="s">
        <v>246</v>
      </c>
      <c r="G4152" t="s">
        <v>502</v>
      </c>
      <c r="H4152" t="s">
        <v>503</v>
      </c>
      <c r="I4152" t="s">
        <v>504</v>
      </c>
    </row>
    <row r="4153" spans="1:9" x14ac:dyDescent="0.25">
      <c r="A4153" s="1" t="str">
        <f t="shared" si="36"/>
        <v>Renaud, Claude</v>
      </c>
      <c r="B4153" t="s">
        <v>8179</v>
      </c>
      <c r="C4153" t="s">
        <v>28</v>
      </c>
      <c r="D4153" t="s">
        <v>501</v>
      </c>
      <c r="E4153" t="s">
        <v>8</v>
      </c>
      <c r="F4153" t="s">
        <v>246</v>
      </c>
      <c r="G4153" t="s">
        <v>502</v>
      </c>
      <c r="H4153" t="s">
        <v>503</v>
      </c>
      <c r="I4153" t="s">
        <v>505</v>
      </c>
    </row>
    <row r="4154" spans="1:9" x14ac:dyDescent="0.25">
      <c r="A4154" s="1" t="str">
        <f t="shared" si="36"/>
        <v>Renaud, Claude</v>
      </c>
      <c r="B4154" t="s">
        <v>8179</v>
      </c>
      <c r="C4154" t="s">
        <v>28</v>
      </c>
      <c r="D4154" t="s">
        <v>501</v>
      </c>
      <c r="E4154" t="s">
        <v>8</v>
      </c>
      <c r="F4154" t="s">
        <v>234</v>
      </c>
      <c r="G4154" t="s">
        <v>502</v>
      </c>
      <c r="H4154" t="s">
        <v>503</v>
      </c>
      <c r="I4154" t="s">
        <v>504</v>
      </c>
    </row>
    <row r="4155" spans="1:9" x14ac:dyDescent="0.25">
      <c r="A4155" s="1" t="str">
        <f t="shared" si="36"/>
        <v>Renaud, Claude</v>
      </c>
      <c r="B4155" t="s">
        <v>8179</v>
      </c>
      <c r="C4155" t="s">
        <v>28</v>
      </c>
      <c r="D4155" t="s">
        <v>501</v>
      </c>
      <c r="E4155" t="s">
        <v>8</v>
      </c>
      <c r="F4155" t="s">
        <v>359</v>
      </c>
      <c r="G4155" t="s">
        <v>502</v>
      </c>
      <c r="H4155" t="s">
        <v>503</v>
      </c>
      <c r="I4155" t="s">
        <v>506</v>
      </c>
    </row>
    <row r="4156" spans="1:9" x14ac:dyDescent="0.25">
      <c r="A4156" s="1" t="str">
        <f>HYPERLINK("https://lynxcrm-apac--c.eu19.visual.force.com/0011i000001xmvQAAQ","Ren Family Centre")</f>
        <v>Ren Family Centre</v>
      </c>
      <c r="B4156" t="s">
        <v>8180</v>
      </c>
      <c r="C4156" t="s">
        <v>10</v>
      </c>
      <c r="D4156" t="s">
        <v>8</v>
      </c>
      <c r="E4156" t="s">
        <v>8</v>
      </c>
      <c r="F4156" t="s">
        <v>4791</v>
      </c>
      <c r="G4156" t="s">
        <v>1330</v>
      </c>
      <c r="H4156" t="s">
        <v>4792</v>
      </c>
      <c r="I4156" t="s">
        <v>4020</v>
      </c>
    </row>
    <row r="4157" spans="1:9" x14ac:dyDescent="0.25">
      <c r="A4157" s="1" t="str">
        <f>HYPERLINK("https://lynxcrm-apac--c.eu19.visual.force.com/0011i000001xnGzAAI","Reservoir Road Clinic &amp; Surgery")</f>
        <v>Reservoir Road Clinic &amp; Surgery</v>
      </c>
      <c r="B4157" t="s">
        <v>8181</v>
      </c>
      <c r="C4157" t="s">
        <v>10</v>
      </c>
      <c r="D4157" t="s">
        <v>8</v>
      </c>
      <c r="E4157" t="s">
        <v>8</v>
      </c>
      <c r="F4157" t="s">
        <v>3413</v>
      </c>
      <c r="G4157" t="s">
        <v>3414</v>
      </c>
      <c r="H4157" t="s">
        <v>3415</v>
      </c>
      <c r="I4157" t="s">
        <v>3416</v>
      </c>
    </row>
    <row r="4158" spans="1:9" x14ac:dyDescent="0.25">
      <c r="A4158" s="1" t="str">
        <f>HYPERLINK("https://lynxcrm-apac--c.eu19.visual.force.com/0011i000001xoe4AAA","Reshma, Merchant Aziz")</f>
        <v>Reshma, Merchant Aziz</v>
      </c>
      <c r="B4158" t="s">
        <v>8182</v>
      </c>
      <c r="C4158" t="s">
        <v>28</v>
      </c>
      <c r="D4158" t="s">
        <v>429</v>
      </c>
      <c r="E4158" t="s">
        <v>8</v>
      </c>
      <c r="F4158" t="s">
        <v>1450</v>
      </c>
      <c r="G4158" t="s">
        <v>428</v>
      </c>
      <c r="H4158" t="s">
        <v>1320</v>
      </c>
      <c r="I4158" t="s">
        <v>430</v>
      </c>
    </row>
    <row r="4159" spans="1:9" x14ac:dyDescent="0.25">
      <c r="A4159" s="1" t="str">
        <f>HYPERLINK("https://lynxcrm-apac--c.eu19.visual.force.com/0011i000001xmsDAAQ","Respiratory &amp; Medical Specialists Pte Ltd")</f>
        <v>Respiratory &amp; Medical Specialists Pte Ltd</v>
      </c>
      <c r="B4159" t="s">
        <v>8183</v>
      </c>
      <c r="C4159" t="s">
        <v>10</v>
      </c>
      <c r="D4159" t="s">
        <v>8</v>
      </c>
      <c r="E4159" t="s">
        <v>8</v>
      </c>
      <c r="F4159" t="s">
        <v>69</v>
      </c>
      <c r="G4159" t="s">
        <v>8184</v>
      </c>
      <c r="H4159" t="s">
        <v>8185</v>
      </c>
      <c r="I4159" t="s">
        <v>67</v>
      </c>
    </row>
    <row r="4160" spans="1:9" x14ac:dyDescent="0.25">
      <c r="A4160" s="1" t="str">
        <f>HYPERLINK("https://lynxcrm-apac--c.eu19.visual.force.com/0011i000001xnAMAAY","Restore Heart Centre")</f>
        <v>Restore Heart Centre</v>
      </c>
      <c r="B4160" t="s">
        <v>8186</v>
      </c>
      <c r="C4160" t="s">
        <v>10</v>
      </c>
      <c r="D4160" t="s">
        <v>8</v>
      </c>
      <c r="E4160" t="s">
        <v>8</v>
      </c>
      <c r="F4160" t="s">
        <v>2740</v>
      </c>
      <c r="G4160" t="s">
        <v>8187</v>
      </c>
      <c r="H4160" t="s">
        <v>8187</v>
      </c>
      <c r="I4160" t="s">
        <v>200</v>
      </c>
    </row>
    <row r="4161" spans="1:9" x14ac:dyDescent="0.25">
      <c r="A4161" s="1" t="str">
        <f t="shared" ref="A4161:A4166" si="37">HYPERLINK("https://lynxcrm-apac--c.eu19.visual.force.com/0011i000007FFdwAAG","Resty, Mark")</f>
        <v>Resty, Mark</v>
      </c>
      <c r="B4161" t="s">
        <v>8188</v>
      </c>
      <c r="C4161" t="s">
        <v>28</v>
      </c>
      <c r="D4161" t="s">
        <v>501</v>
      </c>
      <c r="E4161" t="s">
        <v>8</v>
      </c>
      <c r="F4161" t="s">
        <v>502</v>
      </c>
      <c r="G4161" t="s">
        <v>502</v>
      </c>
      <c r="H4161" t="s">
        <v>503</v>
      </c>
      <c r="I4161" t="s">
        <v>504</v>
      </c>
    </row>
    <row r="4162" spans="1:9" x14ac:dyDescent="0.25">
      <c r="A4162" s="1" t="str">
        <f t="shared" si="37"/>
        <v>Resty, Mark</v>
      </c>
      <c r="B4162" t="s">
        <v>8188</v>
      </c>
      <c r="C4162" t="s">
        <v>28</v>
      </c>
      <c r="D4162" t="s">
        <v>501</v>
      </c>
      <c r="E4162" t="s">
        <v>8</v>
      </c>
      <c r="F4162" t="s">
        <v>246</v>
      </c>
      <c r="G4162" t="s">
        <v>502</v>
      </c>
      <c r="H4162" t="s">
        <v>503</v>
      </c>
      <c r="I4162" t="s">
        <v>504</v>
      </c>
    </row>
    <row r="4163" spans="1:9" x14ac:dyDescent="0.25">
      <c r="A4163" s="1" t="str">
        <f t="shared" si="37"/>
        <v>Resty, Mark</v>
      </c>
      <c r="B4163" t="s">
        <v>8188</v>
      </c>
      <c r="C4163" t="s">
        <v>28</v>
      </c>
      <c r="D4163" t="s">
        <v>501</v>
      </c>
      <c r="E4163" t="s">
        <v>8</v>
      </c>
      <c r="F4163" t="s">
        <v>246</v>
      </c>
      <c r="G4163" t="s">
        <v>502</v>
      </c>
      <c r="H4163" t="s">
        <v>503</v>
      </c>
      <c r="I4163" t="s">
        <v>505</v>
      </c>
    </row>
    <row r="4164" spans="1:9" x14ac:dyDescent="0.25">
      <c r="A4164" s="1" t="str">
        <f t="shared" si="37"/>
        <v>Resty, Mark</v>
      </c>
      <c r="B4164" t="s">
        <v>8188</v>
      </c>
      <c r="C4164" t="s">
        <v>28</v>
      </c>
      <c r="D4164" t="s">
        <v>501</v>
      </c>
      <c r="E4164" t="s">
        <v>8</v>
      </c>
      <c r="F4164" t="s">
        <v>501</v>
      </c>
      <c r="G4164" t="s">
        <v>502</v>
      </c>
      <c r="H4164" t="s">
        <v>502</v>
      </c>
      <c r="I4164" t="s">
        <v>506</v>
      </c>
    </row>
    <row r="4165" spans="1:9" x14ac:dyDescent="0.25">
      <c r="A4165" s="1" t="str">
        <f t="shared" si="37"/>
        <v>Resty, Mark</v>
      </c>
      <c r="B4165" t="s">
        <v>8188</v>
      </c>
      <c r="C4165" t="s">
        <v>28</v>
      </c>
      <c r="D4165" t="s">
        <v>501</v>
      </c>
      <c r="E4165" t="s">
        <v>8</v>
      </c>
      <c r="F4165" t="s">
        <v>234</v>
      </c>
      <c r="G4165" t="s">
        <v>502</v>
      </c>
      <c r="H4165" t="s">
        <v>503</v>
      </c>
      <c r="I4165" t="s">
        <v>504</v>
      </c>
    </row>
    <row r="4166" spans="1:9" x14ac:dyDescent="0.25">
      <c r="A4166" s="1" t="str">
        <f t="shared" si="37"/>
        <v>Resty, Mark</v>
      </c>
      <c r="B4166" t="s">
        <v>8188</v>
      </c>
      <c r="C4166" t="s">
        <v>28</v>
      </c>
      <c r="D4166" t="s">
        <v>501</v>
      </c>
      <c r="E4166" t="s">
        <v>8</v>
      </c>
      <c r="F4166" t="s">
        <v>359</v>
      </c>
      <c r="G4166" t="s">
        <v>502</v>
      </c>
      <c r="H4166" t="s">
        <v>503</v>
      </c>
      <c r="I4166" t="s">
        <v>506</v>
      </c>
    </row>
    <row r="4167" spans="1:9" x14ac:dyDescent="0.25">
      <c r="A4167" s="1" t="str">
        <f>HYPERLINK("https://lynxcrm-apac--c.eu19.visual.force.com/0011i000001xnyMAAQ","Richard, Roshan Goreas")</f>
        <v>Richard, Roshan Goreas</v>
      </c>
      <c r="B4167" t="s">
        <v>8189</v>
      </c>
      <c r="C4167" t="s">
        <v>28</v>
      </c>
      <c r="D4167" t="s">
        <v>815</v>
      </c>
      <c r="E4167" t="s">
        <v>8</v>
      </c>
      <c r="F4167" t="s">
        <v>816</v>
      </c>
      <c r="G4167" t="s">
        <v>815</v>
      </c>
      <c r="H4167" t="s">
        <v>815</v>
      </c>
      <c r="I4167" t="s">
        <v>817</v>
      </c>
    </row>
    <row r="4168" spans="1:9" x14ac:dyDescent="0.25">
      <c r="A4168" s="1" t="str">
        <f>HYPERLINK("https://lynxcrm-apac--c.eu19.visual.force.com/0011i000001xnSlAAI","Richard Chew Surgery")</f>
        <v>Richard Chew Surgery</v>
      </c>
      <c r="B4168" t="s">
        <v>8190</v>
      </c>
      <c r="C4168" t="s">
        <v>10</v>
      </c>
      <c r="D4168" t="s">
        <v>8</v>
      </c>
      <c r="E4168" t="s">
        <v>8</v>
      </c>
      <c r="F4168" t="s">
        <v>377</v>
      </c>
      <c r="G4168" t="s">
        <v>8191</v>
      </c>
      <c r="H4168" t="s">
        <v>8192</v>
      </c>
      <c r="I4168" t="s">
        <v>123</v>
      </c>
    </row>
    <row r="4169" spans="1:9" x14ac:dyDescent="0.25">
      <c r="A4169" s="1" t="str">
        <f>HYPERLINK("https://lynxcrm-apac--c.eu19.visual.force.com/0011i000001xmjkAAA","Richard Choo &amp; Partners")</f>
        <v>Richard Choo &amp; Partners</v>
      </c>
      <c r="B4169" t="s">
        <v>8193</v>
      </c>
      <c r="C4169" t="s">
        <v>10</v>
      </c>
      <c r="D4169" t="s">
        <v>8</v>
      </c>
      <c r="E4169" t="s">
        <v>8</v>
      </c>
      <c r="F4169" t="s">
        <v>2896</v>
      </c>
      <c r="G4169" t="s">
        <v>8194</v>
      </c>
      <c r="H4169" t="s">
        <v>8194</v>
      </c>
      <c r="I4169" t="s">
        <v>2899</v>
      </c>
    </row>
    <row r="4170" spans="1:9" x14ac:dyDescent="0.25">
      <c r="A4170" s="1" t="str">
        <f>HYPERLINK("https://lynxcrm-apac--c.eu19.visual.force.com/0011i000001xoPBAAY","Rinkoo, Dalan")</f>
        <v>Rinkoo, Dalan</v>
      </c>
      <c r="B4170" t="s">
        <v>8195</v>
      </c>
      <c r="C4170" t="s">
        <v>28</v>
      </c>
      <c r="D4170" t="s">
        <v>261</v>
      </c>
      <c r="E4170" t="s">
        <v>8</v>
      </c>
      <c r="F4170" t="s">
        <v>246</v>
      </c>
      <c r="G4170" t="s">
        <v>258</v>
      </c>
      <c r="H4170" t="s">
        <v>259</v>
      </c>
      <c r="I4170" t="s">
        <v>260</v>
      </c>
    </row>
    <row r="4171" spans="1:9" x14ac:dyDescent="0.25">
      <c r="A4171" s="1" t="str">
        <f>HYPERLINK("https://lynxcrm-apac--c.eu19.visual.force.com/0011i000001xoPBAAY","Rinkoo, Dalan")</f>
        <v>Rinkoo, Dalan</v>
      </c>
      <c r="B4171" t="s">
        <v>8195</v>
      </c>
      <c r="C4171" t="s">
        <v>28</v>
      </c>
      <c r="D4171" t="s">
        <v>261</v>
      </c>
      <c r="E4171" t="s">
        <v>8</v>
      </c>
      <c r="F4171" t="s">
        <v>261</v>
      </c>
      <c r="G4171" t="s">
        <v>347</v>
      </c>
      <c r="H4171" t="s">
        <v>347</v>
      </c>
      <c r="I4171" t="s">
        <v>260</v>
      </c>
    </row>
    <row r="4172" spans="1:9" x14ac:dyDescent="0.25">
      <c r="A4172" s="1" t="str">
        <f>HYPERLINK("https://lynxcrm-apac--c.eu19.visual.force.com/0011i000001xmucAAA","River of Life Family Clinic")</f>
        <v>River of Life Family Clinic</v>
      </c>
      <c r="B4172" t="s">
        <v>8196</v>
      </c>
      <c r="C4172" t="s">
        <v>10</v>
      </c>
      <c r="D4172" t="s">
        <v>8</v>
      </c>
      <c r="E4172" t="s">
        <v>8</v>
      </c>
      <c r="F4172" t="s">
        <v>6289</v>
      </c>
      <c r="G4172" t="s">
        <v>5457</v>
      </c>
      <c r="H4172" t="s">
        <v>5457</v>
      </c>
      <c r="I4172" t="s">
        <v>5459</v>
      </c>
    </row>
    <row r="4173" spans="1:9" x14ac:dyDescent="0.25">
      <c r="A4173" s="1" t="str">
        <f>HYPERLINK("https://lynxcrm-apac--c.eu19.visual.force.com/0011i000001xnwVAAQ","Robert, Hawkins")</f>
        <v>Robert, Hawkins</v>
      </c>
      <c r="B4173" t="s">
        <v>8197</v>
      </c>
      <c r="C4173" t="s">
        <v>28</v>
      </c>
      <c r="D4173" t="s">
        <v>261</v>
      </c>
      <c r="E4173" t="s">
        <v>8</v>
      </c>
      <c r="F4173" t="s">
        <v>261</v>
      </c>
      <c r="G4173" t="s">
        <v>347</v>
      </c>
      <c r="H4173" t="s">
        <v>347</v>
      </c>
      <c r="I4173" t="s">
        <v>260</v>
      </c>
    </row>
    <row r="4174" spans="1:9" x14ac:dyDescent="0.25">
      <c r="A4174" s="1" t="str">
        <f>HYPERLINK("https://lynxcrm-apac--c.eu19.visual.force.com/0011i000001xmySAAQ","Robert Tan Surgery")</f>
        <v>Robert Tan Surgery</v>
      </c>
      <c r="B4174" t="s">
        <v>8198</v>
      </c>
      <c r="C4174" t="s">
        <v>10</v>
      </c>
      <c r="D4174" t="s">
        <v>8</v>
      </c>
      <c r="E4174" t="s">
        <v>8</v>
      </c>
      <c r="F4174" t="s">
        <v>69</v>
      </c>
      <c r="G4174" t="s">
        <v>8199</v>
      </c>
      <c r="H4174" t="s">
        <v>8200</v>
      </c>
      <c r="I4174" t="s">
        <v>67</v>
      </c>
    </row>
    <row r="4175" spans="1:9" x14ac:dyDescent="0.25">
      <c r="A4175" s="1" t="str">
        <f>HYPERLINK("https://lynxcrm-apac--c.eu19.visual.force.com/0011i000001xnrDAAQ","Robless, Peter")</f>
        <v>Robless, Peter</v>
      </c>
      <c r="B4175" t="s">
        <v>8201</v>
      </c>
      <c r="C4175" t="s">
        <v>28</v>
      </c>
      <c r="D4175" t="s">
        <v>8202</v>
      </c>
      <c r="E4175" t="s">
        <v>8</v>
      </c>
      <c r="F4175" t="s">
        <v>7678</v>
      </c>
      <c r="G4175" t="s">
        <v>121</v>
      </c>
      <c r="H4175" t="s">
        <v>121</v>
      </c>
      <c r="I4175" t="s">
        <v>123</v>
      </c>
    </row>
    <row r="4176" spans="1:9" x14ac:dyDescent="0.25">
      <c r="A4176" s="1" t="str">
        <f>HYPERLINK("https://lynxcrm-apac--c.eu19.visual.force.com/0011i000001xmkdAAA","Robless Vascular Surgery")</f>
        <v>Robless Vascular Surgery</v>
      </c>
      <c r="B4176" t="s">
        <v>8203</v>
      </c>
      <c r="C4176" t="s">
        <v>10</v>
      </c>
      <c r="D4176" t="s">
        <v>8</v>
      </c>
      <c r="E4176" t="s">
        <v>8</v>
      </c>
      <c r="F4176" t="s">
        <v>7678</v>
      </c>
      <c r="G4176" t="s">
        <v>121</v>
      </c>
      <c r="H4176" t="s">
        <v>121</v>
      </c>
      <c r="I4176" t="s">
        <v>123</v>
      </c>
    </row>
    <row r="4177" spans="1:9" x14ac:dyDescent="0.25">
      <c r="A4177" s="1" t="str">
        <f>HYPERLINK("https://lynxcrm-apac--c.eu19.visual.force.com/0011i000001xmtAAAQ","Roger Kidney Clinic")</f>
        <v>Roger Kidney Clinic</v>
      </c>
      <c r="B4177" t="s">
        <v>8204</v>
      </c>
      <c r="C4177" t="s">
        <v>10</v>
      </c>
      <c r="D4177" t="s">
        <v>8</v>
      </c>
      <c r="E4177" t="s">
        <v>8</v>
      </c>
      <c r="F4177" t="s">
        <v>69</v>
      </c>
      <c r="G4177" t="s">
        <v>8205</v>
      </c>
      <c r="H4177" t="s">
        <v>8206</v>
      </c>
      <c r="I4177" t="s">
        <v>67</v>
      </c>
    </row>
    <row r="4178" spans="1:9" x14ac:dyDescent="0.25">
      <c r="A4178" s="1" t="str">
        <f>HYPERLINK("https://lynxcrm-apac--c.eu19.visual.force.com/0011i000001xoLXAAY","Rohit, Bansal")</f>
        <v>Rohit, Bansal</v>
      </c>
      <c r="B4178" t="s">
        <v>8207</v>
      </c>
      <c r="C4178" t="s">
        <v>28</v>
      </c>
      <c r="D4178" t="s">
        <v>709</v>
      </c>
      <c r="E4178" t="s">
        <v>8</v>
      </c>
      <c r="F4178" t="s">
        <v>710</v>
      </c>
      <c r="G4178" t="s">
        <v>135</v>
      </c>
      <c r="H4178" t="s">
        <v>135</v>
      </c>
      <c r="I4178" t="s">
        <v>711</v>
      </c>
    </row>
    <row r="4179" spans="1:9" x14ac:dyDescent="0.25">
      <c r="A4179" s="1" t="str">
        <f>HYPERLINK("https://lynxcrm-apac--c.eu19.visual.force.com/0011i000001xmvDAAQ","Roland Chong Gastroenterology &amp; Medical Clinic Pte Ltd")</f>
        <v>Roland Chong Gastroenterology &amp; Medical Clinic Pte Ltd</v>
      </c>
      <c r="B4179" t="s">
        <v>8208</v>
      </c>
      <c r="C4179" t="s">
        <v>10</v>
      </c>
      <c r="D4179" t="s">
        <v>8</v>
      </c>
      <c r="E4179" t="s">
        <v>8</v>
      </c>
      <c r="F4179" t="s">
        <v>8209</v>
      </c>
      <c r="G4179" t="s">
        <v>65</v>
      </c>
      <c r="H4179" t="s">
        <v>65</v>
      </c>
      <c r="I4179" t="s">
        <v>67</v>
      </c>
    </row>
    <row r="4180" spans="1:9" x14ac:dyDescent="0.25">
      <c r="A4180" s="1" t="str">
        <f>HYPERLINK("https://lynxcrm-apac--c.eu19.visual.force.com/0011i000001xnVwAAI","Rowell Clinic &amp; Surgery")</f>
        <v>Rowell Clinic &amp; Surgery</v>
      </c>
      <c r="B4180" t="s">
        <v>8210</v>
      </c>
      <c r="C4180" t="s">
        <v>10</v>
      </c>
      <c r="D4180" t="s">
        <v>8</v>
      </c>
      <c r="E4180" t="s">
        <v>8</v>
      </c>
      <c r="F4180" t="s">
        <v>8211</v>
      </c>
      <c r="G4180" t="s">
        <v>2906</v>
      </c>
      <c r="H4180" t="s">
        <v>8212</v>
      </c>
      <c r="I4180" t="s">
        <v>5451</v>
      </c>
    </row>
    <row r="4181" spans="1:9" x14ac:dyDescent="0.25">
      <c r="A4181" s="1" t="str">
        <f>HYPERLINK("https://lynxcrm-apac--c.eu19.visual.force.com/0011i000001xorqAAA","Roy, Debajyoti Malakar")</f>
        <v>Roy, Debajyoti Malakar</v>
      </c>
      <c r="B4181" t="s">
        <v>8213</v>
      </c>
      <c r="C4181" t="s">
        <v>28</v>
      </c>
      <c r="D4181" t="s">
        <v>583</v>
      </c>
      <c r="E4181" t="s">
        <v>8</v>
      </c>
      <c r="F4181" t="s">
        <v>583</v>
      </c>
      <c r="G4181" t="s">
        <v>584</v>
      </c>
      <c r="H4181" t="s">
        <v>584</v>
      </c>
      <c r="I4181" t="s">
        <v>585</v>
      </c>
    </row>
    <row r="4182" spans="1:9" x14ac:dyDescent="0.25">
      <c r="A4182" s="1" t="str">
        <f>HYPERLINK("https://lynxcrm-apac--c.eu19.visual.force.com/0011i000001xnS0AAI","Royal Health Clinic &amp; Surgery")</f>
        <v>Royal Health Clinic &amp; Surgery</v>
      </c>
      <c r="B4182" t="s">
        <v>8214</v>
      </c>
      <c r="C4182" t="s">
        <v>10</v>
      </c>
      <c r="D4182" t="s">
        <v>8</v>
      </c>
      <c r="E4182" t="s">
        <v>8</v>
      </c>
      <c r="F4182" t="s">
        <v>825</v>
      </c>
      <c r="G4182" t="s">
        <v>944</v>
      </c>
      <c r="H4182" t="s">
        <v>944</v>
      </c>
      <c r="I4182" t="s">
        <v>827</v>
      </c>
    </row>
    <row r="4183" spans="1:9" x14ac:dyDescent="0.25">
      <c r="A4183" s="1" t="str">
        <f>HYPERLINK("https://lynxcrm-apac--c.eu19.visual.force.com/0011i000001xnTvAAI","Royal Medical Centre")</f>
        <v>Royal Medical Centre</v>
      </c>
      <c r="B4183" t="s">
        <v>8215</v>
      </c>
      <c r="C4183" t="s">
        <v>10</v>
      </c>
      <c r="D4183" t="s">
        <v>8</v>
      </c>
      <c r="E4183" t="s">
        <v>8</v>
      </c>
      <c r="F4183" t="s">
        <v>6569</v>
      </c>
      <c r="G4183" t="s">
        <v>7900</v>
      </c>
      <c r="H4183" t="s">
        <v>7901</v>
      </c>
      <c r="I4183" t="s">
        <v>6571</v>
      </c>
    </row>
    <row r="4184" spans="1:9" x14ac:dyDescent="0.25">
      <c r="A4184" s="1" t="str">
        <f>HYPERLINK("https://lynxcrm-apac--c.eu19.visual.force.com/0011i000001xnHfAAI","Ruth Kam Heart &amp; Arrhythmia")</f>
        <v>Ruth Kam Heart &amp; Arrhythmia</v>
      </c>
      <c r="B4184" t="s">
        <v>8216</v>
      </c>
      <c r="C4184" t="s">
        <v>10</v>
      </c>
      <c r="D4184" t="s">
        <v>8</v>
      </c>
      <c r="E4184" t="s">
        <v>8</v>
      </c>
      <c r="F4184" t="s">
        <v>8217</v>
      </c>
      <c r="G4184" t="s">
        <v>87</v>
      </c>
      <c r="H4184" t="s">
        <v>87</v>
      </c>
      <c r="I4184" t="s">
        <v>85</v>
      </c>
    </row>
    <row r="4185" spans="1:9" x14ac:dyDescent="0.25">
      <c r="A4185" s="1" t="str">
        <f>HYPERLINK("https://lynxcrm-apac--c.eu19.visual.force.com/0011i000001xnHfAAI","Ruth Kam Heart &amp; Arrhythmia")</f>
        <v>Ruth Kam Heart &amp; Arrhythmia</v>
      </c>
      <c r="B4185" t="s">
        <v>8216</v>
      </c>
      <c r="C4185" t="s">
        <v>10</v>
      </c>
      <c r="D4185" t="s">
        <v>8</v>
      </c>
      <c r="E4185" t="s">
        <v>8</v>
      </c>
      <c r="F4185" t="s">
        <v>1801</v>
      </c>
      <c r="G4185" t="s">
        <v>8218</v>
      </c>
      <c r="H4185" t="s">
        <v>8</v>
      </c>
      <c r="I4185" t="s">
        <v>1803</v>
      </c>
    </row>
    <row r="4186" spans="1:9" x14ac:dyDescent="0.25">
      <c r="A4186" s="1" t="str">
        <f>HYPERLINK("https://lynxcrm-apac--c.eu19.visual.force.com/0011i000001xn3kAAA","Ruth Kam Heart &amp; Arrhythmia Clinic")</f>
        <v>Ruth Kam Heart &amp; Arrhythmia Clinic</v>
      </c>
      <c r="B4186" t="s">
        <v>8219</v>
      </c>
      <c r="C4186" t="s">
        <v>10</v>
      </c>
      <c r="D4186" t="s">
        <v>8</v>
      </c>
      <c r="E4186" t="s">
        <v>8</v>
      </c>
      <c r="F4186" t="s">
        <v>373</v>
      </c>
      <c r="G4186" t="s">
        <v>8220</v>
      </c>
      <c r="H4186" t="s">
        <v>8221</v>
      </c>
      <c r="I4186" t="s">
        <v>123</v>
      </c>
    </row>
    <row r="4187" spans="1:9" x14ac:dyDescent="0.25">
      <c r="A4187" s="1" t="str">
        <f>HYPERLINK("https://lynxcrm-apac--c.eu19.visual.force.com/0011i000001xn7YAAQ","S.M. Chua Clinic &amp; Surgery For Women")</f>
        <v>S.M. Chua Clinic &amp; Surgery For Women</v>
      </c>
      <c r="B4187" t="s">
        <v>8222</v>
      </c>
      <c r="C4187" t="s">
        <v>10</v>
      </c>
      <c r="D4187" t="s">
        <v>8</v>
      </c>
      <c r="E4187" t="s">
        <v>8</v>
      </c>
      <c r="F4187" t="s">
        <v>2116</v>
      </c>
      <c r="G4187" t="s">
        <v>2290</v>
      </c>
      <c r="H4187" t="s">
        <v>2291</v>
      </c>
      <c r="I4187" t="s">
        <v>43</v>
      </c>
    </row>
    <row r="4188" spans="1:9" x14ac:dyDescent="0.25">
      <c r="A4188" s="1" t="str">
        <f>HYPERLINK("https://lynxcrm-apac--c.eu19.visual.force.com/0011i000001xnWLAAY","S.S. Tan Medical Clinic")</f>
        <v>S.S. Tan Medical Clinic</v>
      </c>
      <c r="B4188" t="s">
        <v>8223</v>
      </c>
      <c r="C4188" t="s">
        <v>10</v>
      </c>
      <c r="D4188" t="s">
        <v>8</v>
      </c>
      <c r="E4188" t="s">
        <v>8</v>
      </c>
      <c r="F4188" t="s">
        <v>8224</v>
      </c>
      <c r="G4188" t="s">
        <v>8225</v>
      </c>
      <c r="H4188" t="s">
        <v>8226</v>
      </c>
      <c r="I4188" t="s">
        <v>8227</v>
      </c>
    </row>
    <row r="4189" spans="1:9" x14ac:dyDescent="0.25">
      <c r="A4189" s="1" t="str">
        <f>HYPERLINK("https://lynxcrm-apac--c.eu19.visual.force.com/0011i000001xmqnAAA","S.Y. Ng Clinic")</f>
        <v>S.Y. Ng Clinic</v>
      </c>
      <c r="B4189" t="s">
        <v>8228</v>
      </c>
      <c r="C4189" t="s">
        <v>10</v>
      </c>
      <c r="D4189" t="s">
        <v>8</v>
      </c>
      <c r="E4189" t="s">
        <v>8</v>
      </c>
      <c r="F4189" t="s">
        <v>8229</v>
      </c>
      <c r="G4189" t="s">
        <v>7123</v>
      </c>
      <c r="H4189" t="s">
        <v>7124</v>
      </c>
      <c r="I4189" t="s">
        <v>7125</v>
      </c>
    </row>
    <row r="4190" spans="1:9" x14ac:dyDescent="0.25">
      <c r="A4190" s="1" t="str">
        <f>HYPERLINK("https://lynxcrm-apac--c.eu19.visual.force.com/0011i000001xnM4AAI","S&amp;L Family Clinic")</f>
        <v>S&amp;L Family Clinic</v>
      </c>
      <c r="B4190" t="s">
        <v>8230</v>
      </c>
      <c r="C4190" t="s">
        <v>10</v>
      </c>
      <c r="D4190" t="s">
        <v>8</v>
      </c>
      <c r="E4190" t="s">
        <v>8</v>
      </c>
      <c r="F4190" t="s">
        <v>8231</v>
      </c>
      <c r="G4190" t="s">
        <v>5500</v>
      </c>
      <c r="H4190" t="s">
        <v>8232</v>
      </c>
      <c r="I4190" t="s">
        <v>8233</v>
      </c>
    </row>
    <row r="4191" spans="1:9" x14ac:dyDescent="0.25">
      <c r="A4191" s="1" t="str">
        <f>HYPERLINK("https://lynxcrm-apac--c.eu19.visual.force.com/0011i000001xnprAAA","Sadasivan, Ramesh")</f>
        <v>Sadasivan, Ramesh</v>
      </c>
      <c r="B4191" t="s">
        <v>8234</v>
      </c>
      <c r="C4191" t="s">
        <v>28</v>
      </c>
      <c r="D4191" t="s">
        <v>8235</v>
      </c>
      <c r="E4191" t="s">
        <v>8</v>
      </c>
      <c r="F4191" t="s">
        <v>3196</v>
      </c>
      <c r="G4191" t="s">
        <v>3197</v>
      </c>
      <c r="H4191" t="s">
        <v>3198</v>
      </c>
      <c r="I4191" t="s">
        <v>3199</v>
      </c>
    </row>
    <row r="4192" spans="1:9" x14ac:dyDescent="0.25">
      <c r="A4192" s="1" t="str">
        <f>HYPERLINK("https://lynxcrm-apac--c.eu19.visual.force.com/0011i000007CAGLAA4","Sahlen, Anders Olof")</f>
        <v>Sahlen, Anders Olof</v>
      </c>
      <c r="B4192" t="s">
        <v>8236</v>
      </c>
      <c r="C4192" t="s">
        <v>28</v>
      </c>
      <c r="D4192" t="s">
        <v>4889</v>
      </c>
      <c r="E4192" t="s">
        <v>8</v>
      </c>
      <c r="F4192" t="s">
        <v>4891</v>
      </c>
      <c r="G4192" t="s">
        <v>4890</v>
      </c>
      <c r="H4192" t="s">
        <v>4890</v>
      </c>
      <c r="I4192" t="s">
        <v>466</v>
      </c>
    </row>
    <row r="4193" spans="1:9" x14ac:dyDescent="0.25">
      <c r="A4193" s="1" t="str">
        <f>HYPERLINK("https://lynxcrm-apac--c.eu19.visual.force.com/0011i000007CAGLAA4","Sahlen, Anders Olof")</f>
        <v>Sahlen, Anders Olof</v>
      </c>
      <c r="B4193" t="s">
        <v>8236</v>
      </c>
      <c r="C4193" t="s">
        <v>28</v>
      </c>
      <c r="D4193" t="s">
        <v>4889</v>
      </c>
      <c r="E4193" t="s">
        <v>8</v>
      </c>
      <c r="F4193" t="s">
        <v>4890</v>
      </c>
      <c r="G4193" t="s">
        <v>4890</v>
      </c>
      <c r="H4193" t="s">
        <v>8</v>
      </c>
      <c r="I4193" t="s">
        <v>466</v>
      </c>
    </row>
    <row r="4194" spans="1:9" x14ac:dyDescent="0.25">
      <c r="A4194" s="1" t="str">
        <f>HYPERLINK("https://lynxcrm-apac--c.eu19.visual.force.com/0011i00000JenIFAAZ","Sahlen, Anders Olof")</f>
        <v>Sahlen, Anders Olof</v>
      </c>
      <c r="B4194" t="s">
        <v>8237</v>
      </c>
      <c r="C4194" t="s">
        <v>28</v>
      </c>
      <c r="D4194" t="s">
        <v>449</v>
      </c>
      <c r="E4194" t="s">
        <v>8</v>
      </c>
      <c r="F4194" t="s">
        <v>450</v>
      </c>
      <c r="G4194" t="s">
        <v>449</v>
      </c>
      <c r="H4194" t="s">
        <v>449</v>
      </c>
      <c r="I4194" t="s">
        <v>451</v>
      </c>
    </row>
    <row r="4195" spans="1:9" x14ac:dyDescent="0.25">
      <c r="A4195" s="1" t="str">
        <f>HYPERLINK("https://lynxcrm-apac--c.eu19.visual.force.com/0011i00000JenIFAAZ","Sahlen, Anders Olof")</f>
        <v>Sahlen, Anders Olof</v>
      </c>
      <c r="B4195" t="s">
        <v>8237</v>
      </c>
      <c r="C4195" t="s">
        <v>28</v>
      </c>
      <c r="D4195" t="s">
        <v>449</v>
      </c>
      <c r="E4195" t="s">
        <v>8</v>
      </c>
      <c r="F4195" t="s">
        <v>234</v>
      </c>
      <c r="G4195" t="s">
        <v>452</v>
      </c>
      <c r="H4195" t="s">
        <v>453</v>
      </c>
      <c r="I4195" t="s">
        <v>454</v>
      </c>
    </row>
    <row r="4196" spans="1:9" x14ac:dyDescent="0.25">
      <c r="A4196" s="1" t="str">
        <f>HYPERLINK("https://lynxcrm-apac--c.eu19.visual.force.com/0011i000001xncPAAQ","SAI Associated Clinic Pte Ltd")</f>
        <v>SAI Associated Clinic Pte Ltd</v>
      </c>
      <c r="B4196" t="s">
        <v>8238</v>
      </c>
      <c r="C4196" t="s">
        <v>10</v>
      </c>
      <c r="D4196" t="s">
        <v>8</v>
      </c>
      <c r="E4196" t="s">
        <v>8</v>
      </c>
      <c r="F4196" t="s">
        <v>6027</v>
      </c>
      <c r="G4196" t="s">
        <v>8239</v>
      </c>
      <c r="H4196" t="s">
        <v>8240</v>
      </c>
      <c r="I4196" t="s">
        <v>6030</v>
      </c>
    </row>
    <row r="4197" spans="1:9" x14ac:dyDescent="0.25">
      <c r="A4197" s="1" t="str">
        <f>HYPERLINK("https://lynxcrm-apac--c.eu19.visual.force.com/0011i000001xoroAAA","Sajith, Sreedharan Geetha")</f>
        <v>Sajith, Sreedharan Geetha</v>
      </c>
      <c r="B4197" t="s">
        <v>8241</v>
      </c>
      <c r="C4197" t="s">
        <v>28</v>
      </c>
      <c r="D4197" t="s">
        <v>815</v>
      </c>
      <c r="E4197" t="s">
        <v>8</v>
      </c>
      <c r="F4197" t="s">
        <v>816</v>
      </c>
      <c r="G4197" t="s">
        <v>815</v>
      </c>
      <c r="H4197" t="s">
        <v>815</v>
      </c>
      <c r="I4197" t="s">
        <v>817</v>
      </c>
    </row>
    <row r="4198" spans="1:9" x14ac:dyDescent="0.25">
      <c r="A4198" s="1" t="str">
        <f>HYPERLINK("https://lynxcrm-apac--c.eu19.visual.force.com/0011i000001xnuhAAA","Saket, Junagade")</f>
        <v>Saket, Junagade</v>
      </c>
      <c r="B4198" t="s">
        <v>8242</v>
      </c>
      <c r="C4198" t="s">
        <v>28</v>
      </c>
      <c r="D4198" t="s">
        <v>429</v>
      </c>
      <c r="E4198" t="s">
        <v>8</v>
      </c>
      <c r="F4198" t="s">
        <v>429</v>
      </c>
      <c r="G4198" t="s">
        <v>428</v>
      </c>
      <c r="H4198" t="s">
        <v>428</v>
      </c>
      <c r="I4198" t="s">
        <v>430</v>
      </c>
    </row>
    <row r="4199" spans="1:9" x14ac:dyDescent="0.25">
      <c r="A4199" s="1" t="str">
        <f>HYPERLINK("https://lynxcrm-apac--c.eu19.visual.force.com/0011i000001xnuhAAA","Saket, Junagade")</f>
        <v>Saket, Junagade</v>
      </c>
      <c r="B4199" t="s">
        <v>8242</v>
      </c>
      <c r="C4199" t="s">
        <v>28</v>
      </c>
      <c r="D4199" t="s">
        <v>429</v>
      </c>
      <c r="E4199" t="s">
        <v>8</v>
      </c>
      <c r="F4199" t="s">
        <v>444</v>
      </c>
      <c r="G4199" t="s">
        <v>444</v>
      </c>
      <c r="H4199" t="s">
        <v>8</v>
      </c>
      <c r="I4199" t="s">
        <v>430</v>
      </c>
    </row>
    <row r="4200" spans="1:9" x14ac:dyDescent="0.25">
      <c r="A4200" s="1" t="str">
        <f>HYPERLINK("https://lynxcrm-apac--c.eu19.visual.force.com/0011i000001xnuhAAA","Saket, Junagade")</f>
        <v>Saket, Junagade</v>
      </c>
      <c r="B4200" t="s">
        <v>8242</v>
      </c>
      <c r="C4200" t="s">
        <v>28</v>
      </c>
      <c r="D4200" t="s">
        <v>429</v>
      </c>
      <c r="E4200" t="s">
        <v>8</v>
      </c>
      <c r="F4200" t="s">
        <v>445</v>
      </c>
      <c r="G4200" t="s">
        <v>428</v>
      </c>
      <c r="H4200" t="s">
        <v>428</v>
      </c>
      <c r="I4200" t="s">
        <v>430</v>
      </c>
    </row>
    <row r="4201" spans="1:9" x14ac:dyDescent="0.25">
      <c r="A4201" s="1" t="str">
        <f>HYPERLINK("https://lynxcrm-apac--c.eu19.visual.force.com/0011i000001xnuhAAA","Saket, Junagade")</f>
        <v>Saket, Junagade</v>
      </c>
      <c r="B4201" t="s">
        <v>8242</v>
      </c>
      <c r="C4201" t="s">
        <v>28</v>
      </c>
      <c r="D4201" t="s">
        <v>429</v>
      </c>
      <c r="E4201" t="s">
        <v>8</v>
      </c>
      <c r="F4201" t="s">
        <v>444</v>
      </c>
      <c r="G4201" t="s">
        <v>444</v>
      </c>
      <c r="H4201" t="s">
        <v>8</v>
      </c>
      <c r="I4201" t="s">
        <v>8</v>
      </c>
    </row>
    <row r="4202" spans="1:9" x14ac:dyDescent="0.25">
      <c r="A4202" s="1" t="str">
        <f>HYPERLINK("https://lynxcrm-apac--c.eu19.visual.force.com/0011i000001xoL6AAI","Salaeth, Deepan")</f>
        <v>Salaeth, Deepan</v>
      </c>
      <c r="B4202" t="s">
        <v>8243</v>
      </c>
      <c r="C4202" t="s">
        <v>28</v>
      </c>
      <c r="D4202" t="s">
        <v>7443</v>
      </c>
      <c r="E4202" t="s">
        <v>8</v>
      </c>
      <c r="F4202" t="s">
        <v>3995</v>
      </c>
      <c r="G4202" t="s">
        <v>3996</v>
      </c>
      <c r="H4202" t="s">
        <v>3996</v>
      </c>
      <c r="I4202" t="s">
        <v>3997</v>
      </c>
    </row>
    <row r="4203" spans="1:9" x14ac:dyDescent="0.25">
      <c r="A4203" s="1" t="str">
        <f t="shared" ref="A4203:A4208" si="38">HYPERLINK("https://lynxcrm-apac--c.eu19.visual.force.com/0011i000001xoNqAAI","Samia, Ali")</f>
        <v>Samia, Ali</v>
      </c>
      <c r="B4203" t="s">
        <v>8244</v>
      </c>
      <c r="C4203" t="s">
        <v>28</v>
      </c>
      <c r="D4203" t="s">
        <v>501</v>
      </c>
      <c r="E4203" t="s">
        <v>8</v>
      </c>
      <c r="F4203" t="s">
        <v>501</v>
      </c>
      <c r="G4203" t="s">
        <v>502</v>
      </c>
      <c r="H4203" t="s">
        <v>502</v>
      </c>
      <c r="I4203" t="s">
        <v>506</v>
      </c>
    </row>
    <row r="4204" spans="1:9" x14ac:dyDescent="0.25">
      <c r="A4204" s="1" t="str">
        <f t="shared" si="38"/>
        <v>Samia, Ali</v>
      </c>
      <c r="B4204" t="s">
        <v>8244</v>
      </c>
      <c r="C4204" t="s">
        <v>28</v>
      </c>
      <c r="D4204" t="s">
        <v>501</v>
      </c>
      <c r="E4204" t="s">
        <v>8</v>
      </c>
      <c r="F4204" t="s">
        <v>502</v>
      </c>
      <c r="G4204" t="s">
        <v>502</v>
      </c>
      <c r="H4204" t="s">
        <v>503</v>
      </c>
      <c r="I4204" t="s">
        <v>504</v>
      </c>
    </row>
    <row r="4205" spans="1:9" x14ac:dyDescent="0.25">
      <c r="A4205" s="1" t="str">
        <f t="shared" si="38"/>
        <v>Samia, Ali</v>
      </c>
      <c r="B4205" t="s">
        <v>8244</v>
      </c>
      <c r="C4205" t="s">
        <v>28</v>
      </c>
      <c r="D4205" t="s">
        <v>501</v>
      </c>
      <c r="E4205" t="s">
        <v>8</v>
      </c>
      <c r="F4205" t="s">
        <v>246</v>
      </c>
      <c r="G4205" t="s">
        <v>502</v>
      </c>
      <c r="H4205" t="s">
        <v>503</v>
      </c>
      <c r="I4205" t="s">
        <v>504</v>
      </c>
    </row>
    <row r="4206" spans="1:9" x14ac:dyDescent="0.25">
      <c r="A4206" s="1" t="str">
        <f t="shared" si="38"/>
        <v>Samia, Ali</v>
      </c>
      <c r="B4206" t="s">
        <v>8244</v>
      </c>
      <c r="C4206" t="s">
        <v>28</v>
      </c>
      <c r="D4206" t="s">
        <v>501</v>
      </c>
      <c r="E4206" t="s">
        <v>8</v>
      </c>
      <c r="F4206" t="s">
        <v>246</v>
      </c>
      <c r="G4206" t="s">
        <v>502</v>
      </c>
      <c r="H4206" t="s">
        <v>503</v>
      </c>
      <c r="I4206" t="s">
        <v>505</v>
      </c>
    </row>
    <row r="4207" spans="1:9" x14ac:dyDescent="0.25">
      <c r="A4207" s="1" t="str">
        <f t="shared" si="38"/>
        <v>Samia, Ali</v>
      </c>
      <c r="B4207" t="s">
        <v>8244</v>
      </c>
      <c r="C4207" t="s">
        <v>28</v>
      </c>
      <c r="D4207" t="s">
        <v>501</v>
      </c>
      <c r="E4207" t="s">
        <v>8</v>
      </c>
      <c r="F4207" t="s">
        <v>234</v>
      </c>
      <c r="G4207" t="s">
        <v>502</v>
      </c>
      <c r="H4207" t="s">
        <v>503</v>
      </c>
      <c r="I4207" t="s">
        <v>504</v>
      </c>
    </row>
    <row r="4208" spans="1:9" x14ac:dyDescent="0.25">
      <c r="A4208" s="1" t="str">
        <f t="shared" si="38"/>
        <v>Samia, Ali</v>
      </c>
      <c r="B4208" t="s">
        <v>8244</v>
      </c>
      <c r="C4208" t="s">
        <v>28</v>
      </c>
      <c r="D4208" t="s">
        <v>501</v>
      </c>
      <c r="E4208" t="s">
        <v>8</v>
      </c>
      <c r="F4208" t="s">
        <v>359</v>
      </c>
      <c r="G4208" t="s">
        <v>502</v>
      </c>
      <c r="H4208" t="s">
        <v>503</v>
      </c>
      <c r="I4208" t="s">
        <v>506</v>
      </c>
    </row>
    <row r="4209" spans="1:9" x14ac:dyDescent="0.25">
      <c r="A4209" s="1" t="str">
        <f>HYPERLINK("https://lynxcrm-apac--c.eu19.visual.force.com/0011i000001xnweAAA","Sandeep, Gohar")</f>
        <v>Sandeep, Gohar</v>
      </c>
      <c r="B4209" t="s">
        <v>8245</v>
      </c>
      <c r="C4209" t="s">
        <v>28</v>
      </c>
      <c r="D4209" t="s">
        <v>1486</v>
      </c>
      <c r="E4209" t="s">
        <v>8</v>
      </c>
      <c r="F4209" t="s">
        <v>1486</v>
      </c>
      <c r="G4209" t="s">
        <v>1487</v>
      </c>
      <c r="H4209" t="s">
        <v>1487</v>
      </c>
      <c r="I4209" t="s">
        <v>1488</v>
      </c>
    </row>
    <row r="4210" spans="1:9" x14ac:dyDescent="0.25">
      <c r="A4210" s="1" t="str">
        <f>HYPERLINK("https://lynxcrm-apac--c.eu19.visual.force.com/0011i000001xotyAAA","Sandeep, Rohilla")</f>
        <v>Sandeep, Rohilla</v>
      </c>
      <c r="B4210" t="s">
        <v>8246</v>
      </c>
      <c r="C4210" t="s">
        <v>28</v>
      </c>
      <c r="D4210" t="s">
        <v>520</v>
      </c>
      <c r="E4210" t="s">
        <v>8</v>
      </c>
      <c r="F4210" t="s">
        <v>90</v>
      </c>
      <c r="G4210" t="s">
        <v>521</v>
      </c>
      <c r="H4210" t="s">
        <v>521</v>
      </c>
      <c r="I4210" t="s">
        <v>92</v>
      </c>
    </row>
    <row r="4211" spans="1:9" x14ac:dyDescent="0.25">
      <c r="A4211" s="1" t="str">
        <f>HYPERLINK("https://lynxcrm-apac--c.eu19.visual.force.com/0011i000001xofjAAA","Sanoli, Zulkifli")</f>
        <v>Sanoli, Zulkifli</v>
      </c>
      <c r="B4211" t="s">
        <v>8247</v>
      </c>
      <c r="C4211" t="s">
        <v>28</v>
      </c>
      <c r="D4211" t="s">
        <v>164</v>
      </c>
      <c r="E4211" t="s">
        <v>8</v>
      </c>
      <c r="F4211" t="s">
        <v>135</v>
      </c>
      <c r="G4211" t="s">
        <v>163</v>
      </c>
      <c r="H4211" t="s">
        <v>242</v>
      </c>
      <c r="I4211" t="s">
        <v>165</v>
      </c>
    </row>
    <row r="4212" spans="1:9" x14ac:dyDescent="0.25">
      <c r="A4212" s="1" t="str">
        <f>HYPERLINK("https://lynxcrm-apac--c.eu19.visual.force.com/0011i000001xopLAAQ","Santhosh, Kumar Seetharaman")</f>
        <v>Santhosh, Kumar Seetharaman</v>
      </c>
      <c r="B4212" t="s">
        <v>8248</v>
      </c>
      <c r="C4212" t="s">
        <v>28</v>
      </c>
      <c r="D4212" t="s">
        <v>429</v>
      </c>
      <c r="E4212" t="s">
        <v>8</v>
      </c>
      <c r="F4212" t="s">
        <v>429</v>
      </c>
      <c r="G4212" t="s">
        <v>428</v>
      </c>
      <c r="H4212" t="s">
        <v>428</v>
      </c>
      <c r="I4212" t="s">
        <v>430</v>
      </c>
    </row>
    <row r="4213" spans="1:9" x14ac:dyDescent="0.25">
      <c r="A4213" s="1" t="str">
        <f>HYPERLINK("https://lynxcrm-apac--c.eu19.visual.force.com/0011i000001xopLAAQ","Santhosh, Kumar Seetharaman")</f>
        <v>Santhosh, Kumar Seetharaman</v>
      </c>
      <c r="B4213" t="s">
        <v>8248</v>
      </c>
      <c r="C4213" t="s">
        <v>28</v>
      </c>
      <c r="D4213" t="s">
        <v>429</v>
      </c>
      <c r="E4213" t="s">
        <v>8</v>
      </c>
      <c r="F4213" t="s">
        <v>444</v>
      </c>
      <c r="G4213" t="s">
        <v>444</v>
      </c>
      <c r="H4213" t="s">
        <v>8</v>
      </c>
      <c r="I4213" t="s">
        <v>430</v>
      </c>
    </row>
    <row r="4214" spans="1:9" x14ac:dyDescent="0.25">
      <c r="A4214" s="1" t="str">
        <f>HYPERLINK("https://lynxcrm-apac--c.eu19.visual.force.com/0011i000001xopLAAQ","Santhosh, Kumar Seetharaman")</f>
        <v>Santhosh, Kumar Seetharaman</v>
      </c>
      <c r="B4214" t="s">
        <v>8248</v>
      </c>
      <c r="C4214" t="s">
        <v>28</v>
      </c>
      <c r="D4214" t="s">
        <v>429</v>
      </c>
      <c r="E4214" t="s">
        <v>8</v>
      </c>
      <c r="F4214" t="s">
        <v>445</v>
      </c>
      <c r="G4214" t="s">
        <v>428</v>
      </c>
      <c r="H4214" t="s">
        <v>428</v>
      </c>
      <c r="I4214" t="s">
        <v>430</v>
      </c>
    </row>
    <row r="4215" spans="1:9" x14ac:dyDescent="0.25">
      <c r="A4215" s="1" t="str">
        <f>HYPERLINK("https://lynxcrm-apac--c.eu19.visual.force.com/0011i000001xopLAAQ","Santhosh, Kumar Seetharaman")</f>
        <v>Santhosh, Kumar Seetharaman</v>
      </c>
      <c r="B4215" t="s">
        <v>8248</v>
      </c>
      <c r="C4215" t="s">
        <v>28</v>
      </c>
      <c r="D4215" t="s">
        <v>429</v>
      </c>
      <c r="E4215" t="s">
        <v>8</v>
      </c>
      <c r="F4215" t="s">
        <v>444</v>
      </c>
      <c r="G4215" t="s">
        <v>444</v>
      </c>
      <c r="H4215" t="s">
        <v>8</v>
      </c>
      <c r="I4215" t="s">
        <v>8</v>
      </c>
    </row>
    <row r="4216" spans="1:9" x14ac:dyDescent="0.25">
      <c r="A4216" s="1" t="str">
        <f>HYPERLINK("https://lynxcrm-apac--c.eu19.visual.force.com/0011i000001xohOAAQ","Santosh, Lional")</f>
        <v>Santosh, Lional</v>
      </c>
      <c r="B4216" t="s">
        <v>8249</v>
      </c>
      <c r="C4216" t="s">
        <v>28</v>
      </c>
      <c r="D4216" t="s">
        <v>1164</v>
      </c>
      <c r="E4216" t="s">
        <v>8</v>
      </c>
      <c r="F4216" t="s">
        <v>1165</v>
      </c>
      <c r="G4216" t="s">
        <v>1166</v>
      </c>
      <c r="H4216" t="s">
        <v>1166</v>
      </c>
      <c r="I4216" t="s">
        <v>1167</v>
      </c>
    </row>
    <row r="4217" spans="1:9" x14ac:dyDescent="0.25">
      <c r="A4217" s="1" t="str">
        <f>HYPERLINK("https://lynxcrm-apac--c.eu19.visual.force.com/0011i000001xoRZAAY","Sarah, Jane Packer")</f>
        <v>Sarah, Jane Packer</v>
      </c>
      <c r="B4217" t="s">
        <v>8250</v>
      </c>
      <c r="C4217" t="s">
        <v>28</v>
      </c>
      <c r="D4217" t="s">
        <v>8251</v>
      </c>
      <c r="E4217" t="s">
        <v>8</v>
      </c>
      <c r="F4217" t="s">
        <v>8252</v>
      </c>
      <c r="G4217" t="s">
        <v>8253</v>
      </c>
      <c r="H4217" t="s">
        <v>8253</v>
      </c>
      <c r="I4217" t="s">
        <v>8254</v>
      </c>
    </row>
    <row r="4218" spans="1:9" x14ac:dyDescent="0.25">
      <c r="A4218" s="1" t="str">
        <f>HYPERLINK("https://lynxcrm-apac--c.eu19.visual.force.com/0011i000001xnpzAAA","Sarma, Sundari Lily")</f>
        <v>Sarma, Sundari Lily</v>
      </c>
      <c r="B4218" t="s">
        <v>8255</v>
      </c>
      <c r="C4218" t="s">
        <v>28</v>
      </c>
      <c r="D4218" t="s">
        <v>8137</v>
      </c>
      <c r="E4218" t="s">
        <v>8</v>
      </c>
      <c r="F4218" t="s">
        <v>8138</v>
      </c>
      <c r="G4218" t="s">
        <v>8138</v>
      </c>
      <c r="H4218" t="s">
        <v>8139</v>
      </c>
      <c r="I4218" t="s">
        <v>8140</v>
      </c>
    </row>
    <row r="4219" spans="1:9" x14ac:dyDescent="0.25">
      <c r="A4219" s="1" t="str">
        <f>HYPERLINK("https://lynxcrm-apac--c.eu19.visual.force.com/0011i000001xmhMAAQ","SATA Uttamaram Clinic")</f>
        <v>SATA Uttamaram Clinic</v>
      </c>
      <c r="B4219" t="s">
        <v>8256</v>
      </c>
      <c r="C4219" t="s">
        <v>10</v>
      </c>
      <c r="D4219" t="s">
        <v>8</v>
      </c>
      <c r="E4219" t="s">
        <v>8</v>
      </c>
      <c r="F4219" t="s">
        <v>5890</v>
      </c>
      <c r="G4219" t="s">
        <v>5890</v>
      </c>
      <c r="H4219" t="s">
        <v>5891</v>
      </c>
      <c r="I4219" t="s">
        <v>5892</v>
      </c>
    </row>
    <row r="4220" spans="1:9" x14ac:dyDescent="0.25">
      <c r="A4220" s="1" t="str">
        <f>HYPERLINK("https://lynxcrm-apac--c.eu19.visual.force.com/0011i000001xnSkAAI","SATA Uttaram Clinic")</f>
        <v>SATA Uttaram Clinic</v>
      </c>
      <c r="B4220" t="s">
        <v>8257</v>
      </c>
      <c r="C4220" t="s">
        <v>10</v>
      </c>
      <c r="D4220" t="s">
        <v>8</v>
      </c>
      <c r="E4220" t="s">
        <v>8</v>
      </c>
      <c r="F4220" t="s">
        <v>6804</v>
      </c>
      <c r="G4220" t="s">
        <v>6805</v>
      </c>
      <c r="H4220" t="s">
        <v>6805</v>
      </c>
      <c r="I4220" t="s">
        <v>6806</v>
      </c>
    </row>
    <row r="4221" spans="1:9" x14ac:dyDescent="0.25">
      <c r="A4221" s="1" t="str">
        <f>HYPERLINK("https://lynxcrm-apac--c.eu19.visual.force.com/0011i000001xo1ZAAQ","Sathydevan, G")</f>
        <v>Sathydevan, G</v>
      </c>
      <c r="B4221" t="s">
        <v>8258</v>
      </c>
      <c r="C4221" t="s">
        <v>28</v>
      </c>
      <c r="D4221" t="s">
        <v>8259</v>
      </c>
      <c r="E4221" t="s">
        <v>8</v>
      </c>
      <c r="F4221" t="s">
        <v>8260</v>
      </c>
      <c r="G4221" t="s">
        <v>1838</v>
      </c>
      <c r="H4221" t="s">
        <v>1838</v>
      </c>
      <c r="I4221" t="s">
        <v>344</v>
      </c>
    </row>
    <row r="4222" spans="1:9" x14ac:dyDescent="0.25">
      <c r="A4222" s="1" t="str">
        <f>HYPERLINK("https://lynxcrm-apac--c.eu19.visual.force.com/0011i000001xoC3AAI","Satya, Kumar")</f>
        <v>Satya, Kumar</v>
      </c>
      <c r="B4222" t="s">
        <v>8261</v>
      </c>
      <c r="C4222" t="s">
        <v>28</v>
      </c>
      <c r="D4222" t="s">
        <v>429</v>
      </c>
      <c r="E4222" t="s">
        <v>8</v>
      </c>
      <c r="F4222" t="s">
        <v>429</v>
      </c>
      <c r="G4222" t="s">
        <v>428</v>
      </c>
      <c r="H4222" t="s">
        <v>428</v>
      </c>
      <c r="I4222" t="s">
        <v>430</v>
      </c>
    </row>
    <row r="4223" spans="1:9" x14ac:dyDescent="0.25">
      <c r="A4223" s="1" t="str">
        <f>HYPERLINK("https://lynxcrm-apac--c.eu19.visual.force.com/0011i000001xoC3AAI","Satya, Kumar")</f>
        <v>Satya, Kumar</v>
      </c>
      <c r="B4223" t="s">
        <v>8261</v>
      </c>
      <c r="C4223" t="s">
        <v>28</v>
      </c>
      <c r="D4223" t="s">
        <v>429</v>
      </c>
      <c r="E4223" t="s">
        <v>8</v>
      </c>
      <c r="F4223" t="s">
        <v>444</v>
      </c>
      <c r="G4223" t="s">
        <v>444</v>
      </c>
      <c r="H4223" t="s">
        <v>8</v>
      </c>
      <c r="I4223" t="s">
        <v>430</v>
      </c>
    </row>
    <row r="4224" spans="1:9" x14ac:dyDescent="0.25">
      <c r="A4224" s="1" t="str">
        <f>HYPERLINK("https://lynxcrm-apac--c.eu19.visual.force.com/0011i000001xoC3AAI","Satya, Kumar")</f>
        <v>Satya, Kumar</v>
      </c>
      <c r="B4224" t="s">
        <v>8261</v>
      </c>
      <c r="C4224" t="s">
        <v>28</v>
      </c>
      <c r="D4224" t="s">
        <v>429</v>
      </c>
      <c r="E4224" t="s">
        <v>8</v>
      </c>
      <c r="F4224" t="s">
        <v>445</v>
      </c>
      <c r="G4224" t="s">
        <v>428</v>
      </c>
      <c r="H4224" t="s">
        <v>428</v>
      </c>
      <c r="I4224" t="s">
        <v>430</v>
      </c>
    </row>
    <row r="4225" spans="1:9" x14ac:dyDescent="0.25">
      <c r="A4225" s="1" t="str">
        <f>HYPERLINK("https://lynxcrm-apac--c.eu19.visual.force.com/0011i000001xoC3AAI","Satya, Kumar")</f>
        <v>Satya, Kumar</v>
      </c>
      <c r="B4225" t="s">
        <v>8261</v>
      </c>
      <c r="C4225" t="s">
        <v>28</v>
      </c>
      <c r="D4225" t="s">
        <v>429</v>
      </c>
      <c r="E4225" t="s">
        <v>8</v>
      </c>
      <c r="F4225" t="s">
        <v>444</v>
      </c>
      <c r="G4225" t="s">
        <v>444</v>
      </c>
      <c r="H4225" t="s">
        <v>8</v>
      </c>
      <c r="I4225" t="s">
        <v>8</v>
      </c>
    </row>
    <row r="4226" spans="1:9" x14ac:dyDescent="0.25">
      <c r="A4226" s="1" t="str">
        <f>HYPERLINK("https://lynxcrm-apac--c.eu19.visual.force.com/0011i000001xoSNAAY","Saurajen, Siew Ming Adria")</f>
        <v>Saurajen, Siew Ming Adria</v>
      </c>
      <c r="B4226" t="s">
        <v>8262</v>
      </c>
      <c r="C4226" t="s">
        <v>28</v>
      </c>
      <c r="D4226" t="s">
        <v>8263</v>
      </c>
      <c r="E4226" t="s">
        <v>8</v>
      </c>
      <c r="F4226" t="s">
        <v>8264</v>
      </c>
      <c r="G4226" t="s">
        <v>121</v>
      </c>
      <c r="H4226" t="s">
        <v>121</v>
      </c>
      <c r="I4226" t="s">
        <v>123</v>
      </c>
    </row>
    <row r="4227" spans="1:9" x14ac:dyDescent="0.25">
      <c r="A4227" s="1" t="str">
        <f>HYPERLINK("https://lynxcrm-apac--c.eu19.visual.force.com/0011i000001xnq0AAA","Saw, Huat Seong")</f>
        <v>Saw, Huat Seong</v>
      </c>
      <c r="B4227" t="s">
        <v>8265</v>
      </c>
      <c r="C4227" t="s">
        <v>28</v>
      </c>
      <c r="D4227" t="s">
        <v>8266</v>
      </c>
      <c r="E4227" t="s">
        <v>8</v>
      </c>
      <c r="F4227" t="s">
        <v>377</v>
      </c>
      <c r="G4227" t="s">
        <v>8267</v>
      </c>
      <c r="H4227" t="s">
        <v>8268</v>
      </c>
      <c r="I4227" t="s">
        <v>123</v>
      </c>
    </row>
    <row r="4228" spans="1:9" x14ac:dyDescent="0.25">
      <c r="A4228" s="1" t="str">
        <f>HYPERLINK("https://lynxcrm-apac--c.eu19.visual.force.com/0011i000001xmuHAAQ","Saw Baby &amp; Child Clinic &amp; Khoo Family Clinic")</f>
        <v>Saw Baby &amp; Child Clinic &amp; Khoo Family Clinic</v>
      </c>
      <c r="B4228" t="s">
        <v>8269</v>
      </c>
      <c r="C4228" t="s">
        <v>10</v>
      </c>
      <c r="D4228" t="s">
        <v>8</v>
      </c>
      <c r="E4228" t="s">
        <v>8</v>
      </c>
      <c r="F4228" t="s">
        <v>3498</v>
      </c>
      <c r="G4228" t="s">
        <v>8270</v>
      </c>
      <c r="H4228" t="s">
        <v>8271</v>
      </c>
      <c r="I4228" t="s">
        <v>3500</v>
      </c>
    </row>
    <row r="4229" spans="1:9" x14ac:dyDescent="0.25">
      <c r="A4229" s="1" t="str">
        <f>HYPERLINK("https://lynxcrm-apac--c.eu19.visual.force.com/0011i000001xoRIAAY","Say, Jia Huey")</f>
        <v>Say, Jia Huey</v>
      </c>
      <c r="B4229" t="s">
        <v>8272</v>
      </c>
      <c r="C4229" t="s">
        <v>28</v>
      </c>
      <c r="D4229" t="s">
        <v>583</v>
      </c>
      <c r="E4229" t="s">
        <v>8</v>
      </c>
      <c r="F4229" t="s">
        <v>583</v>
      </c>
      <c r="G4229" t="s">
        <v>584</v>
      </c>
      <c r="H4229" t="s">
        <v>584</v>
      </c>
      <c r="I4229" t="s">
        <v>585</v>
      </c>
    </row>
    <row r="4230" spans="1:9" x14ac:dyDescent="0.25">
      <c r="A4230" s="1" t="str">
        <f>HYPERLINK("https://lynxcrm-apac--c.eu19.visual.force.com/0011i000001xoRIAAY","Say, Jia Huey")</f>
        <v>Say, Jia Huey</v>
      </c>
      <c r="B4230" t="s">
        <v>8272</v>
      </c>
      <c r="C4230" t="s">
        <v>28</v>
      </c>
      <c r="D4230" t="s">
        <v>583</v>
      </c>
      <c r="E4230" t="s">
        <v>8</v>
      </c>
      <c r="F4230" t="s">
        <v>584</v>
      </c>
      <c r="G4230" t="s">
        <v>583</v>
      </c>
      <c r="H4230" t="s">
        <v>583</v>
      </c>
      <c r="I4230" t="s">
        <v>585</v>
      </c>
    </row>
    <row r="4231" spans="1:9" x14ac:dyDescent="0.25">
      <c r="A4231" s="1" t="str">
        <f>HYPERLINK("https://lynxcrm-apac--c.eu19.visual.force.com/0011i000001xmzEAAQ","S B Soon Clinic &amp; Surgery for Women")</f>
        <v>S B Soon Clinic &amp; Surgery for Women</v>
      </c>
      <c r="B4231" t="s">
        <v>8273</v>
      </c>
      <c r="C4231" t="s">
        <v>10</v>
      </c>
      <c r="D4231" t="s">
        <v>8</v>
      </c>
      <c r="E4231" t="s">
        <v>8</v>
      </c>
      <c r="F4231" t="s">
        <v>317</v>
      </c>
      <c r="G4231" t="s">
        <v>8274</v>
      </c>
      <c r="H4231" t="s">
        <v>8275</v>
      </c>
      <c r="I4231" t="s">
        <v>85</v>
      </c>
    </row>
    <row r="4232" spans="1:9" x14ac:dyDescent="0.25">
      <c r="A4232" s="1" t="str">
        <f>HYPERLINK("https://lynxcrm-apac--c.eu19.visual.force.com/0011i000001xnL6AAI","Seacare Maritime Medical Centre Pte Ltd")</f>
        <v>Seacare Maritime Medical Centre Pte Ltd</v>
      </c>
      <c r="B4232" t="s">
        <v>8276</v>
      </c>
      <c r="C4232" t="s">
        <v>10</v>
      </c>
      <c r="D4232" t="s">
        <v>8</v>
      </c>
      <c r="E4232" t="s">
        <v>8</v>
      </c>
      <c r="F4232" t="s">
        <v>1859</v>
      </c>
      <c r="G4232" t="s">
        <v>1860</v>
      </c>
      <c r="H4232" t="s">
        <v>1861</v>
      </c>
      <c r="I4232" t="s">
        <v>1862</v>
      </c>
    </row>
    <row r="4233" spans="1:9" x14ac:dyDescent="0.25">
      <c r="A4233" s="1" t="str">
        <f>HYPERLINK("https://lynxcrm-apac--c.eu19.visual.force.com/0011i000001xoEVAAY","Seah, Boon Heng Alvin")</f>
        <v>Seah, Boon Heng Alvin</v>
      </c>
      <c r="B4233" t="s">
        <v>8277</v>
      </c>
      <c r="C4233" t="s">
        <v>28</v>
      </c>
      <c r="D4233" t="s">
        <v>8278</v>
      </c>
      <c r="E4233" t="s">
        <v>8</v>
      </c>
      <c r="F4233" t="s">
        <v>164</v>
      </c>
      <c r="G4233" t="s">
        <v>163</v>
      </c>
      <c r="H4233" t="s">
        <v>163</v>
      </c>
      <c r="I4233" t="s">
        <v>165</v>
      </c>
    </row>
    <row r="4234" spans="1:9" x14ac:dyDescent="0.25">
      <c r="A4234" s="1" t="str">
        <f>HYPERLINK("https://lynxcrm-apac--c.eu19.visual.force.com/0011i000001xo50AAA","Seah, Ee-Jin Darren")</f>
        <v>Seah, Ee-Jin Darren</v>
      </c>
      <c r="B4234" t="s">
        <v>8279</v>
      </c>
      <c r="C4234" t="s">
        <v>28</v>
      </c>
      <c r="D4234" t="s">
        <v>54</v>
      </c>
      <c r="E4234" t="s">
        <v>8</v>
      </c>
      <c r="F4234" t="s">
        <v>1225</v>
      </c>
      <c r="G4234" t="s">
        <v>1225</v>
      </c>
      <c r="H4234" t="s">
        <v>8</v>
      </c>
      <c r="I4234" t="s">
        <v>55</v>
      </c>
    </row>
    <row r="4235" spans="1:9" x14ac:dyDescent="0.25">
      <c r="A4235" s="1" t="str">
        <f>HYPERLINK("https://lynxcrm-apac--c.eu19.visual.force.com/0011i000001xo50AAA","Seah, Ee-Jin Darren")</f>
        <v>Seah, Ee-Jin Darren</v>
      </c>
      <c r="B4235" t="s">
        <v>8279</v>
      </c>
      <c r="C4235" t="s">
        <v>28</v>
      </c>
      <c r="D4235" t="s">
        <v>54</v>
      </c>
      <c r="E4235" t="s">
        <v>8</v>
      </c>
      <c r="F4235" t="s">
        <v>1225</v>
      </c>
      <c r="G4235" t="s">
        <v>1225</v>
      </c>
      <c r="H4235" t="s">
        <v>1226</v>
      </c>
      <c r="I4235" t="s">
        <v>55</v>
      </c>
    </row>
    <row r="4236" spans="1:9" x14ac:dyDescent="0.25">
      <c r="A4236" s="1" t="str">
        <f>HYPERLINK("https://lynxcrm-apac--c.eu19.visual.force.com/0011i000001xoIHAAY","Seah, K C Charles")</f>
        <v>Seah, K C Charles</v>
      </c>
      <c r="B4236" t="s">
        <v>8280</v>
      </c>
      <c r="C4236" t="s">
        <v>28</v>
      </c>
      <c r="D4236" t="s">
        <v>261</v>
      </c>
      <c r="E4236" t="s">
        <v>8</v>
      </c>
      <c r="F4236" t="s">
        <v>261</v>
      </c>
      <c r="G4236" t="s">
        <v>347</v>
      </c>
      <c r="H4236" t="s">
        <v>347</v>
      </c>
      <c r="I4236" t="s">
        <v>260</v>
      </c>
    </row>
    <row r="4237" spans="1:9" x14ac:dyDescent="0.25">
      <c r="A4237" s="1" t="str">
        <f>HYPERLINK("https://lynxcrm-apac--c.eu19.visual.force.com/0011i000001xoIHAAY","Seah, K C Charles")</f>
        <v>Seah, K C Charles</v>
      </c>
      <c r="B4237" t="s">
        <v>8280</v>
      </c>
      <c r="C4237" t="s">
        <v>28</v>
      </c>
      <c r="D4237" t="s">
        <v>7084</v>
      </c>
      <c r="E4237" t="s">
        <v>8</v>
      </c>
      <c r="F4237" t="s">
        <v>258</v>
      </c>
      <c r="G4237" t="s">
        <v>474</v>
      </c>
      <c r="H4237" t="s">
        <v>474</v>
      </c>
      <c r="I4237" t="s">
        <v>260</v>
      </c>
    </row>
    <row r="4238" spans="1:9" x14ac:dyDescent="0.25">
      <c r="A4238" s="1" t="str">
        <f>HYPERLINK("https://lynxcrm-apac--c.eu19.visual.force.com/0011i000001xnq1AAA","Seah, Pong Pin")</f>
        <v>Seah, Pong Pin</v>
      </c>
      <c r="B4238" t="s">
        <v>8281</v>
      </c>
      <c r="C4238" t="s">
        <v>28</v>
      </c>
      <c r="D4238" t="s">
        <v>8282</v>
      </c>
      <c r="E4238" t="s">
        <v>8</v>
      </c>
      <c r="F4238" t="s">
        <v>4624</v>
      </c>
      <c r="G4238" t="s">
        <v>5764</v>
      </c>
      <c r="H4238" t="s">
        <v>5764</v>
      </c>
      <c r="I4238" t="s">
        <v>4626</v>
      </c>
    </row>
    <row r="4239" spans="1:9" x14ac:dyDescent="0.25">
      <c r="A4239" s="1" t="str">
        <f>HYPERLINK("https://lynxcrm-apac--c.eu19.visual.force.com/0011i000001xnq2AAA","Seah, Sheng Heang Geoffrey")</f>
        <v>Seah, Sheng Heang Geoffrey</v>
      </c>
      <c r="B4239" t="s">
        <v>8283</v>
      </c>
      <c r="C4239" t="s">
        <v>28</v>
      </c>
      <c r="D4239" t="s">
        <v>8284</v>
      </c>
      <c r="E4239" t="s">
        <v>8</v>
      </c>
      <c r="F4239" t="s">
        <v>8285</v>
      </c>
      <c r="G4239" t="s">
        <v>8286</v>
      </c>
      <c r="H4239" t="s">
        <v>8287</v>
      </c>
      <c r="I4239" t="s">
        <v>3730</v>
      </c>
    </row>
    <row r="4240" spans="1:9" x14ac:dyDescent="0.25">
      <c r="A4240" s="1" t="str">
        <f>HYPERLINK("https://lynxcrm-apac--c.eu19.visual.force.com/0011i000001xoVeAAI","Seah, Yang Sean")</f>
        <v>Seah, Yang Sean</v>
      </c>
      <c r="B4240" t="s">
        <v>8288</v>
      </c>
      <c r="C4240" t="s">
        <v>28</v>
      </c>
      <c r="D4240" t="s">
        <v>752</v>
      </c>
      <c r="E4240" t="s">
        <v>8</v>
      </c>
      <c r="F4240" t="s">
        <v>753</v>
      </c>
      <c r="G4240" t="s">
        <v>753</v>
      </c>
      <c r="H4240" t="s">
        <v>8</v>
      </c>
      <c r="I4240" t="s">
        <v>137</v>
      </c>
    </row>
    <row r="4241" spans="1:9" x14ac:dyDescent="0.25">
      <c r="A4241" s="1" t="str">
        <f>HYPERLINK("https://lynxcrm-apac--c.eu19.visual.force.com/0011i000001xoVeAAI","Seah, Yang Sean")</f>
        <v>Seah, Yang Sean</v>
      </c>
      <c r="B4241" t="s">
        <v>8288</v>
      </c>
      <c r="C4241" t="s">
        <v>28</v>
      </c>
      <c r="D4241" t="s">
        <v>753</v>
      </c>
      <c r="E4241" t="s">
        <v>8</v>
      </c>
      <c r="F4241" t="s">
        <v>135</v>
      </c>
      <c r="G4241" t="s">
        <v>136</v>
      </c>
      <c r="H4241" t="s">
        <v>136</v>
      </c>
      <c r="I4241" t="s">
        <v>137</v>
      </c>
    </row>
    <row r="4242" spans="1:9" x14ac:dyDescent="0.25">
      <c r="A4242" s="1" t="str">
        <f>HYPERLINK("https://lynxcrm-apac--c.eu19.visual.force.com/0011i000001xnU3AAI","Seah Skin &amp; Medical Clinic")</f>
        <v>Seah Skin &amp; Medical Clinic</v>
      </c>
      <c r="B4242" t="s">
        <v>8289</v>
      </c>
      <c r="C4242" t="s">
        <v>10</v>
      </c>
      <c r="D4242" t="s">
        <v>8</v>
      </c>
      <c r="E4242" t="s">
        <v>8</v>
      </c>
      <c r="F4242" t="s">
        <v>4624</v>
      </c>
      <c r="G4242" t="s">
        <v>5764</v>
      </c>
      <c r="H4242" t="s">
        <v>5764</v>
      </c>
      <c r="I4242" t="s">
        <v>4626</v>
      </c>
    </row>
    <row r="4243" spans="1:9" x14ac:dyDescent="0.25">
      <c r="A4243" s="1" t="str">
        <f>HYPERLINK("https://lynxcrm-apac--c.eu19.visual.force.com/0011i000001xnDTAAY","Seasons Clinic")</f>
        <v>Seasons Clinic</v>
      </c>
      <c r="B4243" t="s">
        <v>8290</v>
      </c>
      <c r="C4243" t="s">
        <v>10</v>
      </c>
      <c r="D4243" t="s">
        <v>8</v>
      </c>
      <c r="E4243" t="s">
        <v>8</v>
      </c>
      <c r="F4243" t="s">
        <v>8291</v>
      </c>
      <c r="G4243" t="s">
        <v>841</v>
      </c>
      <c r="H4243" t="s">
        <v>8292</v>
      </c>
      <c r="I4243" t="s">
        <v>8293</v>
      </c>
    </row>
    <row r="4244" spans="1:9" x14ac:dyDescent="0.25">
      <c r="A4244" s="1" t="str">
        <f>HYPERLINK("https://lynxcrm-apac--c.eu19.visual.force.com/0011i000001xnpIAAQ","Sechachalam, Sreedharan")</f>
        <v>Sechachalam, Sreedharan</v>
      </c>
      <c r="B4244" t="s">
        <v>8294</v>
      </c>
      <c r="C4244" t="s">
        <v>28</v>
      </c>
      <c r="D4244" t="s">
        <v>261</v>
      </c>
      <c r="E4244" t="s">
        <v>8</v>
      </c>
      <c r="F4244" t="s">
        <v>8295</v>
      </c>
      <c r="G4244" t="s">
        <v>258</v>
      </c>
      <c r="H4244" t="s">
        <v>259</v>
      </c>
      <c r="I4244" t="s">
        <v>415</v>
      </c>
    </row>
    <row r="4245" spans="1:9" x14ac:dyDescent="0.25">
      <c r="A4245" s="1" t="str">
        <f>HYPERLINK("https://lynxcrm-apac--c.eu19.visual.force.com/0011i000001xoCqAAI","See, Beng Teck")</f>
        <v>See, Beng Teck</v>
      </c>
      <c r="B4245" t="s">
        <v>8296</v>
      </c>
      <c r="C4245" t="s">
        <v>28</v>
      </c>
      <c r="D4245" t="s">
        <v>8297</v>
      </c>
      <c r="E4245" t="s">
        <v>8</v>
      </c>
      <c r="F4245" t="s">
        <v>4355</v>
      </c>
      <c r="G4245" t="s">
        <v>4356</v>
      </c>
      <c r="H4245" t="s">
        <v>4357</v>
      </c>
      <c r="I4245" t="s">
        <v>1959</v>
      </c>
    </row>
    <row r="4246" spans="1:9" x14ac:dyDescent="0.25">
      <c r="A4246" s="1" t="str">
        <f>HYPERLINK("https://lynxcrm-apac--c.eu19.visual.force.com/0011i000001xoS5AAI","See, Chai Keat")</f>
        <v>See, Chai Keat</v>
      </c>
      <c r="B4246" t="s">
        <v>8298</v>
      </c>
      <c r="C4246" t="s">
        <v>28</v>
      </c>
      <c r="D4246" t="s">
        <v>449</v>
      </c>
      <c r="E4246" t="s">
        <v>8</v>
      </c>
      <c r="F4246" t="s">
        <v>450</v>
      </c>
      <c r="G4246" t="s">
        <v>449</v>
      </c>
      <c r="H4246" t="s">
        <v>449</v>
      </c>
      <c r="I4246" t="s">
        <v>451</v>
      </c>
    </row>
    <row r="4247" spans="1:9" x14ac:dyDescent="0.25">
      <c r="A4247" s="1" t="str">
        <f>HYPERLINK("https://lynxcrm-apac--c.eu19.visual.force.com/0011i000001xoS5AAI","See, Chai Keat")</f>
        <v>See, Chai Keat</v>
      </c>
      <c r="B4247" t="s">
        <v>8298</v>
      </c>
      <c r="C4247" t="s">
        <v>28</v>
      </c>
      <c r="D4247" t="s">
        <v>449</v>
      </c>
      <c r="E4247" t="s">
        <v>8</v>
      </c>
      <c r="F4247" t="s">
        <v>234</v>
      </c>
      <c r="G4247" t="s">
        <v>452</v>
      </c>
      <c r="H4247" t="s">
        <v>453</v>
      </c>
      <c r="I4247" t="s">
        <v>454</v>
      </c>
    </row>
    <row r="4248" spans="1:9" x14ac:dyDescent="0.25">
      <c r="A4248" s="1" t="str">
        <f>HYPERLINK("https://lynxcrm-apac--c.eu19.visual.force.com/0011i000001xo5QAAQ","See, C H Andrew")</f>
        <v>See, C H Andrew</v>
      </c>
      <c r="B4248" t="s">
        <v>8299</v>
      </c>
      <c r="C4248" t="s">
        <v>28</v>
      </c>
      <c r="D4248" t="s">
        <v>583</v>
      </c>
      <c r="E4248" t="s">
        <v>8</v>
      </c>
      <c r="F4248" t="s">
        <v>583</v>
      </c>
      <c r="G4248" t="s">
        <v>584</v>
      </c>
      <c r="H4248" t="s">
        <v>584</v>
      </c>
      <c r="I4248" t="s">
        <v>585</v>
      </c>
    </row>
    <row r="4249" spans="1:9" x14ac:dyDescent="0.25">
      <c r="A4249" s="1" t="str">
        <f>HYPERLINK("https://lynxcrm-apac--c.eu19.visual.force.com/0011i000001xo5QAAQ","See, C H Andrew")</f>
        <v>See, C H Andrew</v>
      </c>
      <c r="B4249" t="s">
        <v>8299</v>
      </c>
      <c r="C4249" t="s">
        <v>28</v>
      </c>
      <c r="D4249" t="s">
        <v>1242</v>
      </c>
      <c r="E4249" t="s">
        <v>8</v>
      </c>
      <c r="F4249" t="s">
        <v>584</v>
      </c>
      <c r="G4249" t="s">
        <v>583</v>
      </c>
      <c r="H4249" t="s">
        <v>583</v>
      </c>
      <c r="I4249" t="s">
        <v>585</v>
      </c>
    </row>
    <row r="4250" spans="1:9" x14ac:dyDescent="0.25">
      <c r="A4250" s="1" t="str">
        <f>HYPERLINK("https://lynxcrm-apac--c.eu19.visual.force.com/0011i000001xohvAAA","See, Hui Kin Amanda")</f>
        <v>See, Hui Kin Amanda</v>
      </c>
      <c r="B4250" t="s">
        <v>8300</v>
      </c>
      <c r="C4250" t="s">
        <v>28</v>
      </c>
      <c r="D4250" t="s">
        <v>251</v>
      </c>
      <c r="E4250" t="s">
        <v>8</v>
      </c>
      <c r="F4250" t="s">
        <v>251</v>
      </c>
      <c r="G4250" t="s">
        <v>252</v>
      </c>
      <c r="H4250" t="s">
        <v>252</v>
      </c>
      <c r="I4250" t="s">
        <v>253</v>
      </c>
    </row>
    <row r="4251" spans="1:9" x14ac:dyDescent="0.25">
      <c r="A4251" s="1" t="str">
        <f>HYPERLINK("https://lynxcrm-apac--c.eu19.visual.force.com/0011i00000Xf1HyAAJ","See, Hui Ti")</f>
        <v>See, Hui Ti</v>
      </c>
      <c r="B4251" t="s">
        <v>8301</v>
      </c>
      <c r="C4251" t="s">
        <v>28</v>
      </c>
      <c r="D4251" t="s">
        <v>8302</v>
      </c>
      <c r="E4251" t="s">
        <v>8</v>
      </c>
      <c r="F4251" t="s">
        <v>7630</v>
      </c>
      <c r="G4251" t="s">
        <v>388</v>
      </c>
      <c r="H4251" t="s">
        <v>8</v>
      </c>
      <c r="I4251" t="s">
        <v>123</v>
      </c>
    </row>
    <row r="4252" spans="1:9" x14ac:dyDescent="0.25">
      <c r="A4252" s="1" t="str">
        <f>HYPERLINK("https://lynxcrm-apac--c.eu19.visual.force.com/0011i000001xoVzAAI","See, Poh Lye Paul")</f>
        <v>See, Poh Lye Paul</v>
      </c>
      <c r="B4252" t="s">
        <v>8303</v>
      </c>
      <c r="C4252" t="s">
        <v>28</v>
      </c>
      <c r="D4252" t="s">
        <v>261</v>
      </c>
      <c r="E4252" t="s">
        <v>8</v>
      </c>
      <c r="F4252" t="s">
        <v>258</v>
      </c>
      <c r="G4252" t="s">
        <v>261</v>
      </c>
      <c r="H4252" t="s">
        <v>261</v>
      </c>
      <c r="I4252" t="s">
        <v>260</v>
      </c>
    </row>
    <row r="4253" spans="1:9" x14ac:dyDescent="0.25">
      <c r="A4253" s="1" t="str">
        <f>HYPERLINK("https://lynxcrm-apac--c.eu19.visual.force.com/0011i000001xoVzAAI","See, Poh Lye Paul")</f>
        <v>See, Poh Lye Paul</v>
      </c>
      <c r="B4253" t="s">
        <v>8303</v>
      </c>
      <c r="C4253" t="s">
        <v>28</v>
      </c>
      <c r="D4253" t="s">
        <v>261</v>
      </c>
      <c r="E4253" t="s">
        <v>8</v>
      </c>
      <c r="F4253" t="s">
        <v>261</v>
      </c>
      <c r="G4253" t="s">
        <v>347</v>
      </c>
      <c r="H4253" t="s">
        <v>347</v>
      </c>
      <c r="I4253" t="s">
        <v>260</v>
      </c>
    </row>
    <row r="4254" spans="1:9" x14ac:dyDescent="0.25">
      <c r="A4254" s="1" t="str">
        <f>HYPERLINK("https://lynxcrm-apac--c.eu19.visual.force.com/0011i000001xnq6AAA","See, Shean Yaw")</f>
        <v>See, Shean Yaw</v>
      </c>
      <c r="B4254" t="s">
        <v>8304</v>
      </c>
      <c r="C4254" t="s">
        <v>28</v>
      </c>
      <c r="D4254" t="s">
        <v>8305</v>
      </c>
      <c r="E4254" t="s">
        <v>8</v>
      </c>
      <c r="F4254" t="s">
        <v>4578</v>
      </c>
      <c r="G4254" t="s">
        <v>2436</v>
      </c>
      <c r="H4254" t="s">
        <v>6520</v>
      </c>
      <c r="I4254" t="s">
        <v>4580</v>
      </c>
    </row>
    <row r="4255" spans="1:9" x14ac:dyDescent="0.25">
      <c r="A4255" s="1" t="str">
        <f>HYPERLINK("https://lynxcrm-apac--c.eu19.visual.force.com/0011i000001xnqAAAQ","Seet, Hin Min")</f>
        <v>Seet, Hin Min</v>
      </c>
      <c r="B4255" t="s">
        <v>8306</v>
      </c>
      <c r="C4255" t="s">
        <v>28</v>
      </c>
      <c r="D4255" t="s">
        <v>8307</v>
      </c>
      <c r="E4255" t="s">
        <v>8</v>
      </c>
      <c r="F4255" t="s">
        <v>8308</v>
      </c>
      <c r="G4255" t="s">
        <v>8309</v>
      </c>
      <c r="H4255" t="s">
        <v>8310</v>
      </c>
      <c r="I4255" t="s">
        <v>954</v>
      </c>
    </row>
    <row r="4256" spans="1:9" x14ac:dyDescent="0.25">
      <c r="A4256" s="1" t="str">
        <f>HYPERLINK("https://lynxcrm-apac--c.eu19.visual.force.com/0011i000001xnqBAAQ","Seet, Po Choo Cynthia")</f>
        <v>Seet, Po Choo Cynthia</v>
      </c>
      <c r="B4256" t="s">
        <v>8311</v>
      </c>
      <c r="C4256" t="s">
        <v>28</v>
      </c>
      <c r="D4256" t="s">
        <v>1360</v>
      </c>
      <c r="E4256" t="s">
        <v>8</v>
      </c>
      <c r="F4256" t="s">
        <v>1361</v>
      </c>
      <c r="G4256" t="s">
        <v>1366</v>
      </c>
      <c r="H4256" t="s">
        <v>1363</v>
      </c>
      <c r="I4256" t="s">
        <v>1364</v>
      </c>
    </row>
    <row r="4257" spans="1:9" x14ac:dyDescent="0.25">
      <c r="A4257" s="1" t="str">
        <f>HYPERLINK("https://lynxcrm-apac--c.eu19.visual.force.com/0011i000001xoNIAAY","Seet, Un Tze")</f>
        <v>Seet, Un Tze</v>
      </c>
      <c r="B4257" t="s">
        <v>8312</v>
      </c>
      <c r="C4257" t="s">
        <v>28</v>
      </c>
      <c r="D4257" t="s">
        <v>335</v>
      </c>
      <c r="E4257" t="s">
        <v>8</v>
      </c>
      <c r="F4257" t="s">
        <v>336</v>
      </c>
      <c r="G4257" t="s">
        <v>337</v>
      </c>
      <c r="H4257" t="s">
        <v>337</v>
      </c>
      <c r="I4257" t="s">
        <v>338</v>
      </c>
    </row>
    <row r="4258" spans="1:9" x14ac:dyDescent="0.25">
      <c r="A4258" s="1" t="str">
        <f>HYPERLINK("https://lynxcrm-apac--c.eu19.visual.force.com/0011i000001xoNIAAY","Seet, Un Tze")</f>
        <v>Seet, Un Tze</v>
      </c>
      <c r="B4258" t="s">
        <v>8312</v>
      </c>
      <c r="C4258" t="s">
        <v>28</v>
      </c>
      <c r="D4258" t="s">
        <v>339</v>
      </c>
      <c r="E4258" t="s">
        <v>8</v>
      </c>
      <c r="F4258" t="s">
        <v>337</v>
      </c>
      <c r="G4258" t="s">
        <v>335</v>
      </c>
      <c r="H4258" t="s">
        <v>335</v>
      </c>
      <c r="I4258" t="s">
        <v>338</v>
      </c>
    </row>
    <row r="4259" spans="1:9" x14ac:dyDescent="0.25">
      <c r="A4259" s="1" t="str">
        <f>HYPERLINK("https://lynxcrm-apac--c.eu19.visual.force.com/0011i000001xoeoAAA","Seet, Wei Min Adele")</f>
        <v>Seet, Wei Min Adele</v>
      </c>
      <c r="B4259" t="s">
        <v>8313</v>
      </c>
      <c r="C4259" t="s">
        <v>28</v>
      </c>
      <c r="D4259" t="s">
        <v>8314</v>
      </c>
      <c r="E4259" t="s">
        <v>8</v>
      </c>
      <c r="F4259" t="s">
        <v>2530</v>
      </c>
      <c r="G4259" t="s">
        <v>833</v>
      </c>
      <c r="H4259" t="s">
        <v>2531</v>
      </c>
      <c r="I4259" t="s">
        <v>2532</v>
      </c>
    </row>
    <row r="4260" spans="1:9" x14ac:dyDescent="0.25">
      <c r="A4260" s="1" t="str">
        <f>HYPERLINK("https://lynxcrm-apac--c.eu19.visual.force.com/0011i000001xnq7AAA","Seetho, Kai Yin")</f>
        <v>Seetho, Kai Yin</v>
      </c>
      <c r="B4260" t="s">
        <v>8315</v>
      </c>
      <c r="C4260" t="s">
        <v>28</v>
      </c>
      <c r="D4260" t="s">
        <v>8316</v>
      </c>
      <c r="E4260" t="s">
        <v>8</v>
      </c>
      <c r="F4260" t="s">
        <v>69</v>
      </c>
      <c r="G4260" t="s">
        <v>8317</v>
      </c>
      <c r="H4260" t="s">
        <v>8318</v>
      </c>
      <c r="I4260" t="s">
        <v>67</v>
      </c>
    </row>
    <row r="4261" spans="1:9" x14ac:dyDescent="0.25">
      <c r="A4261" s="1" t="str">
        <f>HYPERLINK("https://lynxcrm-apac--c.eu19.visual.force.com/0011i000001xmyJAAQ","Seetho Clinic For Women")</f>
        <v>Seetho Clinic For Women</v>
      </c>
      <c r="B4261" t="s">
        <v>8319</v>
      </c>
      <c r="C4261" t="s">
        <v>10</v>
      </c>
      <c r="D4261" t="s">
        <v>8</v>
      </c>
      <c r="E4261" t="s">
        <v>8</v>
      </c>
      <c r="F4261" t="s">
        <v>69</v>
      </c>
      <c r="G4261" t="s">
        <v>8317</v>
      </c>
      <c r="H4261" t="s">
        <v>8318</v>
      </c>
      <c r="I4261" t="s">
        <v>67</v>
      </c>
    </row>
    <row r="4262" spans="1:9" x14ac:dyDescent="0.25">
      <c r="A4262" s="1" t="str">
        <f>HYPERLINK("https://lynxcrm-apac--c.eu19.visual.force.com/0011i000001xnq8AAA","See Toh, Kwok Yee")</f>
        <v>See Toh, Kwok Yee</v>
      </c>
      <c r="B4262" t="s">
        <v>8320</v>
      </c>
      <c r="C4262" t="s">
        <v>28</v>
      </c>
      <c r="D4262" t="s">
        <v>8321</v>
      </c>
      <c r="E4262" t="s">
        <v>8</v>
      </c>
      <c r="F4262" t="s">
        <v>8322</v>
      </c>
      <c r="G4262" t="s">
        <v>8323</v>
      </c>
      <c r="H4262" t="s">
        <v>8323</v>
      </c>
      <c r="I4262" t="s">
        <v>8324</v>
      </c>
    </row>
    <row r="4263" spans="1:9" x14ac:dyDescent="0.25">
      <c r="A4263" s="1" t="str">
        <f>HYPERLINK("https://lynxcrm-apac--c.eu19.visual.force.com/0011i000001xnZhAAI","Sefton Medical Centre")</f>
        <v>Sefton Medical Centre</v>
      </c>
      <c r="B4263" t="s">
        <v>8325</v>
      </c>
      <c r="C4263" t="s">
        <v>10</v>
      </c>
      <c r="D4263" t="s">
        <v>8</v>
      </c>
      <c r="E4263" t="s">
        <v>8</v>
      </c>
      <c r="F4263" t="s">
        <v>8326</v>
      </c>
      <c r="G4263" t="s">
        <v>3853</v>
      </c>
      <c r="H4263" t="s">
        <v>8327</v>
      </c>
      <c r="I4263" t="s">
        <v>8328</v>
      </c>
    </row>
    <row r="4264" spans="1:9" x14ac:dyDescent="0.25">
      <c r="A4264" s="1" t="str">
        <f>HYPERLINK("https://lynxcrm-apac--c.eu19.visual.force.com/0011i000001xoCxAAI","Segar, Ashok")</f>
        <v>Segar, Ashok</v>
      </c>
      <c r="B4264" t="s">
        <v>8329</v>
      </c>
      <c r="C4264" t="s">
        <v>28</v>
      </c>
      <c r="D4264" t="s">
        <v>8330</v>
      </c>
      <c r="E4264" t="s">
        <v>8</v>
      </c>
      <c r="F4264" t="s">
        <v>8331</v>
      </c>
      <c r="G4264" t="s">
        <v>8331</v>
      </c>
      <c r="H4264" t="s">
        <v>8</v>
      </c>
      <c r="I4264" t="s">
        <v>8332</v>
      </c>
    </row>
    <row r="4265" spans="1:9" x14ac:dyDescent="0.25">
      <c r="A4265" s="1" t="str">
        <f>HYPERLINK("https://lynxcrm-apac--c.eu19.visual.force.com/0011i000001xniKAAQ","Sek, Kathleen")</f>
        <v>Sek, Kathleen</v>
      </c>
      <c r="B4265" t="s">
        <v>8333</v>
      </c>
      <c r="C4265" t="s">
        <v>28</v>
      </c>
      <c r="D4265" t="s">
        <v>429</v>
      </c>
      <c r="E4265" t="s">
        <v>8</v>
      </c>
      <c r="F4265" t="s">
        <v>429</v>
      </c>
      <c r="G4265" t="s">
        <v>428</v>
      </c>
      <c r="H4265" t="s">
        <v>428</v>
      </c>
      <c r="I4265" t="s">
        <v>430</v>
      </c>
    </row>
    <row r="4266" spans="1:9" x14ac:dyDescent="0.25">
      <c r="A4266" s="1" t="str">
        <f>HYPERLINK("https://lynxcrm-apac--c.eu19.visual.force.com/0011i000001xniKAAQ","Sek, Kathleen")</f>
        <v>Sek, Kathleen</v>
      </c>
      <c r="B4266" t="s">
        <v>8333</v>
      </c>
      <c r="C4266" t="s">
        <v>28</v>
      </c>
      <c r="D4266" t="s">
        <v>429</v>
      </c>
      <c r="E4266" t="s">
        <v>8</v>
      </c>
      <c r="F4266" t="s">
        <v>444</v>
      </c>
      <c r="G4266" t="s">
        <v>444</v>
      </c>
      <c r="H4266" t="s">
        <v>8</v>
      </c>
      <c r="I4266" t="s">
        <v>430</v>
      </c>
    </row>
    <row r="4267" spans="1:9" x14ac:dyDescent="0.25">
      <c r="A4267" s="1" t="str">
        <f>HYPERLINK("https://lynxcrm-apac--c.eu19.visual.force.com/0011i000001xniKAAQ","Sek, Kathleen")</f>
        <v>Sek, Kathleen</v>
      </c>
      <c r="B4267" t="s">
        <v>8333</v>
      </c>
      <c r="C4267" t="s">
        <v>28</v>
      </c>
      <c r="D4267" t="s">
        <v>429</v>
      </c>
      <c r="E4267" t="s">
        <v>8</v>
      </c>
      <c r="F4267" t="s">
        <v>445</v>
      </c>
      <c r="G4267" t="s">
        <v>428</v>
      </c>
      <c r="H4267" t="s">
        <v>428</v>
      </c>
      <c r="I4267" t="s">
        <v>430</v>
      </c>
    </row>
    <row r="4268" spans="1:9" x14ac:dyDescent="0.25">
      <c r="A4268" s="1" t="str">
        <f>HYPERLINK("https://lynxcrm-apac--c.eu19.visual.force.com/0011i000001xniKAAQ","Sek, Kathleen")</f>
        <v>Sek, Kathleen</v>
      </c>
      <c r="B4268" t="s">
        <v>8333</v>
      </c>
      <c r="C4268" t="s">
        <v>28</v>
      </c>
      <c r="D4268" t="s">
        <v>429</v>
      </c>
      <c r="E4268" t="s">
        <v>8</v>
      </c>
      <c r="F4268" t="s">
        <v>444</v>
      </c>
      <c r="G4268" t="s">
        <v>444</v>
      </c>
      <c r="H4268" t="s">
        <v>8</v>
      </c>
      <c r="I4268" t="s">
        <v>8</v>
      </c>
    </row>
    <row r="4269" spans="1:9" x14ac:dyDescent="0.25">
      <c r="A4269" s="1" t="str">
        <f>HYPERLINK("https://lynxcrm-apac--c.eu19.visual.force.com/0011i000001xnzjAAA","Selman, Kassim")</f>
        <v>Selman, Kassim</v>
      </c>
      <c r="B4269" t="s">
        <v>8334</v>
      </c>
      <c r="C4269" t="s">
        <v>28</v>
      </c>
      <c r="D4269" t="s">
        <v>8335</v>
      </c>
      <c r="E4269" t="s">
        <v>8</v>
      </c>
      <c r="F4269" t="s">
        <v>8336</v>
      </c>
      <c r="G4269" t="s">
        <v>885</v>
      </c>
      <c r="H4269" t="s">
        <v>885</v>
      </c>
      <c r="I4269" t="s">
        <v>887</v>
      </c>
    </row>
    <row r="4270" spans="1:9" x14ac:dyDescent="0.25">
      <c r="A4270" s="1" t="str">
        <f>HYPERLINK("https://lynxcrm-apac--c.eu19.visual.force.com/0011i000001xngAAAQ","Selvamani")</f>
        <v>Selvamani</v>
      </c>
      <c r="B4270" t="s">
        <v>8337</v>
      </c>
      <c r="C4270" t="s">
        <v>28</v>
      </c>
      <c r="D4270" t="s">
        <v>520</v>
      </c>
      <c r="E4270" t="s">
        <v>8</v>
      </c>
      <c r="F4270" t="s">
        <v>90</v>
      </c>
      <c r="G4270" t="s">
        <v>521</v>
      </c>
      <c r="H4270" t="s">
        <v>521</v>
      </c>
      <c r="I4270" t="s">
        <v>92</v>
      </c>
    </row>
    <row r="4271" spans="1:9" x14ac:dyDescent="0.25">
      <c r="A4271" s="1" t="str">
        <f t="shared" ref="A4271:A4276" si="39">HYPERLINK("https://lynxcrm-apac--c.eu19.visual.force.com/0011i00000Q3ReiAAF","Selvan, Veerasamy")</f>
        <v>Selvan, Veerasamy</v>
      </c>
      <c r="B4271" t="s">
        <v>8338</v>
      </c>
      <c r="C4271" t="s">
        <v>28</v>
      </c>
      <c r="D4271" t="s">
        <v>501</v>
      </c>
      <c r="E4271" t="s">
        <v>8</v>
      </c>
      <c r="F4271" t="s">
        <v>501</v>
      </c>
      <c r="G4271" t="s">
        <v>502</v>
      </c>
      <c r="H4271" t="s">
        <v>502</v>
      </c>
      <c r="I4271" t="s">
        <v>506</v>
      </c>
    </row>
    <row r="4272" spans="1:9" x14ac:dyDescent="0.25">
      <c r="A4272" s="1" t="str">
        <f t="shared" si="39"/>
        <v>Selvan, Veerasamy</v>
      </c>
      <c r="B4272" t="s">
        <v>8338</v>
      </c>
      <c r="C4272" t="s">
        <v>28</v>
      </c>
      <c r="D4272" t="s">
        <v>501</v>
      </c>
      <c r="E4272" t="s">
        <v>8</v>
      </c>
      <c r="F4272" t="s">
        <v>502</v>
      </c>
      <c r="G4272" t="s">
        <v>502</v>
      </c>
      <c r="H4272" t="s">
        <v>503</v>
      </c>
      <c r="I4272" t="s">
        <v>504</v>
      </c>
    </row>
    <row r="4273" spans="1:9" x14ac:dyDescent="0.25">
      <c r="A4273" s="1" t="str">
        <f t="shared" si="39"/>
        <v>Selvan, Veerasamy</v>
      </c>
      <c r="B4273" t="s">
        <v>8338</v>
      </c>
      <c r="C4273" t="s">
        <v>28</v>
      </c>
      <c r="D4273" t="s">
        <v>501</v>
      </c>
      <c r="E4273" t="s">
        <v>8</v>
      </c>
      <c r="F4273" t="s">
        <v>246</v>
      </c>
      <c r="G4273" t="s">
        <v>502</v>
      </c>
      <c r="H4273" t="s">
        <v>503</v>
      </c>
      <c r="I4273" t="s">
        <v>504</v>
      </c>
    </row>
    <row r="4274" spans="1:9" x14ac:dyDescent="0.25">
      <c r="A4274" s="1" t="str">
        <f t="shared" si="39"/>
        <v>Selvan, Veerasamy</v>
      </c>
      <c r="B4274" t="s">
        <v>8338</v>
      </c>
      <c r="C4274" t="s">
        <v>28</v>
      </c>
      <c r="D4274" t="s">
        <v>501</v>
      </c>
      <c r="E4274" t="s">
        <v>8</v>
      </c>
      <c r="F4274" t="s">
        <v>246</v>
      </c>
      <c r="G4274" t="s">
        <v>502</v>
      </c>
      <c r="H4274" t="s">
        <v>503</v>
      </c>
      <c r="I4274" t="s">
        <v>505</v>
      </c>
    </row>
    <row r="4275" spans="1:9" x14ac:dyDescent="0.25">
      <c r="A4275" s="1" t="str">
        <f t="shared" si="39"/>
        <v>Selvan, Veerasamy</v>
      </c>
      <c r="B4275" t="s">
        <v>8338</v>
      </c>
      <c r="C4275" t="s">
        <v>28</v>
      </c>
      <c r="D4275" t="s">
        <v>501</v>
      </c>
      <c r="E4275" t="s">
        <v>8</v>
      </c>
      <c r="F4275" t="s">
        <v>234</v>
      </c>
      <c r="G4275" t="s">
        <v>502</v>
      </c>
      <c r="H4275" t="s">
        <v>503</v>
      </c>
      <c r="I4275" t="s">
        <v>504</v>
      </c>
    </row>
    <row r="4276" spans="1:9" x14ac:dyDescent="0.25">
      <c r="A4276" s="1" t="str">
        <f t="shared" si="39"/>
        <v>Selvan, Veerasamy</v>
      </c>
      <c r="B4276" t="s">
        <v>8338</v>
      </c>
      <c r="C4276" t="s">
        <v>28</v>
      </c>
      <c r="D4276" t="s">
        <v>501</v>
      </c>
      <c r="E4276" t="s">
        <v>8</v>
      </c>
      <c r="F4276" t="s">
        <v>359</v>
      </c>
      <c r="G4276" t="s">
        <v>502</v>
      </c>
      <c r="H4276" t="s">
        <v>503</v>
      </c>
      <c r="I4276" t="s">
        <v>506</v>
      </c>
    </row>
    <row r="4277" spans="1:9" x14ac:dyDescent="0.25">
      <c r="A4277" s="1" t="str">
        <f>HYPERLINK("https://lynxcrm-apac--c.eu19.visual.force.com/0011i000001xnD2AAI","Sembawang Mart Medical Centre")</f>
        <v>Sembawang Mart Medical Centre</v>
      </c>
      <c r="B4277" t="s">
        <v>8339</v>
      </c>
      <c r="C4277" t="s">
        <v>10</v>
      </c>
      <c r="D4277" t="s">
        <v>8</v>
      </c>
      <c r="E4277" t="s">
        <v>8</v>
      </c>
      <c r="F4277" t="s">
        <v>6767</v>
      </c>
      <c r="G4277" t="s">
        <v>6768</v>
      </c>
      <c r="H4277" t="s">
        <v>6768</v>
      </c>
      <c r="I4277" t="s">
        <v>6769</v>
      </c>
    </row>
    <row r="4278" spans="1:9" x14ac:dyDescent="0.25">
      <c r="A4278" s="1" t="str">
        <f>HYPERLINK("https://lynxcrm-apac--c.eu19.visual.force.com/0011i000001xodgAAA","Sen, Jitendra")</f>
        <v>Sen, Jitendra</v>
      </c>
      <c r="B4278" t="s">
        <v>8340</v>
      </c>
      <c r="C4278" t="s">
        <v>28</v>
      </c>
      <c r="D4278" t="s">
        <v>8341</v>
      </c>
      <c r="E4278" t="s">
        <v>8</v>
      </c>
      <c r="F4278" t="s">
        <v>2798</v>
      </c>
      <c r="G4278" t="s">
        <v>2799</v>
      </c>
      <c r="H4278" t="s">
        <v>2799</v>
      </c>
      <c r="I4278" t="s">
        <v>2800</v>
      </c>
    </row>
    <row r="4279" spans="1:9" x14ac:dyDescent="0.25">
      <c r="A4279" s="1" t="str">
        <f>HYPERLINK("https://lynxcrm-apac--c.eu19.visual.force.com/0011i000001xn6NAAQ","Sen Clinic")</f>
        <v>Sen Clinic</v>
      </c>
      <c r="B4279" t="s">
        <v>8342</v>
      </c>
      <c r="C4279" t="s">
        <v>10</v>
      </c>
      <c r="D4279" t="s">
        <v>8</v>
      </c>
      <c r="E4279" t="s">
        <v>8</v>
      </c>
      <c r="F4279" t="s">
        <v>1768</v>
      </c>
      <c r="G4279" t="s">
        <v>8343</v>
      </c>
      <c r="H4279" t="s">
        <v>8344</v>
      </c>
      <c r="I4279" t="s">
        <v>47</v>
      </c>
    </row>
    <row r="4280" spans="1:9" x14ac:dyDescent="0.25">
      <c r="A4280" s="1" t="str">
        <f>HYPERLINK("https://lynxcrm-apac--c.eu19.visual.force.com/0011i000001xoQUAAY","Senevirante, U")</f>
        <v>Senevirante, U</v>
      </c>
      <c r="B4280" t="s">
        <v>8345</v>
      </c>
      <c r="C4280" t="s">
        <v>28</v>
      </c>
      <c r="D4280" t="s">
        <v>251</v>
      </c>
      <c r="E4280" t="s">
        <v>8</v>
      </c>
      <c r="F4280" t="s">
        <v>251</v>
      </c>
      <c r="G4280" t="s">
        <v>252</v>
      </c>
      <c r="H4280" t="s">
        <v>252</v>
      </c>
      <c r="I4280" t="s">
        <v>253</v>
      </c>
    </row>
    <row r="4281" spans="1:9" x14ac:dyDescent="0.25">
      <c r="A4281" s="1" t="str">
        <f>HYPERLINK("https://lynxcrm-apac--c.eu19.visual.force.com/0011i000001xoQUAAY","Senevirante, U")</f>
        <v>Senevirante, U</v>
      </c>
      <c r="B4281" t="s">
        <v>8345</v>
      </c>
      <c r="C4281" t="s">
        <v>28</v>
      </c>
      <c r="D4281" t="s">
        <v>251</v>
      </c>
      <c r="E4281" t="s">
        <v>8</v>
      </c>
      <c r="F4281" t="s">
        <v>1263</v>
      </c>
      <c r="G4281" t="s">
        <v>252</v>
      </c>
      <c r="H4281" t="s">
        <v>252</v>
      </c>
      <c r="I4281" t="s">
        <v>253</v>
      </c>
    </row>
    <row r="4282" spans="1:9" x14ac:dyDescent="0.25">
      <c r="A4282" s="1" t="str">
        <f>HYPERLINK("https://lynxcrm-apac--c.eu19.visual.force.com/0011i000001xolMAAQ","Seng, Kok Han")</f>
        <v>Seng, Kok Han</v>
      </c>
      <c r="B4282" t="s">
        <v>8346</v>
      </c>
      <c r="C4282" t="s">
        <v>28</v>
      </c>
      <c r="D4282" t="s">
        <v>8347</v>
      </c>
      <c r="E4282" t="s">
        <v>8</v>
      </c>
      <c r="F4282" t="s">
        <v>8348</v>
      </c>
      <c r="G4282" t="s">
        <v>885</v>
      </c>
      <c r="H4282" t="s">
        <v>885</v>
      </c>
      <c r="I4282" t="s">
        <v>887</v>
      </c>
    </row>
    <row r="4283" spans="1:9" x14ac:dyDescent="0.25">
      <c r="A4283" s="1" t="str">
        <f>HYPERLINK("https://lynxcrm-apac--c.eu19.visual.force.com/0011i000001xolMAAQ","Seng, Kok Han")</f>
        <v>Seng, Kok Han</v>
      </c>
      <c r="B4283" t="s">
        <v>8346</v>
      </c>
      <c r="C4283" t="s">
        <v>28</v>
      </c>
      <c r="D4283" t="s">
        <v>8347</v>
      </c>
      <c r="E4283" t="s">
        <v>8</v>
      </c>
      <c r="F4283" t="s">
        <v>8348</v>
      </c>
      <c r="G4283" t="s">
        <v>885</v>
      </c>
      <c r="H4283" t="s">
        <v>8349</v>
      </c>
      <c r="I4283" t="s">
        <v>887</v>
      </c>
    </row>
    <row r="4284" spans="1:9" x14ac:dyDescent="0.25">
      <c r="A4284" s="1" t="str">
        <f>HYPERLINK("https://lynxcrm-apac--c.eu19.visual.force.com/0011i000001xoXHAAY","Seng, Shay Way")</f>
        <v>Seng, Shay Way</v>
      </c>
      <c r="B4284" t="s">
        <v>8350</v>
      </c>
      <c r="C4284" t="s">
        <v>28</v>
      </c>
      <c r="D4284" t="s">
        <v>8351</v>
      </c>
      <c r="E4284" t="s">
        <v>8</v>
      </c>
      <c r="F4284" t="s">
        <v>69</v>
      </c>
      <c r="G4284" t="s">
        <v>4937</v>
      </c>
      <c r="H4284" t="s">
        <v>4938</v>
      </c>
      <c r="I4284" t="s">
        <v>67</v>
      </c>
    </row>
    <row r="4285" spans="1:9" x14ac:dyDescent="0.25">
      <c r="A4285" s="1" t="str">
        <f>HYPERLINK("https://lynxcrm-apac--c.eu19.visual.force.com/0011i000001xnqDAAQ","Seng, Tee Kiat Thomas")</f>
        <v>Seng, Tee Kiat Thomas</v>
      </c>
      <c r="B4285" t="s">
        <v>8352</v>
      </c>
      <c r="C4285" t="s">
        <v>28</v>
      </c>
      <c r="D4285" t="s">
        <v>5327</v>
      </c>
      <c r="E4285" t="s">
        <v>8</v>
      </c>
      <c r="F4285" t="s">
        <v>5782</v>
      </c>
      <c r="G4285" t="s">
        <v>5783</v>
      </c>
      <c r="H4285" t="s">
        <v>5784</v>
      </c>
      <c r="I4285" t="s">
        <v>2889</v>
      </c>
    </row>
    <row r="4286" spans="1:9" x14ac:dyDescent="0.25">
      <c r="A4286" s="1" t="str">
        <f>HYPERLINK("https://lynxcrm-apac--c.eu19.visual.force.com/0011i000001xnc1AAA","Sengkang Family Clinic")</f>
        <v>Sengkang Family Clinic</v>
      </c>
      <c r="B4286" t="s">
        <v>8353</v>
      </c>
      <c r="C4286" t="s">
        <v>10</v>
      </c>
      <c r="D4286" t="s">
        <v>8</v>
      </c>
      <c r="E4286" t="s">
        <v>8</v>
      </c>
      <c r="F4286" t="s">
        <v>6763</v>
      </c>
      <c r="G4286" t="s">
        <v>1454</v>
      </c>
      <c r="H4286" t="s">
        <v>1454</v>
      </c>
      <c r="I4286" t="s">
        <v>6764</v>
      </c>
    </row>
    <row r="4287" spans="1:9" x14ac:dyDescent="0.25">
      <c r="A4287" s="1" t="str">
        <f>HYPERLINK("https://lynxcrm-apac--c.eu19.visual.force.com/0011i000001xn54AAA","Sengkang Hospital")</f>
        <v>Sengkang Hospital</v>
      </c>
      <c r="B4287" t="s">
        <v>8354</v>
      </c>
      <c r="C4287" t="s">
        <v>10</v>
      </c>
      <c r="D4287" t="s">
        <v>8</v>
      </c>
      <c r="E4287" t="s">
        <v>8</v>
      </c>
      <c r="F4287" t="s">
        <v>360</v>
      </c>
      <c r="G4287" t="s">
        <v>1253</v>
      </c>
      <c r="H4287" t="s">
        <v>1253</v>
      </c>
      <c r="I4287" t="s">
        <v>362</v>
      </c>
    </row>
    <row r="4288" spans="1:9" x14ac:dyDescent="0.25">
      <c r="A4288" s="1" t="str">
        <f>HYPERLINK("https://lynxcrm-apac--c.eu19.visual.force.com/0011i000001xnKJAAY","Sengkang Polyclinic")</f>
        <v>Sengkang Polyclinic</v>
      </c>
      <c r="B4288" t="s">
        <v>8355</v>
      </c>
      <c r="C4288" t="s">
        <v>10</v>
      </c>
      <c r="D4288" t="s">
        <v>8</v>
      </c>
      <c r="E4288" t="s">
        <v>8</v>
      </c>
      <c r="F4288" t="s">
        <v>393</v>
      </c>
      <c r="G4288" t="s">
        <v>394</v>
      </c>
      <c r="H4288" t="s">
        <v>395</v>
      </c>
      <c r="I4288" t="s">
        <v>396</v>
      </c>
    </row>
    <row r="4289" spans="1:9" x14ac:dyDescent="0.25">
      <c r="A4289" s="1" t="str">
        <f>HYPERLINK("https://lynxcrm-apac--c.eu19.visual.force.com/0011i000001xnKNAAY","Sengkang Polyclinic")</f>
        <v>Sengkang Polyclinic</v>
      </c>
      <c r="B4289" t="s">
        <v>8356</v>
      </c>
      <c r="C4289" t="s">
        <v>10</v>
      </c>
      <c r="D4289" t="s">
        <v>8</v>
      </c>
      <c r="E4289" t="s">
        <v>8</v>
      </c>
      <c r="F4289" t="s">
        <v>393</v>
      </c>
      <c r="G4289" t="s">
        <v>394</v>
      </c>
      <c r="H4289" t="s">
        <v>395</v>
      </c>
      <c r="I4289" t="s">
        <v>396</v>
      </c>
    </row>
    <row r="4290" spans="1:9" x14ac:dyDescent="0.25">
      <c r="A4290" s="1" t="str">
        <f>HYPERLINK("https://lynxcrm-apac--c.eu19.visual.force.com/0011i000001xnVIAAY","Sengkang Polyclinic")</f>
        <v>Sengkang Polyclinic</v>
      </c>
      <c r="B4290" t="s">
        <v>8357</v>
      </c>
      <c r="C4290" t="s">
        <v>10</v>
      </c>
      <c r="D4290" t="s">
        <v>8</v>
      </c>
      <c r="E4290" t="s">
        <v>8</v>
      </c>
      <c r="F4290" t="s">
        <v>393</v>
      </c>
      <c r="G4290" t="s">
        <v>393</v>
      </c>
      <c r="H4290" t="s">
        <v>8</v>
      </c>
      <c r="I4290" t="s">
        <v>396</v>
      </c>
    </row>
    <row r="4291" spans="1:9" x14ac:dyDescent="0.25">
      <c r="A4291" s="1" t="str">
        <f>HYPERLINK("https://lynxcrm-apac--c.eu19.visual.force.com/0011i000001xmibAAA","Sengkang Polyclinic")</f>
        <v>Sengkang Polyclinic</v>
      </c>
      <c r="B4291" t="s">
        <v>8358</v>
      </c>
      <c r="C4291" t="s">
        <v>10</v>
      </c>
      <c r="D4291" t="s">
        <v>8</v>
      </c>
      <c r="E4291" t="s">
        <v>8</v>
      </c>
      <c r="F4291" t="s">
        <v>393</v>
      </c>
      <c r="G4291" t="s">
        <v>394</v>
      </c>
      <c r="H4291" t="s">
        <v>395</v>
      </c>
      <c r="I4291" t="s">
        <v>396</v>
      </c>
    </row>
    <row r="4292" spans="1:9" x14ac:dyDescent="0.25">
      <c r="A4292" s="1" t="str">
        <f>HYPERLINK("https://lynxcrm-apac--c.eu19.visual.force.com/0011i000001xmzuAAA","Sengkang Polyclinic")</f>
        <v>Sengkang Polyclinic</v>
      </c>
      <c r="B4292" t="s">
        <v>8359</v>
      </c>
      <c r="C4292" t="s">
        <v>10</v>
      </c>
      <c r="D4292" t="s">
        <v>8</v>
      </c>
      <c r="E4292" t="s">
        <v>8</v>
      </c>
      <c r="F4292" t="s">
        <v>393</v>
      </c>
      <c r="G4292" t="s">
        <v>394</v>
      </c>
      <c r="H4292" t="s">
        <v>395</v>
      </c>
      <c r="I4292" t="s">
        <v>396</v>
      </c>
    </row>
    <row r="4293" spans="1:9" x14ac:dyDescent="0.25">
      <c r="A4293" s="1" t="str">
        <f>HYPERLINK("https://lynxcrm-apac--c.eu19.visual.force.com/0011i000001xmzvAAA","Sengkang Polyclinic")</f>
        <v>Sengkang Polyclinic</v>
      </c>
      <c r="B4293" t="s">
        <v>8360</v>
      </c>
      <c r="C4293" t="s">
        <v>10</v>
      </c>
      <c r="D4293" t="s">
        <v>8</v>
      </c>
      <c r="E4293" t="s">
        <v>8</v>
      </c>
      <c r="F4293" t="s">
        <v>393</v>
      </c>
      <c r="G4293" t="s">
        <v>394</v>
      </c>
      <c r="H4293" t="s">
        <v>395</v>
      </c>
      <c r="I4293" t="s">
        <v>396</v>
      </c>
    </row>
    <row r="4294" spans="1:9" x14ac:dyDescent="0.25">
      <c r="A4294" s="1" t="str">
        <f>HYPERLINK("https://lynxcrm-apac--c.eu19.visual.force.com/0011i000001xnKLAAY","Sengkang Polyclinic")</f>
        <v>Sengkang Polyclinic</v>
      </c>
      <c r="B4294" t="s">
        <v>8361</v>
      </c>
      <c r="C4294" t="s">
        <v>10</v>
      </c>
      <c r="D4294" t="s">
        <v>8</v>
      </c>
      <c r="E4294" t="s">
        <v>8</v>
      </c>
      <c r="F4294" t="s">
        <v>393</v>
      </c>
      <c r="G4294" t="s">
        <v>394</v>
      </c>
      <c r="H4294" t="s">
        <v>395</v>
      </c>
      <c r="I4294" t="s">
        <v>396</v>
      </c>
    </row>
    <row r="4295" spans="1:9" x14ac:dyDescent="0.25">
      <c r="A4295" s="1" t="str">
        <f>HYPERLINK("https://lynxcrm-apac--c.eu19.visual.force.com/0011i000001xnKOAAY","Sengkang Polyclinic")</f>
        <v>Sengkang Polyclinic</v>
      </c>
      <c r="B4295" t="s">
        <v>8362</v>
      </c>
      <c r="C4295" t="s">
        <v>10</v>
      </c>
      <c r="D4295" t="s">
        <v>8</v>
      </c>
      <c r="E4295" t="s">
        <v>8</v>
      </c>
      <c r="F4295" t="s">
        <v>393</v>
      </c>
      <c r="G4295" t="s">
        <v>394</v>
      </c>
      <c r="H4295" t="s">
        <v>395</v>
      </c>
      <c r="I4295" t="s">
        <v>396</v>
      </c>
    </row>
    <row r="4296" spans="1:9" x14ac:dyDescent="0.25">
      <c r="A4296" s="1" t="str">
        <f>HYPERLINK("https://lynxcrm-apac--c.eu19.visual.force.com/0011i000002IdAOAA0","Seo, Peng Sin")</f>
        <v>Seo, Peng Sin</v>
      </c>
      <c r="B4296" t="s">
        <v>8363</v>
      </c>
      <c r="C4296" t="s">
        <v>28</v>
      </c>
      <c r="D4296" t="s">
        <v>12</v>
      </c>
      <c r="E4296" t="s">
        <v>8</v>
      </c>
      <c r="F4296" t="s">
        <v>11</v>
      </c>
      <c r="G4296" t="s">
        <v>11</v>
      </c>
      <c r="H4296" t="s">
        <v>8</v>
      </c>
      <c r="I4296" t="s">
        <v>13</v>
      </c>
    </row>
    <row r="4297" spans="1:9" x14ac:dyDescent="0.25">
      <c r="A4297" s="1" t="str">
        <f>HYPERLINK("https://lynxcrm-apac--c.eu19.visual.force.com/0011i000001xoD5AAI","Seo, Peng Xin")</f>
        <v>Seo, Peng Xin</v>
      </c>
      <c r="B4297" t="s">
        <v>8364</v>
      </c>
      <c r="C4297" t="s">
        <v>28</v>
      </c>
      <c r="D4297" t="s">
        <v>12</v>
      </c>
      <c r="E4297" t="s">
        <v>8</v>
      </c>
      <c r="F4297" t="s">
        <v>11</v>
      </c>
      <c r="G4297" t="s">
        <v>11</v>
      </c>
      <c r="H4297" t="s">
        <v>712</v>
      </c>
      <c r="I4297" t="s">
        <v>13</v>
      </c>
    </row>
    <row r="4298" spans="1:9" x14ac:dyDescent="0.25">
      <c r="A4298" s="1" t="str">
        <f>HYPERLINK("https://lynxcrm-apac--c.eu19.visual.force.com/0011i000001xoVBAAY","Seow, Chuen Chai Dennis")</f>
        <v>Seow, Chuen Chai Dennis</v>
      </c>
      <c r="B4298" t="s">
        <v>8365</v>
      </c>
      <c r="C4298" t="s">
        <v>28</v>
      </c>
      <c r="D4298" t="s">
        <v>251</v>
      </c>
      <c r="E4298" t="s">
        <v>8</v>
      </c>
      <c r="F4298" t="s">
        <v>359</v>
      </c>
      <c r="G4298" t="s">
        <v>252</v>
      </c>
      <c r="H4298" t="s">
        <v>858</v>
      </c>
      <c r="I4298" t="s">
        <v>1609</v>
      </c>
    </row>
    <row r="4299" spans="1:9" x14ac:dyDescent="0.25">
      <c r="A4299" s="1" t="str">
        <f>HYPERLINK("https://lynxcrm-apac--c.eu19.visual.force.com/0011i000001xo5TAAQ","Seow, Eillyne")</f>
        <v>Seow, Eillyne</v>
      </c>
      <c r="B4299" t="s">
        <v>8366</v>
      </c>
      <c r="C4299" t="s">
        <v>28</v>
      </c>
      <c r="D4299" t="s">
        <v>261</v>
      </c>
      <c r="E4299" t="s">
        <v>8</v>
      </c>
      <c r="F4299" t="s">
        <v>261</v>
      </c>
      <c r="G4299" t="s">
        <v>347</v>
      </c>
      <c r="H4299" t="s">
        <v>347</v>
      </c>
      <c r="I4299" t="s">
        <v>260</v>
      </c>
    </row>
    <row r="4300" spans="1:9" x14ac:dyDescent="0.25">
      <c r="A4300" s="1" t="str">
        <f>HYPERLINK("https://lynxcrm-apac--c.eu19.visual.force.com/0011i000001xo5TAAQ","Seow, Eillyne")</f>
        <v>Seow, Eillyne</v>
      </c>
      <c r="B4300" t="s">
        <v>8366</v>
      </c>
      <c r="C4300" t="s">
        <v>28</v>
      </c>
      <c r="D4300" t="s">
        <v>1242</v>
      </c>
      <c r="E4300" t="s">
        <v>8</v>
      </c>
      <c r="F4300" t="s">
        <v>258</v>
      </c>
      <c r="G4300" t="s">
        <v>261</v>
      </c>
      <c r="H4300" t="s">
        <v>261</v>
      </c>
      <c r="I4300" t="s">
        <v>260</v>
      </c>
    </row>
    <row r="4301" spans="1:9" x14ac:dyDescent="0.25">
      <c r="A4301" s="1" t="str">
        <f>HYPERLINK("https://lynxcrm-apac--c.eu19.visual.force.com/0011i000007FALGAA4","Seow, En Hao")</f>
        <v>Seow, En Hao</v>
      </c>
      <c r="B4301" t="s">
        <v>8367</v>
      </c>
      <c r="C4301" t="s">
        <v>28</v>
      </c>
      <c r="D4301" t="s">
        <v>8368</v>
      </c>
      <c r="E4301" t="s">
        <v>8</v>
      </c>
      <c r="F4301" t="s">
        <v>8369</v>
      </c>
      <c r="G4301" t="s">
        <v>8370</v>
      </c>
      <c r="H4301" t="s">
        <v>8</v>
      </c>
      <c r="I4301" t="s">
        <v>7246</v>
      </c>
    </row>
    <row r="4302" spans="1:9" x14ac:dyDescent="0.25">
      <c r="A4302" s="1" t="str">
        <f>HYPERLINK("https://lynxcrm-apac--c.eu19.visual.force.com/0011i000001xoFTAAY","Seow, En Isaac")</f>
        <v>Seow, En Isaac</v>
      </c>
      <c r="B4302" t="s">
        <v>8371</v>
      </c>
      <c r="C4302" t="s">
        <v>28</v>
      </c>
      <c r="D4302" t="s">
        <v>583</v>
      </c>
      <c r="E4302" t="s">
        <v>8</v>
      </c>
      <c r="F4302" t="s">
        <v>583</v>
      </c>
      <c r="G4302" t="s">
        <v>584</v>
      </c>
      <c r="H4302" t="s">
        <v>584</v>
      </c>
      <c r="I4302" t="s">
        <v>585</v>
      </c>
    </row>
    <row r="4303" spans="1:9" x14ac:dyDescent="0.25">
      <c r="A4303" s="1" t="str">
        <f>HYPERLINK("https://lynxcrm-apac--c.eu19.visual.force.com/0011i000001xoOvAAI","Seow, Serene")</f>
        <v>Seow, Serene</v>
      </c>
      <c r="B4303" t="s">
        <v>8372</v>
      </c>
      <c r="C4303" t="s">
        <v>28</v>
      </c>
      <c r="D4303" t="s">
        <v>583</v>
      </c>
      <c r="E4303" t="s">
        <v>8</v>
      </c>
      <c r="F4303" t="s">
        <v>584</v>
      </c>
      <c r="G4303" t="s">
        <v>584</v>
      </c>
      <c r="H4303" t="s">
        <v>8</v>
      </c>
      <c r="I4303" t="s">
        <v>585</v>
      </c>
    </row>
    <row r="4304" spans="1:9" x14ac:dyDescent="0.25">
      <c r="A4304" s="1" t="str">
        <f>HYPERLINK("https://lynxcrm-apac--c.eu19.visual.force.com/0011i000001xo5VAAQ","Seow, Wan Tew")</f>
        <v>Seow, Wan Tew</v>
      </c>
      <c r="B4304" t="s">
        <v>8373</v>
      </c>
      <c r="C4304" t="s">
        <v>28</v>
      </c>
      <c r="D4304" t="s">
        <v>261</v>
      </c>
      <c r="E4304" t="s">
        <v>8</v>
      </c>
      <c r="F4304" t="s">
        <v>261</v>
      </c>
      <c r="G4304" t="s">
        <v>347</v>
      </c>
      <c r="H4304" t="s">
        <v>347</v>
      </c>
      <c r="I4304" t="s">
        <v>260</v>
      </c>
    </row>
    <row r="4305" spans="1:9" x14ac:dyDescent="0.25">
      <c r="A4305" s="1" t="str">
        <f>HYPERLINK("https://lynxcrm-apac--c.eu19.visual.force.com/0011i000001xo5VAAQ","Seow, Wan Tew")</f>
        <v>Seow, Wan Tew</v>
      </c>
      <c r="B4305" t="s">
        <v>8373</v>
      </c>
      <c r="C4305" t="s">
        <v>28</v>
      </c>
      <c r="D4305" t="s">
        <v>473</v>
      </c>
      <c r="E4305" t="s">
        <v>8</v>
      </c>
      <c r="F4305" t="s">
        <v>258</v>
      </c>
      <c r="G4305" t="s">
        <v>474</v>
      </c>
      <c r="H4305" t="s">
        <v>474</v>
      </c>
      <c r="I4305" t="s">
        <v>260</v>
      </c>
    </row>
    <row r="4306" spans="1:9" x14ac:dyDescent="0.25">
      <c r="A4306" s="1" t="str">
        <f>HYPERLINK("https://lynxcrm-apac--c.eu19.visual.force.com/0011i000001xoHFAAY","Seow, Ying Ying Terina")</f>
        <v>Seow, Ying Ying Terina</v>
      </c>
      <c r="B4306" t="s">
        <v>8374</v>
      </c>
      <c r="C4306" t="s">
        <v>28</v>
      </c>
      <c r="D4306" t="s">
        <v>429</v>
      </c>
      <c r="E4306" t="s">
        <v>8</v>
      </c>
      <c r="F4306" t="s">
        <v>2128</v>
      </c>
      <c r="G4306" t="s">
        <v>428</v>
      </c>
      <c r="H4306" t="s">
        <v>1320</v>
      </c>
      <c r="I4306" t="s">
        <v>430</v>
      </c>
    </row>
    <row r="4307" spans="1:9" x14ac:dyDescent="0.25">
      <c r="A4307" s="1" t="str">
        <f>HYPERLINK("https://lynxcrm-apac--c.eu19.visual.force.com/0011i000001xmkuAAA","Seow-Choen Colorectal Centre Pte Ltd")</f>
        <v>Seow-Choen Colorectal Centre Pte Ltd</v>
      </c>
      <c r="B4307" t="s">
        <v>8375</v>
      </c>
      <c r="C4307" t="s">
        <v>10</v>
      </c>
      <c r="D4307" t="s">
        <v>8</v>
      </c>
      <c r="E4307" t="s">
        <v>8</v>
      </c>
      <c r="F4307" t="s">
        <v>8376</v>
      </c>
      <c r="G4307" t="s">
        <v>83</v>
      </c>
      <c r="H4307" t="s">
        <v>83</v>
      </c>
      <c r="I4307" t="s">
        <v>123</v>
      </c>
    </row>
    <row r="4308" spans="1:9" x14ac:dyDescent="0.25">
      <c r="A4308" s="1" t="str">
        <f>HYPERLINK("https://lynxcrm-apac--c.eu19.visual.force.com/0011i000001xmggAAA","Serangoon Garden Clinic &amp; Dispensary")</f>
        <v>Serangoon Garden Clinic &amp; Dispensary</v>
      </c>
      <c r="B4308" t="s">
        <v>8377</v>
      </c>
      <c r="C4308" t="s">
        <v>10</v>
      </c>
      <c r="D4308" t="s">
        <v>8</v>
      </c>
      <c r="E4308" t="s">
        <v>8</v>
      </c>
      <c r="F4308" t="s">
        <v>8378</v>
      </c>
      <c r="G4308" t="s">
        <v>3675</v>
      </c>
      <c r="H4308" t="s">
        <v>8379</v>
      </c>
      <c r="I4308" t="s">
        <v>8380</v>
      </c>
    </row>
    <row r="4309" spans="1:9" x14ac:dyDescent="0.25">
      <c r="A4309" s="1" t="str">
        <f>HYPERLINK("https://lynxcrm-apac--c.eu19.visual.force.com/0011i000001xmbuAAA","Serangoon North Clinic &amp; Surgery")</f>
        <v>Serangoon North Clinic &amp; Surgery</v>
      </c>
      <c r="B4309" t="s">
        <v>8381</v>
      </c>
      <c r="C4309" t="s">
        <v>10</v>
      </c>
      <c r="D4309" t="s">
        <v>8</v>
      </c>
      <c r="E4309" t="s">
        <v>8</v>
      </c>
      <c r="F4309" t="s">
        <v>1579</v>
      </c>
      <c r="G4309" t="s">
        <v>8382</v>
      </c>
      <c r="H4309" t="s">
        <v>8383</v>
      </c>
      <c r="I4309" t="s">
        <v>1582</v>
      </c>
    </row>
    <row r="4310" spans="1:9" x14ac:dyDescent="0.25">
      <c r="A4310" s="1" t="str">
        <f>HYPERLINK("https://lynxcrm-apac--c.eu19.visual.force.com/0011i000001xoXBAAY","Sethi, Vijay Kumar")</f>
        <v>Sethi, Vijay Kumar</v>
      </c>
      <c r="B4310" t="s">
        <v>8384</v>
      </c>
      <c r="C4310" t="s">
        <v>28</v>
      </c>
      <c r="D4310" t="s">
        <v>583</v>
      </c>
      <c r="E4310" t="s">
        <v>8</v>
      </c>
      <c r="F4310" t="s">
        <v>583</v>
      </c>
      <c r="G4310" t="s">
        <v>584</v>
      </c>
      <c r="H4310" t="s">
        <v>584</v>
      </c>
      <c r="I4310" t="s">
        <v>585</v>
      </c>
    </row>
    <row r="4311" spans="1:9" x14ac:dyDescent="0.25">
      <c r="A4311" s="1" t="str">
        <f>HYPERLINK("https://lynxcrm-apac--c.eu19.visual.force.com/0011i000001xoXBAAY","Sethi, Vijay Kumar")</f>
        <v>Sethi, Vijay Kumar</v>
      </c>
      <c r="B4311" t="s">
        <v>8384</v>
      </c>
      <c r="C4311" t="s">
        <v>28</v>
      </c>
      <c r="D4311" t="s">
        <v>583</v>
      </c>
      <c r="E4311" t="s">
        <v>8</v>
      </c>
      <c r="F4311" t="s">
        <v>366</v>
      </c>
      <c r="G4311" t="s">
        <v>584</v>
      </c>
      <c r="H4311" t="s">
        <v>584</v>
      </c>
      <c r="I4311" t="s">
        <v>585</v>
      </c>
    </row>
    <row r="4312" spans="1:9" x14ac:dyDescent="0.25">
      <c r="A4312" s="1" t="str">
        <f>HYPERLINK("https://lynxcrm-apac--c.eu19.visual.force.com/0011i000001xnW2AAI","S G Clinic Family Practice")</f>
        <v>S G Clinic Family Practice</v>
      </c>
      <c r="B4312" t="s">
        <v>8385</v>
      </c>
      <c r="C4312" t="s">
        <v>10</v>
      </c>
      <c r="D4312" t="s">
        <v>8</v>
      </c>
      <c r="E4312" t="s">
        <v>8</v>
      </c>
      <c r="F4312" t="s">
        <v>8386</v>
      </c>
      <c r="G4312" t="s">
        <v>8386</v>
      </c>
      <c r="H4312" t="s">
        <v>8</v>
      </c>
      <c r="I4312" t="s">
        <v>8387</v>
      </c>
    </row>
    <row r="4313" spans="1:9" x14ac:dyDescent="0.25">
      <c r="A4313" s="1" t="str">
        <f>HYPERLINK("https://lynxcrm-apac--c.eu19.visual.force.com/0011i000001xnodAAA","SGH, - Retail Pharmacy")</f>
        <v>SGH, - Retail Pharmacy</v>
      </c>
      <c r="B4313" t="s">
        <v>8388</v>
      </c>
      <c r="C4313" t="s">
        <v>28</v>
      </c>
      <c r="D4313" t="s">
        <v>251</v>
      </c>
      <c r="E4313" t="s">
        <v>8</v>
      </c>
      <c r="F4313" t="s">
        <v>251</v>
      </c>
      <c r="G4313" t="s">
        <v>252</v>
      </c>
      <c r="H4313" t="s">
        <v>252</v>
      </c>
      <c r="I4313" t="s">
        <v>253</v>
      </c>
    </row>
    <row r="4314" spans="1:9" x14ac:dyDescent="0.25">
      <c r="A4314" s="1" t="str">
        <f>HYPERLINK("https://lynxcrm-apac--c.eu19.visual.force.com/0011i000001xnodAAA","SGH, - Retail Pharmacy")</f>
        <v>SGH, - Retail Pharmacy</v>
      </c>
      <c r="B4314" t="s">
        <v>8388</v>
      </c>
      <c r="C4314" t="s">
        <v>28</v>
      </c>
      <c r="D4314" t="s">
        <v>251</v>
      </c>
      <c r="E4314" t="s">
        <v>8</v>
      </c>
      <c r="F4314" t="s">
        <v>251</v>
      </c>
      <c r="G4314" t="s">
        <v>252</v>
      </c>
      <c r="H4314" t="s">
        <v>858</v>
      </c>
      <c r="I4314" t="s">
        <v>1609</v>
      </c>
    </row>
    <row r="4315" spans="1:9" x14ac:dyDescent="0.25">
      <c r="A4315" s="1" t="str">
        <f>HYPERLINK("https://lynxcrm-apac--c.eu19.visual.force.com/0011i000001xorFAAQ","Shabilah, Mohamad Salleh")</f>
        <v>Shabilah, Mohamad Salleh</v>
      </c>
      <c r="B4315" t="s">
        <v>8389</v>
      </c>
      <c r="C4315" t="s">
        <v>28</v>
      </c>
      <c r="D4315" t="s">
        <v>545</v>
      </c>
      <c r="E4315" t="s">
        <v>8</v>
      </c>
      <c r="F4315" t="s">
        <v>844</v>
      </c>
      <c r="G4315" t="s">
        <v>845</v>
      </c>
      <c r="H4315" t="s">
        <v>846</v>
      </c>
      <c r="I4315" t="s">
        <v>847</v>
      </c>
    </row>
    <row r="4316" spans="1:9" x14ac:dyDescent="0.25">
      <c r="A4316" s="1" t="str">
        <f>HYPERLINK("https://lynxcrm-apac--c.eu19.visual.force.com/0011i000001xnh4AAA","Shah Mitesh, s/o Ramesh")</f>
        <v>Shah Mitesh, s/o Ramesh</v>
      </c>
      <c r="B4316" t="s">
        <v>8390</v>
      </c>
      <c r="C4316" t="s">
        <v>28</v>
      </c>
      <c r="D4316" t="s">
        <v>58</v>
      </c>
      <c r="E4316" t="s">
        <v>8</v>
      </c>
      <c r="F4316" t="s">
        <v>57</v>
      </c>
      <c r="G4316" t="s">
        <v>57</v>
      </c>
      <c r="H4316" t="s">
        <v>8</v>
      </c>
      <c r="I4316" t="s">
        <v>59</v>
      </c>
    </row>
    <row r="4317" spans="1:9" x14ac:dyDescent="0.25">
      <c r="A4317" s="1" t="str">
        <f>HYPERLINK("https://lynxcrm-apac--c.eu19.visual.force.com/0011i000001xnh4AAA","Shah Mitesh, s/o Ramesh")</f>
        <v>Shah Mitesh, s/o Ramesh</v>
      </c>
      <c r="B4317" t="s">
        <v>8390</v>
      </c>
      <c r="C4317" t="s">
        <v>28</v>
      </c>
      <c r="D4317" t="s">
        <v>545</v>
      </c>
      <c r="E4317" t="s">
        <v>8</v>
      </c>
      <c r="F4317" t="s">
        <v>844</v>
      </c>
      <c r="G4317" t="s">
        <v>845</v>
      </c>
      <c r="H4317" t="s">
        <v>846</v>
      </c>
      <c r="I4317" t="s">
        <v>847</v>
      </c>
    </row>
    <row r="4318" spans="1:9" x14ac:dyDescent="0.25">
      <c r="A4318" s="1" t="str">
        <f>HYPERLINK("https://lynxcrm-apac--c.eu19.visual.force.com/0011i000001xo5WAAQ","Shaik, Ahmad Bin Syed")</f>
        <v>Shaik, Ahmad Bin Syed</v>
      </c>
      <c r="B4318" t="s">
        <v>8391</v>
      </c>
      <c r="C4318" t="s">
        <v>28</v>
      </c>
      <c r="D4318" t="s">
        <v>1253</v>
      </c>
      <c r="E4318" t="s">
        <v>8</v>
      </c>
      <c r="F4318" t="s">
        <v>366</v>
      </c>
      <c r="G4318" t="s">
        <v>360</v>
      </c>
      <c r="H4318" t="s">
        <v>361</v>
      </c>
      <c r="I4318" t="s">
        <v>362</v>
      </c>
    </row>
    <row r="4319" spans="1:9" x14ac:dyDescent="0.25">
      <c r="A4319" s="1" t="str">
        <f>HYPERLINK("https://lynxcrm-apac--c.eu19.visual.force.com/0011i000001xmfeAAA","Shalom Medical Dental Group Pte Ltd")</f>
        <v>Shalom Medical Dental Group Pte Ltd</v>
      </c>
      <c r="B4319" t="s">
        <v>8392</v>
      </c>
      <c r="C4319" t="s">
        <v>10</v>
      </c>
      <c r="D4319" t="s">
        <v>8</v>
      </c>
      <c r="E4319" t="s">
        <v>8</v>
      </c>
      <c r="F4319" t="s">
        <v>8393</v>
      </c>
      <c r="G4319" t="s">
        <v>8394</v>
      </c>
      <c r="H4319" t="s">
        <v>8394</v>
      </c>
      <c r="I4319" t="s">
        <v>8395</v>
      </c>
    </row>
    <row r="4320" spans="1:9" x14ac:dyDescent="0.25">
      <c r="A4320" s="1" t="str">
        <f>HYPERLINK("https://lynxcrm-apac--c.eu19.visual.force.com/0011i000001xoLcAAI","Shan, Jeffrey")</f>
        <v>Shan, Jeffrey</v>
      </c>
      <c r="B4320" t="s">
        <v>8396</v>
      </c>
      <c r="C4320" t="s">
        <v>28</v>
      </c>
      <c r="D4320" t="s">
        <v>8397</v>
      </c>
      <c r="E4320" t="s">
        <v>8</v>
      </c>
      <c r="F4320" t="s">
        <v>8398</v>
      </c>
      <c r="G4320" t="s">
        <v>8399</v>
      </c>
      <c r="H4320" t="s">
        <v>8400</v>
      </c>
      <c r="I4320" t="s">
        <v>8013</v>
      </c>
    </row>
    <row r="4321" spans="1:9" x14ac:dyDescent="0.25">
      <c r="A4321" s="1" t="str">
        <f>HYPERLINK("https://lynxcrm-apac--c.eu19.visual.force.com/0011i00000tXmhDAAS","Shang, Yeap")</f>
        <v>Shang, Yeap</v>
      </c>
      <c r="B4321" t="s">
        <v>8401</v>
      </c>
      <c r="C4321" t="s">
        <v>28</v>
      </c>
      <c r="D4321" t="s">
        <v>6045</v>
      </c>
      <c r="E4321" t="s">
        <v>8</v>
      </c>
      <c r="F4321" t="s">
        <v>4443</v>
      </c>
      <c r="G4321" t="s">
        <v>4444</v>
      </c>
      <c r="H4321" t="s">
        <v>8</v>
      </c>
      <c r="I4321" t="s">
        <v>344</v>
      </c>
    </row>
    <row r="4322" spans="1:9" x14ac:dyDescent="0.25">
      <c r="A4322" s="1" t="str">
        <f>HYPERLINK("https://lynxcrm-apac--c.eu19.visual.force.com/0011i000001xoMaAAI","Shankar, Rashpathy")</f>
        <v>Shankar, Rashpathy</v>
      </c>
      <c r="B4322" t="s">
        <v>8402</v>
      </c>
      <c r="C4322" t="s">
        <v>28</v>
      </c>
      <c r="D4322" t="s">
        <v>251</v>
      </c>
      <c r="E4322" t="s">
        <v>8</v>
      </c>
      <c r="F4322" t="s">
        <v>251</v>
      </c>
      <c r="G4322" t="s">
        <v>252</v>
      </c>
      <c r="H4322" t="s">
        <v>252</v>
      </c>
      <c r="I4322" t="s">
        <v>253</v>
      </c>
    </row>
    <row r="4323" spans="1:9" x14ac:dyDescent="0.25">
      <c r="A4323" s="1" t="str">
        <f>HYPERLINK("https://lynxcrm-apac--c.eu19.visual.force.com/0011i000001xoMaAAI","Shankar, Rashpathy")</f>
        <v>Shankar, Rashpathy</v>
      </c>
      <c r="B4323" t="s">
        <v>8402</v>
      </c>
      <c r="C4323" t="s">
        <v>28</v>
      </c>
      <c r="D4323" t="s">
        <v>1242</v>
      </c>
      <c r="E4323" t="s">
        <v>8</v>
      </c>
      <c r="F4323" t="s">
        <v>252</v>
      </c>
      <c r="G4323" t="s">
        <v>251</v>
      </c>
      <c r="H4323" t="s">
        <v>251</v>
      </c>
      <c r="I4323" t="s">
        <v>253</v>
      </c>
    </row>
    <row r="4324" spans="1:9" x14ac:dyDescent="0.25">
      <c r="A4324" s="1" t="str">
        <f>HYPERLINK("https://lynxcrm-apac--c.eu19.visual.force.com/0011i000001xoceAAA","Shanti, Uma Devi")</f>
        <v>Shanti, Uma Devi</v>
      </c>
      <c r="B4324" t="s">
        <v>8403</v>
      </c>
      <c r="C4324" t="s">
        <v>28</v>
      </c>
      <c r="D4324" t="s">
        <v>21</v>
      </c>
      <c r="E4324" t="s">
        <v>8</v>
      </c>
      <c r="F4324" t="s">
        <v>699</v>
      </c>
      <c r="G4324" t="s">
        <v>699</v>
      </c>
      <c r="H4324" t="s">
        <v>8</v>
      </c>
      <c r="I4324" t="s">
        <v>22</v>
      </c>
    </row>
    <row r="4325" spans="1:9" x14ac:dyDescent="0.25">
      <c r="A4325" s="1" t="str">
        <f>HYPERLINK("https://lynxcrm-apac--c.eu19.visual.force.com/0011i000001xoceAAA","Shanti, Uma Devi")</f>
        <v>Shanti, Uma Devi</v>
      </c>
      <c r="B4325" t="s">
        <v>8403</v>
      </c>
      <c r="C4325" t="s">
        <v>28</v>
      </c>
      <c r="D4325" t="s">
        <v>1977</v>
      </c>
      <c r="E4325" t="s">
        <v>8</v>
      </c>
      <c r="F4325" t="s">
        <v>20</v>
      </c>
      <c r="G4325" t="s">
        <v>21</v>
      </c>
      <c r="H4325" t="s">
        <v>21</v>
      </c>
      <c r="I4325" t="s">
        <v>22</v>
      </c>
    </row>
    <row r="4326" spans="1:9" x14ac:dyDescent="0.25">
      <c r="A4326" s="1" t="str">
        <f>HYPERLINK("https://lynxcrm-apac--c.eu19.visual.force.com/0011i000001xnw4AAA","Shanti")</f>
        <v>Shanti</v>
      </c>
      <c r="B4326" t="s">
        <v>8404</v>
      </c>
      <c r="C4326" t="s">
        <v>28</v>
      </c>
      <c r="D4326" t="s">
        <v>583</v>
      </c>
      <c r="E4326" t="s">
        <v>8</v>
      </c>
      <c r="F4326" t="s">
        <v>583</v>
      </c>
      <c r="G4326" t="s">
        <v>584</v>
      </c>
      <c r="H4326" t="s">
        <v>584</v>
      </c>
      <c r="I4326" t="s">
        <v>585</v>
      </c>
    </row>
    <row r="4327" spans="1:9" x14ac:dyDescent="0.25">
      <c r="A4327" s="1" t="str">
        <f>HYPERLINK("https://lynxcrm-apac--c.eu19.visual.force.com/0011i000001xnw4AAA","Shanti")</f>
        <v>Shanti</v>
      </c>
      <c r="B4327" t="s">
        <v>8404</v>
      </c>
      <c r="C4327" t="s">
        <v>28</v>
      </c>
      <c r="D4327" t="s">
        <v>583</v>
      </c>
      <c r="E4327" t="s">
        <v>8</v>
      </c>
      <c r="F4327" t="s">
        <v>584</v>
      </c>
      <c r="G4327" t="s">
        <v>584</v>
      </c>
      <c r="H4327" t="s">
        <v>1386</v>
      </c>
      <c r="I4327" t="s">
        <v>585</v>
      </c>
    </row>
    <row r="4328" spans="1:9" x14ac:dyDescent="0.25">
      <c r="A4328" s="1" t="str">
        <f>HYPERLINK("https://lynxcrm-apac--c.eu19.visual.force.com/0011i000001xoqmAAA","Sharma, Vijay Kumar")</f>
        <v>Sharma, Vijay Kumar</v>
      </c>
      <c r="B4328" t="s">
        <v>8405</v>
      </c>
      <c r="C4328" t="s">
        <v>28</v>
      </c>
      <c r="D4328" t="s">
        <v>429</v>
      </c>
      <c r="E4328" t="s">
        <v>8</v>
      </c>
      <c r="F4328" t="s">
        <v>429</v>
      </c>
      <c r="G4328" t="s">
        <v>428</v>
      </c>
      <c r="H4328" t="s">
        <v>428</v>
      </c>
      <c r="I4328" t="s">
        <v>430</v>
      </c>
    </row>
    <row r="4329" spans="1:9" x14ac:dyDescent="0.25">
      <c r="A4329" s="1" t="str">
        <f>HYPERLINK("https://lynxcrm-apac--c.eu19.visual.force.com/0011i000001xoqmAAA","Sharma, Vijay Kumar")</f>
        <v>Sharma, Vijay Kumar</v>
      </c>
      <c r="B4329" t="s">
        <v>8405</v>
      </c>
      <c r="C4329" t="s">
        <v>28</v>
      </c>
      <c r="D4329" t="s">
        <v>429</v>
      </c>
      <c r="E4329" t="s">
        <v>8</v>
      </c>
      <c r="F4329" t="s">
        <v>444</v>
      </c>
      <c r="G4329" t="s">
        <v>444</v>
      </c>
      <c r="H4329" t="s">
        <v>8</v>
      </c>
      <c r="I4329" t="s">
        <v>430</v>
      </c>
    </row>
    <row r="4330" spans="1:9" x14ac:dyDescent="0.25">
      <c r="A4330" s="1" t="str">
        <f>HYPERLINK("https://lynxcrm-apac--c.eu19.visual.force.com/0011i000001xoqmAAA","Sharma, Vijay Kumar")</f>
        <v>Sharma, Vijay Kumar</v>
      </c>
      <c r="B4330" t="s">
        <v>8405</v>
      </c>
      <c r="C4330" t="s">
        <v>28</v>
      </c>
      <c r="D4330" t="s">
        <v>429</v>
      </c>
      <c r="E4330" t="s">
        <v>8</v>
      </c>
      <c r="F4330" t="s">
        <v>445</v>
      </c>
      <c r="G4330" t="s">
        <v>428</v>
      </c>
      <c r="H4330" t="s">
        <v>428</v>
      </c>
      <c r="I4330" t="s">
        <v>430</v>
      </c>
    </row>
    <row r="4331" spans="1:9" x14ac:dyDescent="0.25">
      <c r="A4331" s="1" t="str">
        <f>HYPERLINK("https://lynxcrm-apac--c.eu19.visual.force.com/0011i000001xoqmAAA","Sharma, Vijay Kumar")</f>
        <v>Sharma, Vijay Kumar</v>
      </c>
      <c r="B4331" t="s">
        <v>8405</v>
      </c>
      <c r="C4331" t="s">
        <v>28</v>
      </c>
      <c r="D4331" t="s">
        <v>429</v>
      </c>
      <c r="E4331" t="s">
        <v>8</v>
      </c>
      <c r="F4331" t="s">
        <v>444</v>
      </c>
      <c r="G4331" t="s">
        <v>444</v>
      </c>
      <c r="H4331" t="s">
        <v>8</v>
      </c>
      <c r="I4331" t="s">
        <v>8</v>
      </c>
    </row>
    <row r="4332" spans="1:9" x14ac:dyDescent="0.25">
      <c r="A4332" s="1" t="str">
        <f>HYPERLINK("https://lynxcrm-apac--c.eu19.visual.force.com/0011i000001xms1AAA","Sharon Chan Child Guidance Clinic")</f>
        <v>Sharon Chan Child Guidance Clinic</v>
      </c>
      <c r="B4332" t="s">
        <v>8406</v>
      </c>
      <c r="C4332" t="s">
        <v>10</v>
      </c>
      <c r="D4332" t="s">
        <v>8</v>
      </c>
      <c r="E4332" t="s">
        <v>8</v>
      </c>
      <c r="F4332" t="s">
        <v>69</v>
      </c>
      <c r="G4332" t="s">
        <v>3242</v>
      </c>
      <c r="H4332" t="s">
        <v>8407</v>
      </c>
      <c r="I4332" t="s">
        <v>67</v>
      </c>
    </row>
    <row r="4333" spans="1:9" x14ac:dyDescent="0.25">
      <c r="A4333" s="1" t="str">
        <f>HYPERLINK("https://lynxcrm-apac--c.eu19.visual.force.com/0011i000001xofzAAA","Shee, Chung Jiak Jacky")</f>
        <v>Shee, Chung Jiak Jacky</v>
      </c>
      <c r="B4333" t="s">
        <v>8408</v>
      </c>
      <c r="C4333" t="s">
        <v>28</v>
      </c>
      <c r="D4333" t="s">
        <v>8409</v>
      </c>
      <c r="E4333" t="s">
        <v>8</v>
      </c>
      <c r="F4333" t="s">
        <v>8410</v>
      </c>
      <c r="G4333" t="s">
        <v>985</v>
      </c>
      <c r="H4333" t="s">
        <v>985</v>
      </c>
      <c r="I4333" t="s">
        <v>4100</v>
      </c>
    </row>
    <row r="4334" spans="1:9" x14ac:dyDescent="0.25">
      <c r="A4334" s="1" t="str">
        <f>HYPERLINK("https://lynxcrm-apac--c.eu19.visual.force.com/0011i000001xnMpAAI","Shell Eastern Petroleum Pte Ltd")</f>
        <v>Shell Eastern Petroleum Pte Ltd</v>
      </c>
      <c r="B4334" t="s">
        <v>8411</v>
      </c>
      <c r="C4334" t="s">
        <v>10</v>
      </c>
      <c r="D4334" t="s">
        <v>8</v>
      </c>
      <c r="E4334" t="s">
        <v>8</v>
      </c>
      <c r="F4334" t="s">
        <v>8412</v>
      </c>
      <c r="G4334" t="s">
        <v>8413</v>
      </c>
      <c r="H4334" t="s">
        <v>8414</v>
      </c>
      <c r="I4334" t="s">
        <v>8415</v>
      </c>
    </row>
    <row r="4335" spans="1:9" x14ac:dyDescent="0.25">
      <c r="A4335" s="1" t="str">
        <f>HYPERLINK("https://lynxcrm-apac--c.eu19.visual.force.com/0011i000001xoX5AAI","Shen, Emily")</f>
        <v>Shen, Emily</v>
      </c>
      <c r="B4335" t="s">
        <v>8416</v>
      </c>
      <c r="C4335" t="s">
        <v>28</v>
      </c>
      <c r="D4335" t="s">
        <v>257</v>
      </c>
      <c r="E4335" t="s">
        <v>8</v>
      </c>
      <c r="F4335" t="s">
        <v>360</v>
      </c>
      <c r="G4335" t="s">
        <v>1253</v>
      </c>
      <c r="H4335" t="s">
        <v>1253</v>
      </c>
      <c r="I4335" t="s">
        <v>362</v>
      </c>
    </row>
    <row r="4336" spans="1:9" x14ac:dyDescent="0.25">
      <c r="A4336" s="1" t="str">
        <f>HYPERLINK("https://lynxcrm-apac--c.eu19.visual.force.com/0011i000001xmbMAAQ","Shenton Clinic")</f>
        <v>Shenton Clinic</v>
      </c>
      <c r="B4336" t="s">
        <v>8417</v>
      </c>
      <c r="C4336" t="s">
        <v>10</v>
      </c>
      <c r="D4336" t="s">
        <v>8</v>
      </c>
      <c r="E4336" t="s">
        <v>8</v>
      </c>
      <c r="F4336" t="s">
        <v>8418</v>
      </c>
      <c r="G4336" t="s">
        <v>4625</v>
      </c>
      <c r="H4336" t="s">
        <v>8419</v>
      </c>
      <c r="I4336" t="s">
        <v>2377</v>
      </c>
    </row>
    <row r="4337" spans="1:9" x14ac:dyDescent="0.25">
      <c r="A4337" s="1" t="str">
        <f>HYPERLINK("https://lynxcrm-apac--c.eu19.visual.force.com/0011i000001xmkQAAQ","Shenton Family Clinic")</f>
        <v>Shenton Family Clinic</v>
      </c>
      <c r="B4337" t="s">
        <v>8420</v>
      </c>
      <c r="C4337" t="s">
        <v>10</v>
      </c>
      <c r="D4337" t="s">
        <v>8</v>
      </c>
      <c r="E4337" t="s">
        <v>8</v>
      </c>
      <c r="F4337" t="s">
        <v>6232</v>
      </c>
      <c r="G4337" t="s">
        <v>6233</v>
      </c>
      <c r="H4337" t="s">
        <v>6233</v>
      </c>
      <c r="I4337" t="s">
        <v>6234</v>
      </c>
    </row>
    <row r="4338" spans="1:9" x14ac:dyDescent="0.25">
      <c r="A4338" s="1" t="str">
        <f>HYPERLINK("https://lynxcrm-apac--c.eu19.visual.force.com/0011i000001xnLyAAI","Shenton Family Medical Clinic")</f>
        <v>Shenton Family Medical Clinic</v>
      </c>
      <c r="B4338" t="s">
        <v>8421</v>
      </c>
      <c r="C4338" t="s">
        <v>10</v>
      </c>
      <c r="D4338" t="s">
        <v>8</v>
      </c>
      <c r="E4338" t="s">
        <v>8</v>
      </c>
      <c r="F4338" t="s">
        <v>8422</v>
      </c>
      <c r="G4338" t="s">
        <v>4969</v>
      </c>
      <c r="H4338" t="s">
        <v>4969</v>
      </c>
      <c r="I4338" t="s">
        <v>425</v>
      </c>
    </row>
    <row r="4339" spans="1:9" x14ac:dyDescent="0.25">
      <c r="A4339" s="1" t="str">
        <f>HYPERLINK("https://lynxcrm-apac--c.eu19.visual.force.com/0011i000001xnSUAAY","Shenton Family Medical Clinic")</f>
        <v>Shenton Family Medical Clinic</v>
      </c>
      <c r="B4339" t="s">
        <v>8423</v>
      </c>
      <c r="C4339" t="s">
        <v>10</v>
      </c>
      <c r="D4339" t="s">
        <v>8</v>
      </c>
      <c r="E4339" t="s">
        <v>8</v>
      </c>
      <c r="F4339" t="s">
        <v>8424</v>
      </c>
      <c r="G4339" t="s">
        <v>8425</v>
      </c>
      <c r="H4339" t="s">
        <v>8425</v>
      </c>
      <c r="I4339" t="s">
        <v>8426</v>
      </c>
    </row>
    <row r="4340" spans="1:9" x14ac:dyDescent="0.25">
      <c r="A4340" s="1" t="str">
        <f>HYPERLINK("https://lynxcrm-apac--c.eu19.visual.force.com/0011i000001xmisAAA","Shenton Family Medical Clinic")</f>
        <v>Shenton Family Medical Clinic</v>
      </c>
      <c r="B4340" t="s">
        <v>8427</v>
      </c>
      <c r="C4340" t="s">
        <v>10</v>
      </c>
      <c r="D4340" t="s">
        <v>8</v>
      </c>
      <c r="E4340" t="s">
        <v>8</v>
      </c>
      <c r="F4340" t="s">
        <v>5832</v>
      </c>
      <c r="G4340" t="s">
        <v>7214</v>
      </c>
      <c r="H4340" t="s">
        <v>7214</v>
      </c>
      <c r="I4340" t="s">
        <v>5834</v>
      </c>
    </row>
    <row r="4341" spans="1:9" x14ac:dyDescent="0.25">
      <c r="A4341" s="1" t="str">
        <f>HYPERLINK("https://lynxcrm-apac--c.eu19.visual.force.com/0011i000001xnGjAAI","Shenton Family Medical Clinic (AMK)")</f>
        <v>Shenton Family Medical Clinic (AMK)</v>
      </c>
      <c r="B4341" t="s">
        <v>8428</v>
      </c>
      <c r="C4341" t="s">
        <v>10</v>
      </c>
      <c r="D4341" t="s">
        <v>8</v>
      </c>
      <c r="E4341" t="s">
        <v>8</v>
      </c>
      <c r="F4341" t="s">
        <v>6232</v>
      </c>
      <c r="G4341" t="s">
        <v>6232</v>
      </c>
      <c r="H4341" t="s">
        <v>8</v>
      </c>
      <c r="I4341" t="s">
        <v>6234</v>
      </c>
    </row>
    <row r="4342" spans="1:9" x14ac:dyDescent="0.25">
      <c r="A4342" s="1" t="str">
        <f>HYPERLINK("https://lynxcrm-apac--c.eu19.visual.force.com/0011i000001xnLLAAY","Shenton Family Medical Clinic (Clementi)")</f>
        <v>Shenton Family Medical Clinic (Clementi)</v>
      </c>
      <c r="B4342" t="s">
        <v>8429</v>
      </c>
      <c r="C4342" t="s">
        <v>10</v>
      </c>
      <c r="D4342" t="s">
        <v>8</v>
      </c>
      <c r="E4342" t="s">
        <v>8</v>
      </c>
      <c r="F4342" t="s">
        <v>339</v>
      </c>
      <c r="G4342" t="s">
        <v>8430</v>
      </c>
      <c r="H4342" t="s">
        <v>8430</v>
      </c>
      <c r="I4342" t="s">
        <v>338</v>
      </c>
    </row>
    <row r="4343" spans="1:9" x14ac:dyDescent="0.25">
      <c r="A4343" s="1" t="str">
        <f>HYPERLINK("https://lynxcrm-apac--c.eu19.visual.force.com/0011i000001xnBZAAY","Shenton Family Medical Clinic (Tampines)")</f>
        <v>Shenton Family Medical Clinic (Tampines)</v>
      </c>
      <c r="B4343" t="s">
        <v>8431</v>
      </c>
      <c r="C4343" t="s">
        <v>10</v>
      </c>
      <c r="D4343" t="s">
        <v>8</v>
      </c>
      <c r="E4343" t="s">
        <v>8</v>
      </c>
      <c r="F4343" t="s">
        <v>759</v>
      </c>
      <c r="G4343" t="s">
        <v>5478</v>
      </c>
      <c r="H4343" t="s">
        <v>5478</v>
      </c>
      <c r="I4343" t="s">
        <v>762</v>
      </c>
    </row>
    <row r="4344" spans="1:9" x14ac:dyDescent="0.25">
      <c r="A4344" s="1" t="str">
        <f>HYPERLINK("https://lynxcrm-apac--c.eu19.visual.force.com/0011i000001xnEJAAY","Shenton Medial Group")</f>
        <v>Shenton Medial Group</v>
      </c>
      <c r="B4344" t="s">
        <v>8432</v>
      </c>
      <c r="C4344" t="s">
        <v>10</v>
      </c>
      <c r="D4344" t="s">
        <v>8</v>
      </c>
      <c r="E4344" t="s">
        <v>8</v>
      </c>
      <c r="F4344" t="s">
        <v>5632</v>
      </c>
      <c r="G4344" t="s">
        <v>5633</v>
      </c>
      <c r="H4344" t="s">
        <v>5633</v>
      </c>
      <c r="I4344" t="s">
        <v>733</v>
      </c>
    </row>
    <row r="4345" spans="1:9" x14ac:dyDescent="0.25">
      <c r="A4345" s="1" t="str">
        <f>HYPERLINK("https://lynxcrm-apac--c.eu19.visual.force.com/0011i000001xnDWAAY","Shenton Medial Group")</f>
        <v>Shenton Medial Group</v>
      </c>
      <c r="B4345" t="s">
        <v>8433</v>
      </c>
      <c r="C4345" t="s">
        <v>10</v>
      </c>
      <c r="D4345" t="s">
        <v>8</v>
      </c>
      <c r="E4345" t="s">
        <v>8</v>
      </c>
      <c r="F4345" t="s">
        <v>885</v>
      </c>
      <c r="G4345" t="s">
        <v>5519</v>
      </c>
      <c r="H4345" t="s">
        <v>5519</v>
      </c>
      <c r="I4345" t="s">
        <v>5520</v>
      </c>
    </row>
    <row r="4346" spans="1:9" x14ac:dyDescent="0.25">
      <c r="A4346" s="1" t="str">
        <f>HYPERLINK("https://lynxcrm-apac--c.eu19.visual.force.com/0011i000001xmzfAAA","Shenton Medical Clinic")</f>
        <v>Shenton Medical Clinic</v>
      </c>
      <c r="B4346" t="s">
        <v>8434</v>
      </c>
      <c r="C4346" t="s">
        <v>10</v>
      </c>
      <c r="D4346" t="s">
        <v>8</v>
      </c>
      <c r="E4346" t="s">
        <v>8</v>
      </c>
      <c r="F4346" t="s">
        <v>5613</v>
      </c>
      <c r="G4346" t="s">
        <v>5614</v>
      </c>
      <c r="H4346" t="s">
        <v>5614</v>
      </c>
      <c r="I4346" t="s">
        <v>3540</v>
      </c>
    </row>
    <row r="4347" spans="1:9" x14ac:dyDescent="0.25">
      <c r="A4347" s="1" t="str">
        <f>HYPERLINK("https://lynxcrm-apac--c.eu19.visual.force.com/0011i000001xmzgAAA","Shenton Medical Clinic")</f>
        <v>Shenton Medical Clinic</v>
      </c>
      <c r="B4347" t="s">
        <v>8435</v>
      </c>
      <c r="C4347" t="s">
        <v>10</v>
      </c>
      <c r="D4347" t="s">
        <v>8</v>
      </c>
      <c r="E4347" t="s">
        <v>8</v>
      </c>
      <c r="F4347" t="s">
        <v>5613</v>
      </c>
      <c r="G4347" t="s">
        <v>5614</v>
      </c>
      <c r="H4347" t="s">
        <v>5614</v>
      </c>
      <c r="I4347" t="s">
        <v>3540</v>
      </c>
    </row>
    <row r="4348" spans="1:9" x14ac:dyDescent="0.25">
      <c r="A4348" s="1" t="str">
        <f>HYPERLINK("https://lynxcrm-apac--c.eu19.visual.force.com/0011i000001xmliAAA","Shenton Medical Clinic")</f>
        <v>Shenton Medical Clinic</v>
      </c>
      <c r="B4348" t="s">
        <v>8436</v>
      </c>
      <c r="C4348" t="s">
        <v>10</v>
      </c>
      <c r="D4348" t="s">
        <v>8</v>
      </c>
      <c r="E4348" t="s">
        <v>8</v>
      </c>
      <c r="F4348" t="s">
        <v>5613</v>
      </c>
      <c r="G4348" t="s">
        <v>5614</v>
      </c>
      <c r="H4348" t="s">
        <v>5614</v>
      </c>
      <c r="I4348" t="s">
        <v>3540</v>
      </c>
    </row>
    <row r="4349" spans="1:9" x14ac:dyDescent="0.25">
      <c r="A4349" s="1" t="str">
        <f>HYPERLINK("https://lynxcrm-apac--c.eu19.visual.force.com/0011i000001xmoKAAQ","Shenton Medical Group")</f>
        <v>Shenton Medical Group</v>
      </c>
      <c r="B4349" t="s">
        <v>8437</v>
      </c>
      <c r="C4349" t="s">
        <v>10</v>
      </c>
      <c r="D4349" t="s">
        <v>8</v>
      </c>
      <c r="E4349" t="s">
        <v>8</v>
      </c>
      <c r="F4349" t="s">
        <v>2099</v>
      </c>
      <c r="G4349" t="s">
        <v>2100</v>
      </c>
      <c r="H4349" t="s">
        <v>2100</v>
      </c>
      <c r="I4349" t="s">
        <v>2101</v>
      </c>
    </row>
    <row r="4350" spans="1:9" x14ac:dyDescent="0.25">
      <c r="A4350" s="1" t="str">
        <f>HYPERLINK("https://lynxcrm-apac--c.eu19.visual.force.com/0011i000001xn7OAAQ","Shenton Medical Group")</f>
        <v>Shenton Medical Group</v>
      </c>
      <c r="B4350" t="s">
        <v>8438</v>
      </c>
      <c r="C4350" t="s">
        <v>10</v>
      </c>
      <c r="D4350" t="s">
        <v>8</v>
      </c>
      <c r="E4350" t="s">
        <v>8</v>
      </c>
      <c r="F4350" t="s">
        <v>2099</v>
      </c>
      <c r="G4350" t="s">
        <v>8439</v>
      </c>
      <c r="H4350" t="s">
        <v>8439</v>
      </c>
      <c r="I4350" t="s">
        <v>2101</v>
      </c>
    </row>
    <row r="4351" spans="1:9" x14ac:dyDescent="0.25">
      <c r="A4351" s="1" t="str">
        <f>HYPERLINK("https://lynxcrm-apac--c.eu19.visual.force.com/0011i000001xnLIAAY","Shenton Medical Group")</f>
        <v>Shenton Medical Group</v>
      </c>
      <c r="B4351" t="s">
        <v>8440</v>
      </c>
      <c r="C4351" t="s">
        <v>10</v>
      </c>
      <c r="D4351" t="s">
        <v>8</v>
      </c>
      <c r="E4351" t="s">
        <v>8</v>
      </c>
      <c r="F4351" t="s">
        <v>579</v>
      </c>
      <c r="G4351" t="s">
        <v>580</v>
      </c>
      <c r="H4351" t="s">
        <v>580</v>
      </c>
      <c r="I4351" t="s">
        <v>581</v>
      </c>
    </row>
    <row r="4352" spans="1:9" x14ac:dyDescent="0.25">
      <c r="A4352" s="1" t="str">
        <f>HYPERLINK("https://lynxcrm-apac--c.eu19.visual.force.com/0011i000001xmvVAAQ","Shenton Medical Group")</f>
        <v>Shenton Medical Group</v>
      </c>
      <c r="B4352" t="s">
        <v>8441</v>
      </c>
      <c r="C4352" t="s">
        <v>10</v>
      </c>
      <c r="D4352" t="s">
        <v>8</v>
      </c>
      <c r="E4352" t="s">
        <v>8</v>
      </c>
      <c r="F4352" t="s">
        <v>5632</v>
      </c>
      <c r="G4352" t="s">
        <v>5633</v>
      </c>
      <c r="H4352" t="s">
        <v>5633</v>
      </c>
      <c r="I4352" t="s">
        <v>733</v>
      </c>
    </row>
    <row r="4353" spans="1:9" x14ac:dyDescent="0.25">
      <c r="A4353" s="1" t="str">
        <f>HYPERLINK("https://lynxcrm-apac--c.eu19.visual.force.com/0011i000001xnGCAAY","Shenton Medical Group")</f>
        <v>Shenton Medical Group</v>
      </c>
      <c r="B4353" t="s">
        <v>8442</v>
      </c>
      <c r="C4353" t="s">
        <v>10</v>
      </c>
      <c r="D4353" t="s">
        <v>8</v>
      </c>
      <c r="E4353" t="s">
        <v>8</v>
      </c>
      <c r="F4353" t="s">
        <v>4091</v>
      </c>
      <c r="G4353" t="s">
        <v>8443</v>
      </c>
      <c r="H4353" t="s">
        <v>8443</v>
      </c>
      <c r="I4353" t="s">
        <v>4093</v>
      </c>
    </row>
    <row r="4354" spans="1:9" x14ac:dyDescent="0.25">
      <c r="A4354" s="1" t="str">
        <f>HYPERLINK("https://lynxcrm-apac--c.eu19.visual.force.com/0011i000001xmm1AAA","Shenton Medical Group")</f>
        <v>Shenton Medical Group</v>
      </c>
      <c r="B4354" t="s">
        <v>8444</v>
      </c>
      <c r="C4354" t="s">
        <v>10</v>
      </c>
      <c r="D4354" t="s">
        <v>8</v>
      </c>
      <c r="E4354" t="s">
        <v>8</v>
      </c>
      <c r="F4354" t="s">
        <v>1874</v>
      </c>
      <c r="G4354" t="s">
        <v>1875</v>
      </c>
      <c r="H4354" t="s">
        <v>1875</v>
      </c>
      <c r="I4354" t="s">
        <v>1876</v>
      </c>
    </row>
    <row r="4355" spans="1:9" x14ac:dyDescent="0.25">
      <c r="A4355" s="1" t="str">
        <f>HYPERLINK("https://lynxcrm-apac--c.eu19.visual.force.com/0011i000001xmoNAAQ","Shenton Medical Group")</f>
        <v>Shenton Medical Group</v>
      </c>
      <c r="B4355" t="s">
        <v>8445</v>
      </c>
      <c r="C4355" t="s">
        <v>10</v>
      </c>
      <c r="D4355" t="s">
        <v>8</v>
      </c>
      <c r="E4355" t="s">
        <v>8</v>
      </c>
      <c r="F4355" t="s">
        <v>8446</v>
      </c>
      <c r="G4355" t="s">
        <v>8447</v>
      </c>
      <c r="H4355" t="s">
        <v>8447</v>
      </c>
      <c r="I4355" t="s">
        <v>8448</v>
      </c>
    </row>
    <row r="4356" spans="1:9" x14ac:dyDescent="0.25">
      <c r="A4356" s="1" t="str">
        <f>HYPERLINK("https://lynxcrm-apac--c.eu19.visual.force.com/0011i000001xmvwAAA","Shenton Medical Group")</f>
        <v>Shenton Medical Group</v>
      </c>
      <c r="B4356" t="s">
        <v>8449</v>
      </c>
      <c r="C4356" t="s">
        <v>10</v>
      </c>
      <c r="D4356" t="s">
        <v>8</v>
      </c>
      <c r="E4356" t="s">
        <v>8</v>
      </c>
      <c r="F4356" t="s">
        <v>5561</v>
      </c>
      <c r="G4356" t="s">
        <v>3360</v>
      </c>
      <c r="H4356" t="s">
        <v>3360</v>
      </c>
      <c r="I4356" t="s">
        <v>1994</v>
      </c>
    </row>
    <row r="4357" spans="1:9" x14ac:dyDescent="0.25">
      <c r="A4357" s="1" t="str">
        <f>HYPERLINK("https://lynxcrm-apac--c.eu19.visual.force.com/0011i000001xmjbAAA","Shenton Medical Group")</f>
        <v>Shenton Medical Group</v>
      </c>
      <c r="B4357" t="s">
        <v>8450</v>
      </c>
      <c r="C4357" t="s">
        <v>10</v>
      </c>
      <c r="D4357" t="s">
        <v>8</v>
      </c>
      <c r="E4357" t="s">
        <v>8</v>
      </c>
      <c r="F4357" t="s">
        <v>730</v>
      </c>
      <c r="G4357" t="s">
        <v>731</v>
      </c>
      <c r="H4357" t="s">
        <v>732</v>
      </c>
      <c r="I4357" t="s">
        <v>733</v>
      </c>
    </row>
    <row r="4358" spans="1:9" x14ac:dyDescent="0.25">
      <c r="A4358" s="1" t="str">
        <f>HYPERLINK("https://lynxcrm-apac--c.eu19.visual.force.com/0011i000001xmyMAAQ","Shenton Medical Group")</f>
        <v>Shenton Medical Group</v>
      </c>
      <c r="B4358" t="s">
        <v>8451</v>
      </c>
      <c r="C4358" t="s">
        <v>10</v>
      </c>
      <c r="D4358" t="s">
        <v>8</v>
      </c>
      <c r="E4358" t="s">
        <v>8</v>
      </c>
      <c r="F4358" t="s">
        <v>5632</v>
      </c>
      <c r="G4358" t="s">
        <v>5633</v>
      </c>
      <c r="H4358" t="s">
        <v>5633</v>
      </c>
      <c r="I4358" t="s">
        <v>733</v>
      </c>
    </row>
    <row r="4359" spans="1:9" x14ac:dyDescent="0.25">
      <c r="A4359" s="1" t="str">
        <f>HYPERLINK("https://lynxcrm-apac--c.eu19.visual.force.com/0011i000001xnEpAAI","Shenton Medical Group")</f>
        <v>Shenton Medical Group</v>
      </c>
      <c r="B4359" t="s">
        <v>8452</v>
      </c>
      <c r="C4359" t="s">
        <v>10</v>
      </c>
      <c r="D4359" t="s">
        <v>8</v>
      </c>
      <c r="E4359" t="s">
        <v>8</v>
      </c>
      <c r="F4359" t="s">
        <v>8453</v>
      </c>
      <c r="G4359" t="s">
        <v>8454</v>
      </c>
      <c r="H4359" t="s">
        <v>732</v>
      </c>
      <c r="I4359" t="s">
        <v>2840</v>
      </c>
    </row>
    <row r="4360" spans="1:9" x14ac:dyDescent="0.25">
      <c r="A4360" s="1" t="str">
        <f>HYPERLINK("https://lynxcrm-apac--c.eu19.visual.force.com/0011i000001xmrOAAQ","Shenton Medical Group")</f>
        <v>Shenton Medical Group</v>
      </c>
      <c r="B4360" t="s">
        <v>8455</v>
      </c>
      <c r="C4360" t="s">
        <v>10</v>
      </c>
      <c r="D4360" t="s">
        <v>8</v>
      </c>
      <c r="E4360" t="s">
        <v>8</v>
      </c>
      <c r="F4360" t="s">
        <v>8456</v>
      </c>
      <c r="G4360" t="s">
        <v>8457</v>
      </c>
      <c r="H4360" t="s">
        <v>732</v>
      </c>
      <c r="I4360" t="s">
        <v>1643</v>
      </c>
    </row>
    <row r="4361" spans="1:9" x14ac:dyDescent="0.25">
      <c r="A4361" s="1" t="str">
        <f>HYPERLINK("https://lynxcrm-apac--c.eu19.visual.force.com/0011i000001xmuDAAQ","Shenton Medical Group")</f>
        <v>Shenton Medical Group</v>
      </c>
      <c r="B4361" t="s">
        <v>8458</v>
      </c>
      <c r="C4361" t="s">
        <v>10</v>
      </c>
      <c r="D4361" t="s">
        <v>8</v>
      </c>
      <c r="E4361" t="s">
        <v>8</v>
      </c>
      <c r="F4361" t="s">
        <v>730</v>
      </c>
      <c r="G4361" t="s">
        <v>731</v>
      </c>
      <c r="H4361" t="s">
        <v>731</v>
      </c>
      <c r="I4361" t="s">
        <v>733</v>
      </c>
    </row>
    <row r="4362" spans="1:9" x14ac:dyDescent="0.25">
      <c r="A4362" s="1" t="str">
        <f>HYPERLINK("https://lynxcrm-apac--c.eu19.visual.force.com/0011i000001xmy3AAA","Shenton Medical Group")</f>
        <v>Shenton Medical Group</v>
      </c>
      <c r="B4362" t="s">
        <v>8459</v>
      </c>
      <c r="C4362" t="s">
        <v>10</v>
      </c>
      <c r="D4362" t="s">
        <v>8</v>
      </c>
      <c r="E4362" t="s">
        <v>8</v>
      </c>
      <c r="F4362" t="s">
        <v>2837</v>
      </c>
      <c r="G4362" t="s">
        <v>8460</v>
      </c>
      <c r="H4362" t="s">
        <v>8460</v>
      </c>
      <c r="I4362" t="s">
        <v>2840</v>
      </c>
    </row>
    <row r="4363" spans="1:9" x14ac:dyDescent="0.25">
      <c r="A4363" s="1" t="str">
        <f>HYPERLINK("https://lynxcrm-apac--c.eu19.visual.force.com/0011i000001xmy6AAA","Shenton Medical Group")</f>
        <v>Shenton Medical Group</v>
      </c>
      <c r="B4363" t="s">
        <v>8461</v>
      </c>
      <c r="C4363" t="s">
        <v>10</v>
      </c>
      <c r="D4363" t="s">
        <v>8</v>
      </c>
      <c r="E4363" t="s">
        <v>8</v>
      </c>
      <c r="F4363" t="s">
        <v>8462</v>
      </c>
      <c r="G4363" t="s">
        <v>8463</v>
      </c>
      <c r="H4363" t="s">
        <v>8463</v>
      </c>
      <c r="I4363" t="s">
        <v>8464</v>
      </c>
    </row>
    <row r="4364" spans="1:9" x14ac:dyDescent="0.25">
      <c r="A4364" s="1" t="str">
        <f>HYPERLINK("https://lynxcrm-apac--c.eu19.visual.force.com/0011i000001xn75AAA","Shenton Medical Group")</f>
        <v>Shenton Medical Group</v>
      </c>
      <c r="B4364" t="s">
        <v>8465</v>
      </c>
      <c r="C4364" t="s">
        <v>10</v>
      </c>
      <c r="D4364" t="s">
        <v>8</v>
      </c>
      <c r="E4364" t="s">
        <v>8</v>
      </c>
      <c r="F4364" t="s">
        <v>5613</v>
      </c>
      <c r="G4364" t="s">
        <v>5614</v>
      </c>
      <c r="H4364" t="s">
        <v>5614</v>
      </c>
      <c r="I4364" t="s">
        <v>3540</v>
      </c>
    </row>
    <row r="4365" spans="1:9" x14ac:dyDescent="0.25">
      <c r="A4365" s="1" t="str">
        <f>HYPERLINK("https://lynxcrm-apac--c.eu19.visual.force.com/0011i000001xncOAAQ","Shenton Medical Group")</f>
        <v>Shenton Medical Group</v>
      </c>
      <c r="B4365" t="s">
        <v>8466</v>
      </c>
      <c r="C4365" t="s">
        <v>10</v>
      </c>
      <c r="D4365" t="s">
        <v>8</v>
      </c>
      <c r="E4365" t="s">
        <v>8</v>
      </c>
      <c r="F4365" t="s">
        <v>1874</v>
      </c>
      <c r="G4365" t="s">
        <v>1875</v>
      </c>
      <c r="H4365" t="s">
        <v>1875</v>
      </c>
      <c r="I4365" t="s">
        <v>1876</v>
      </c>
    </row>
    <row r="4366" spans="1:9" x14ac:dyDescent="0.25">
      <c r="A4366" s="1" t="str">
        <f>HYPERLINK("https://lynxcrm-apac--c.eu19.visual.force.com/0011i00000vyv47AAA","Shenton Medical Group - Yishun Ring")</f>
        <v>Shenton Medical Group - Yishun Ring</v>
      </c>
      <c r="B4366" t="s">
        <v>8467</v>
      </c>
      <c r="C4366" t="s">
        <v>10</v>
      </c>
      <c r="D4366" t="s">
        <v>8</v>
      </c>
      <c r="E4366" t="s">
        <v>8</v>
      </c>
      <c r="F4366" t="s">
        <v>8468</v>
      </c>
      <c r="G4366" t="s">
        <v>8469</v>
      </c>
      <c r="H4366" t="s">
        <v>8</v>
      </c>
      <c r="I4366" t="s">
        <v>8470</v>
      </c>
    </row>
    <row r="4367" spans="1:9" x14ac:dyDescent="0.25">
      <c r="A4367" s="1" t="str">
        <f>HYPERLINK("https://lynxcrm-apac--c.eu19.visual.force.com/0011i000001xoNyAAI","Sheppards, Mark")</f>
        <v>Sheppards, Mark</v>
      </c>
      <c r="B4367" t="s">
        <v>8471</v>
      </c>
      <c r="C4367" t="s">
        <v>28</v>
      </c>
      <c r="D4367" t="s">
        <v>5948</v>
      </c>
      <c r="E4367" t="s">
        <v>8</v>
      </c>
      <c r="F4367" t="s">
        <v>272</v>
      </c>
      <c r="G4367" t="s">
        <v>277</v>
      </c>
      <c r="H4367" t="s">
        <v>277</v>
      </c>
      <c r="I4367" t="s">
        <v>275</v>
      </c>
    </row>
    <row r="4368" spans="1:9" x14ac:dyDescent="0.25">
      <c r="A4368" s="1" t="str">
        <f>HYPERLINK("https://lynxcrm-apac--c.eu19.visual.force.com/0011i00000w07ZkAAI","Sher, Lynn Poon")</f>
        <v>Sher, Lynn Poon</v>
      </c>
      <c r="B4368" t="s">
        <v>8472</v>
      </c>
      <c r="C4368" t="s">
        <v>28</v>
      </c>
      <c r="D4368" t="s">
        <v>8</v>
      </c>
      <c r="E4368" t="s">
        <v>8</v>
      </c>
      <c r="F4368" t="s">
        <v>710</v>
      </c>
      <c r="G4368" t="s">
        <v>710</v>
      </c>
      <c r="H4368" t="s">
        <v>1474</v>
      </c>
      <c r="I4368" t="s">
        <v>711</v>
      </c>
    </row>
    <row r="4369" spans="1:9" x14ac:dyDescent="0.25">
      <c r="A4369" s="1" t="str">
        <f>HYPERLINK("https://lynxcrm-apac--c.eu19.visual.force.com/0011i000001xnwJAAQ","Shi, Jin")</f>
        <v>Shi, Jin</v>
      </c>
      <c r="B4369" t="s">
        <v>8473</v>
      </c>
      <c r="C4369" t="s">
        <v>28</v>
      </c>
      <c r="D4369" t="s">
        <v>429</v>
      </c>
      <c r="E4369" t="s">
        <v>8</v>
      </c>
      <c r="F4369" t="s">
        <v>428</v>
      </c>
      <c r="G4369" t="s">
        <v>428</v>
      </c>
      <c r="H4369" t="s">
        <v>1320</v>
      </c>
      <c r="I4369" t="s">
        <v>430</v>
      </c>
    </row>
    <row r="4370" spans="1:9" x14ac:dyDescent="0.25">
      <c r="A4370" s="1" t="str">
        <f>HYPERLINK("https://lynxcrm-apac--c.eu19.visual.force.com/0011i000001xnwJAAQ","Shi, Jin")</f>
        <v>Shi, Jin</v>
      </c>
      <c r="B4370" t="s">
        <v>8473</v>
      </c>
      <c r="C4370" t="s">
        <v>28</v>
      </c>
      <c r="D4370" t="s">
        <v>429</v>
      </c>
      <c r="E4370" t="s">
        <v>8</v>
      </c>
      <c r="F4370" t="s">
        <v>429</v>
      </c>
      <c r="G4370" t="s">
        <v>428</v>
      </c>
      <c r="H4370" t="s">
        <v>428</v>
      </c>
      <c r="I4370" t="s">
        <v>430</v>
      </c>
    </row>
    <row r="4371" spans="1:9" x14ac:dyDescent="0.25">
      <c r="A4371" s="1" t="str">
        <f>HYPERLINK("https://lynxcrm-apac--c.eu19.visual.force.com/0011i000001xnwJAAQ","Shi, Jin")</f>
        <v>Shi, Jin</v>
      </c>
      <c r="B4371" t="s">
        <v>8473</v>
      </c>
      <c r="C4371" t="s">
        <v>28</v>
      </c>
      <c r="D4371" t="s">
        <v>429</v>
      </c>
      <c r="E4371" t="s">
        <v>8</v>
      </c>
      <c r="F4371" t="s">
        <v>444</v>
      </c>
      <c r="G4371" t="s">
        <v>444</v>
      </c>
      <c r="H4371" t="s">
        <v>8</v>
      </c>
      <c r="I4371" t="s">
        <v>430</v>
      </c>
    </row>
    <row r="4372" spans="1:9" x14ac:dyDescent="0.25">
      <c r="A4372" s="1" t="str">
        <f>HYPERLINK("https://lynxcrm-apac--c.eu19.visual.force.com/0011i000001xnwJAAQ","Shi, Jin")</f>
        <v>Shi, Jin</v>
      </c>
      <c r="B4372" t="s">
        <v>8473</v>
      </c>
      <c r="C4372" t="s">
        <v>28</v>
      </c>
      <c r="D4372" t="s">
        <v>429</v>
      </c>
      <c r="E4372" t="s">
        <v>8</v>
      </c>
      <c r="F4372" t="s">
        <v>445</v>
      </c>
      <c r="G4372" t="s">
        <v>428</v>
      </c>
      <c r="H4372" t="s">
        <v>428</v>
      </c>
      <c r="I4372" t="s">
        <v>430</v>
      </c>
    </row>
    <row r="4373" spans="1:9" x14ac:dyDescent="0.25">
      <c r="A4373" s="1" t="str">
        <f>HYPERLINK("https://lynxcrm-apac--c.eu19.visual.force.com/0011i000001xnwJAAQ","Shi, Jin")</f>
        <v>Shi, Jin</v>
      </c>
      <c r="B4373" t="s">
        <v>8473</v>
      </c>
      <c r="C4373" t="s">
        <v>28</v>
      </c>
      <c r="D4373" t="s">
        <v>429</v>
      </c>
      <c r="E4373" t="s">
        <v>8</v>
      </c>
      <c r="F4373" t="s">
        <v>444</v>
      </c>
      <c r="G4373" t="s">
        <v>444</v>
      </c>
      <c r="H4373" t="s">
        <v>8</v>
      </c>
      <c r="I4373" t="s">
        <v>8</v>
      </c>
    </row>
    <row r="4374" spans="1:9" x14ac:dyDescent="0.25">
      <c r="A4374" s="1" t="str">
        <f>HYPERLINK("https://lynxcrm-apac--c.eu19.visual.force.com/0011i000001xn26AAA","Shifa Clinic &amp; Surgery")</f>
        <v>Shifa Clinic &amp; Surgery</v>
      </c>
      <c r="B4374" t="s">
        <v>8474</v>
      </c>
      <c r="C4374" t="s">
        <v>10</v>
      </c>
      <c r="D4374" t="s">
        <v>8</v>
      </c>
      <c r="E4374" t="s">
        <v>8</v>
      </c>
      <c r="F4374" t="s">
        <v>638</v>
      </c>
      <c r="G4374" t="s">
        <v>639</v>
      </c>
      <c r="H4374" t="s">
        <v>639</v>
      </c>
      <c r="I4374" t="s">
        <v>640</v>
      </c>
    </row>
    <row r="4375" spans="1:9" x14ac:dyDescent="0.25">
      <c r="A4375" s="1" t="str">
        <f>HYPERLINK("https://lynxcrm-apac--c.eu19.visual.force.com/0011i000001xmq3AAA","Shifa Clinic &amp; Surgery")</f>
        <v>Shifa Clinic &amp; Surgery</v>
      </c>
      <c r="B4375" t="s">
        <v>8475</v>
      </c>
      <c r="C4375" t="s">
        <v>10</v>
      </c>
      <c r="D4375" t="s">
        <v>8</v>
      </c>
      <c r="E4375" t="s">
        <v>8</v>
      </c>
      <c r="F4375" t="s">
        <v>638</v>
      </c>
      <c r="G4375" t="s">
        <v>1515</v>
      </c>
      <c r="H4375" t="s">
        <v>1515</v>
      </c>
      <c r="I4375" t="s">
        <v>640</v>
      </c>
    </row>
    <row r="4376" spans="1:9" x14ac:dyDescent="0.25">
      <c r="A4376" s="1" t="str">
        <f>HYPERLINK("https://lynxcrm-apac--c.eu19.visual.force.com/0011i00000oVWa9AAG","Shim, Hang Hock")</f>
        <v>Shim, Hang Hock</v>
      </c>
      <c r="B4376" t="s">
        <v>8476</v>
      </c>
      <c r="C4376" t="s">
        <v>28</v>
      </c>
      <c r="D4376" t="s">
        <v>8477</v>
      </c>
      <c r="E4376" t="s">
        <v>8</v>
      </c>
      <c r="F4376" t="s">
        <v>3830</v>
      </c>
      <c r="G4376" t="s">
        <v>3831</v>
      </c>
      <c r="H4376" t="s">
        <v>3831</v>
      </c>
      <c r="I4376" t="s">
        <v>344</v>
      </c>
    </row>
    <row r="4377" spans="1:9" x14ac:dyDescent="0.25">
      <c r="A4377" s="1" t="str">
        <f>HYPERLINK("https://lynxcrm-apac--c.eu19.visual.force.com/0011i000001xnQmAAI","Shim Clinic")</f>
        <v>Shim Clinic</v>
      </c>
      <c r="B4377" t="s">
        <v>8478</v>
      </c>
      <c r="C4377" t="s">
        <v>10</v>
      </c>
      <c r="D4377" t="s">
        <v>8</v>
      </c>
      <c r="E4377" t="s">
        <v>8</v>
      </c>
      <c r="F4377" t="s">
        <v>8479</v>
      </c>
      <c r="G4377" t="s">
        <v>8480</v>
      </c>
      <c r="H4377" t="s">
        <v>8481</v>
      </c>
      <c r="I4377" t="s">
        <v>3074</v>
      </c>
    </row>
    <row r="4378" spans="1:9" x14ac:dyDescent="0.25">
      <c r="A4378" s="1" t="str">
        <f>HYPERLINK("https://lynxcrm-apac--c.eu19.visual.force.com/0011i000001xn9yAAA","S H Kee Clinic For Women")</f>
        <v>S H Kee Clinic For Women</v>
      </c>
      <c r="B4378" t="s">
        <v>8482</v>
      </c>
      <c r="C4378" t="s">
        <v>10</v>
      </c>
      <c r="D4378" t="s">
        <v>8</v>
      </c>
      <c r="E4378" t="s">
        <v>8</v>
      </c>
      <c r="F4378" t="s">
        <v>8483</v>
      </c>
      <c r="G4378" t="s">
        <v>8484</v>
      </c>
      <c r="H4378" t="s">
        <v>8485</v>
      </c>
      <c r="I4378" t="s">
        <v>8486</v>
      </c>
    </row>
    <row r="4379" spans="1:9" x14ac:dyDescent="0.25">
      <c r="A4379" s="1" t="str">
        <f>HYPERLINK("https://lynxcrm-apac--c.eu19.visual.force.com/0011i000001xnqIAAQ","Shwe, Tin")</f>
        <v>Shwe, Tin</v>
      </c>
      <c r="B4379" t="s">
        <v>8487</v>
      </c>
      <c r="C4379" t="s">
        <v>28</v>
      </c>
      <c r="D4379" t="s">
        <v>8488</v>
      </c>
      <c r="E4379" t="s">
        <v>8</v>
      </c>
      <c r="F4379" t="s">
        <v>6808</v>
      </c>
      <c r="G4379" t="s">
        <v>6809</v>
      </c>
      <c r="H4379" t="s">
        <v>6810</v>
      </c>
      <c r="I4379" t="s">
        <v>175</v>
      </c>
    </row>
    <row r="4380" spans="1:9" x14ac:dyDescent="0.25">
      <c r="A4380" s="1" t="str">
        <f>HYPERLINK("https://lynxcrm-apac--c.eu19.visual.force.com/0011i000001xoIxAAI","Shyam, Ayyachamy")</f>
        <v>Shyam, Ayyachamy</v>
      </c>
      <c r="B4380" t="s">
        <v>8489</v>
      </c>
      <c r="C4380" t="s">
        <v>28</v>
      </c>
      <c r="D4380" t="s">
        <v>429</v>
      </c>
      <c r="E4380" t="s">
        <v>8</v>
      </c>
      <c r="F4380" t="s">
        <v>444</v>
      </c>
      <c r="G4380" t="s">
        <v>444</v>
      </c>
      <c r="H4380" t="s">
        <v>8</v>
      </c>
      <c r="I4380" t="s">
        <v>430</v>
      </c>
    </row>
    <row r="4381" spans="1:9" x14ac:dyDescent="0.25">
      <c r="A4381" s="1" t="str">
        <f>HYPERLINK("https://lynxcrm-apac--c.eu19.visual.force.com/0011i000001xoHXAAY","Sia, Chong Ming")</f>
        <v>Sia, Chong Ming</v>
      </c>
      <c r="B4381" t="s">
        <v>8490</v>
      </c>
      <c r="C4381" t="s">
        <v>28</v>
      </c>
      <c r="D4381" t="s">
        <v>8491</v>
      </c>
      <c r="E4381" t="s">
        <v>8</v>
      </c>
      <c r="F4381" t="s">
        <v>8492</v>
      </c>
      <c r="G4381" t="s">
        <v>3660</v>
      </c>
      <c r="H4381" t="s">
        <v>3660</v>
      </c>
      <c r="I4381" t="s">
        <v>3661</v>
      </c>
    </row>
    <row r="4382" spans="1:9" x14ac:dyDescent="0.25">
      <c r="A4382" s="1" t="str">
        <f>HYPERLINK("https://lynxcrm-apac--c.eu19.visual.force.com/0011i000007FFdmAAG","Sia, Jia Wei")</f>
        <v>Sia, Jia Wei</v>
      </c>
      <c r="B4382" t="s">
        <v>8493</v>
      </c>
      <c r="C4382" t="s">
        <v>28</v>
      </c>
      <c r="D4382" t="s">
        <v>8</v>
      </c>
      <c r="E4382" t="s">
        <v>8</v>
      </c>
      <c r="F4382" t="s">
        <v>8</v>
      </c>
      <c r="G4382" t="s">
        <v>8</v>
      </c>
      <c r="H4382" t="s">
        <v>8</v>
      </c>
      <c r="I4382" t="s">
        <v>8</v>
      </c>
    </row>
    <row r="4383" spans="1:9" x14ac:dyDescent="0.25">
      <c r="A4383" s="1" t="str">
        <f>HYPERLINK("https://lynxcrm-apac--c.eu19.visual.force.com/0011i000001xmjXAAQ","Sia &amp; Yeo Family Clinic")</f>
        <v>Sia &amp; Yeo Family Clinic</v>
      </c>
      <c r="B4383" t="s">
        <v>8494</v>
      </c>
      <c r="C4383" t="s">
        <v>10</v>
      </c>
      <c r="D4383" t="s">
        <v>8</v>
      </c>
      <c r="E4383" t="s">
        <v>8</v>
      </c>
      <c r="F4383" t="s">
        <v>8492</v>
      </c>
      <c r="G4383" t="s">
        <v>3660</v>
      </c>
      <c r="H4383" t="s">
        <v>8495</v>
      </c>
      <c r="I4383" t="s">
        <v>3661</v>
      </c>
    </row>
    <row r="4384" spans="1:9" x14ac:dyDescent="0.25">
      <c r="A4384" s="1" t="str">
        <f>HYPERLINK("https://lynxcrm-apac--c.eu19.visual.force.com/0011i000001xnKpAAI","Sia &amp; Yeo Family Clinic")</f>
        <v>Sia &amp; Yeo Family Clinic</v>
      </c>
      <c r="B4384" t="s">
        <v>8496</v>
      </c>
      <c r="C4384" t="s">
        <v>10</v>
      </c>
      <c r="D4384" t="s">
        <v>8</v>
      </c>
      <c r="E4384" t="s">
        <v>8</v>
      </c>
      <c r="F4384" t="s">
        <v>8492</v>
      </c>
      <c r="G4384" t="s">
        <v>3660</v>
      </c>
      <c r="H4384" t="s">
        <v>3660</v>
      </c>
      <c r="I4384" t="s">
        <v>3661</v>
      </c>
    </row>
    <row r="4385" spans="1:9" x14ac:dyDescent="0.25">
      <c r="A4385" s="1" t="str">
        <f>HYPERLINK("https://lynxcrm-apac--c.eu19.visual.force.com/0011i000001xnU5AAI","Sia Family Clinic &amp; Surgery")</f>
        <v>Sia Family Clinic &amp; Surgery</v>
      </c>
      <c r="B4385" t="s">
        <v>8497</v>
      </c>
      <c r="C4385" t="s">
        <v>10</v>
      </c>
      <c r="D4385" t="s">
        <v>8</v>
      </c>
      <c r="E4385" t="s">
        <v>8</v>
      </c>
      <c r="F4385" t="s">
        <v>8498</v>
      </c>
      <c r="G4385" t="s">
        <v>8499</v>
      </c>
      <c r="H4385" t="s">
        <v>8499</v>
      </c>
      <c r="I4385" t="s">
        <v>8500</v>
      </c>
    </row>
    <row r="4386" spans="1:9" x14ac:dyDescent="0.25">
      <c r="A4386" s="1" t="str">
        <f>HYPERLINK("https://lynxcrm-apac--c.eu19.visual.force.com/0011i000001xogFAAQ","Siah, Kristin")</f>
        <v>Siah, Kristin</v>
      </c>
      <c r="B4386" t="s">
        <v>8501</v>
      </c>
      <c r="C4386" t="s">
        <v>28</v>
      </c>
      <c r="D4386" t="s">
        <v>3086</v>
      </c>
      <c r="E4386" t="s">
        <v>8</v>
      </c>
      <c r="F4386" t="s">
        <v>8502</v>
      </c>
      <c r="G4386" t="s">
        <v>8503</v>
      </c>
      <c r="H4386" t="s">
        <v>8503</v>
      </c>
      <c r="I4386" t="s">
        <v>8504</v>
      </c>
    </row>
    <row r="4387" spans="1:9" x14ac:dyDescent="0.25">
      <c r="A4387" s="1" t="str">
        <f>HYPERLINK("https://lynxcrm-apac--c.eu19.visual.force.com/0011i00000tW5UeAAK","Siau, Kai Rong")</f>
        <v>Siau, Kai Rong</v>
      </c>
      <c r="B4387" t="s">
        <v>8505</v>
      </c>
      <c r="C4387" t="s">
        <v>28</v>
      </c>
      <c r="D4387" t="s">
        <v>1462</v>
      </c>
      <c r="E4387" t="s">
        <v>8</v>
      </c>
      <c r="F4387" t="s">
        <v>1463</v>
      </c>
      <c r="G4387" t="s">
        <v>1464</v>
      </c>
      <c r="H4387" t="s">
        <v>8</v>
      </c>
      <c r="I4387" t="s">
        <v>1465</v>
      </c>
    </row>
    <row r="4388" spans="1:9" x14ac:dyDescent="0.25">
      <c r="A4388" s="1" t="str">
        <f>HYPERLINK("https://lynxcrm-apac--c.eu19.visual.force.com/0011i000007DbXfAAK","Siau, Kao Kong")</f>
        <v>Siau, Kao Kong</v>
      </c>
      <c r="B4388" t="s">
        <v>8506</v>
      </c>
      <c r="C4388" t="s">
        <v>28</v>
      </c>
      <c r="D4388" t="s">
        <v>1462</v>
      </c>
      <c r="E4388" t="s">
        <v>8</v>
      </c>
      <c r="F4388" t="s">
        <v>1463</v>
      </c>
      <c r="G4388" t="s">
        <v>1464</v>
      </c>
      <c r="H4388" t="s">
        <v>8</v>
      </c>
      <c r="I4388" t="s">
        <v>1465</v>
      </c>
    </row>
    <row r="4389" spans="1:9" x14ac:dyDescent="0.25">
      <c r="A4389" s="1" t="str">
        <f>HYPERLINK("https://lynxcrm-apac--c.eu19.visual.force.com/0011i000001xnqMAAQ","Sidhu, Harbans")</f>
        <v>Sidhu, Harbans</v>
      </c>
      <c r="B4389" t="s">
        <v>8507</v>
      </c>
      <c r="C4389" t="s">
        <v>28</v>
      </c>
      <c r="D4389" t="s">
        <v>8508</v>
      </c>
      <c r="E4389" t="s">
        <v>8</v>
      </c>
      <c r="F4389" t="s">
        <v>2901</v>
      </c>
      <c r="G4389" t="s">
        <v>2902</v>
      </c>
      <c r="H4389" t="s">
        <v>2903</v>
      </c>
      <c r="I4389" t="s">
        <v>2904</v>
      </c>
    </row>
    <row r="4390" spans="1:9" x14ac:dyDescent="0.25">
      <c r="A4390" s="1" t="str">
        <f>HYPERLINK("https://lynxcrm-apac--c.eu19.visual.force.com/0011i000001xnqNAAQ","Sie, Shin Min Paul Timothy")</f>
        <v>Sie, Shin Min Paul Timothy</v>
      </c>
      <c r="B4390" t="s">
        <v>8509</v>
      </c>
      <c r="C4390" t="s">
        <v>28</v>
      </c>
      <c r="D4390" t="s">
        <v>8510</v>
      </c>
      <c r="E4390" t="s">
        <v>8</v>
      </c>
      <c r="F4390" t="s">
        <v>2287</v>
      </c>
      <c r="G4390" t="s">
        <v>706</v>
      </c>
      <c r="H4390" t="s">
        <v>706</v>
      </c>
      <c r="I4390" t="s">
        <v>543</v>
      </c>
    </row>
    <row r="4391" spans="1:9" x14ac:dyDescent="0.25">
      <c r="A4391" s="1" t="str">
        <f>HYPERLINK("https://lynxcrm-apac--c.eu19.visual.force.com/0011i000001xnqOAAQ","Siew, Boon Liong Glenn")</f>
        <v>Siew, Boon Liong Glenn</v>
      </c>
      <c r="B4391" t="s">
        <v>8511</v>
      </c>
      <c r="C4391" t="s">
        <v>28</v>
      </c>
      <c r="D4391" t="s">
        <v>8512</v>
      </c>
      <c r="E4391" t="s">
        <v>8</v>
      </c>
      <c r="F4391" t="s">
        <v>8513</v>
      </c>
      <c r="G4391" t="s">
        <v>2940</v>
      </c>
      <c r="H4391" t="s">
        <v>8514</v>
      </c>
      <c r="I4391" t="s">
        <v>8515</v>
      </c>
    </row>
    <row r="4392" spans="1:9" x14ac:dyDescent="0.25">
      <c r="A4392" s="1" t="str">
        <f>HYPERLINK("https://lynxcrm-apac--c.eu19.visual.force.com/0011i000001xoWZAAY","Siew, Chee Weng")</f>
        <v>Siew, Chee Weng</v>
      </c>
      <c r="B4392" t="s">
        <v>8516</v>
      </c>
      <c r="C4392" t="s">
        <v>28</v>
      </c>
      <c r="D4392" t="s">
        <v>90</v>
      </c>
      <c r="E4392" t="s">
        <v>8</v>
      </c>
      <c r="F4392" t="s">
        <v>90</v>
      </c>
      <c r="G4392" t="s">
        <v>91</v>
      </c>
      <c r="H4392" t="s">
        <v>91</v>
      </c>
      <c r="I4392" t="s">
        <v>92</v>
      </c>
    </row>
    <row r="4393" spans="1:9" x14ac:dyDescent="0.25">
      <c r="A4393" s="1" t="str">
        <f>HYPERLINK("https://lynxcrm-apac--c.eu19.visual.force.com/0011i000001xoWZAAY","Siew, Chee Weng")</f>
        <v>Siew, Chee Weng</v>
      </c>
      <c r="B4393" t="s">
        <v>8516</v>
      </c>
      <c r="C4393" t="s">
        <v>28</v>
      </c>
      <c r="D4393" t="s">
        <v>520</v>
      </c>
      <c r="E4393" t="s">
        <v>8</v>
      </c>
      <c r="F4393" t="s">
        <v>90</v>
      </c>
      <c r="G4393" t="s">
        <v>521</v>
      </c>
      <c r="H4393" t="s">
        <v>521</v>
      </c>
      <c r="I4393" t="s">
        <v>92</v>
      </c>
    </row>
    <row r="4394" spans="1:9" x14ac:dyDescent="0.25">
      <c r="A4394" s="1" t="str">
        <f>HYPERLINK("https://lynxcrm-apac--c.eu19.visual.force.com/0011i000001xoWBAAY","Siew, T M Eric")</f>
        <v>Siew, T M Eric</v>
      </c>
      <c r="B4394" t="s">
        <v>8517</v>
      </c>
      <c r="C4394" t="s">
        <v>28</v>
      </c>
      <c r="D4394" t="s">
        <v>12</v>
      </c>
      <c r="E4394" t="s">
        <v>8</v>
      </c>
      <c r="F4394" t="s">
        <v>11</v>
      </c>
      <c r="G4394" t="s">
        <v>11</v>
      </c>
      <c r="H4394" t="s">
        <v>8</v>
      </c>
      <c r="I4394" t="s">
        <v>13</v>
      </c>
    </row>
    <row r="4395" spans="1:9" x14ac:dyDescent="0.25">
      <c r="A4395" s="1" t="str">
        <f>HYPERLINK("https://lynxcrm-apac--c.eu19.visual.force.com/0011i000001xn5gAAA","Siglap Clinic Pte Ltd")</f>
        <v>Siglap Clinic Pte Ltd</v>
      </c>
      <c r="B4395" t="s">
        <v>8518</v>
      </c>
      <c r="C4395" t="s">
        <v>10</v>
      </c>
      <c r="D4395" t="s">
        <v>8</v>
      </c>
      <c r="E4395" t="s">
        <v>8</v>
      </c>
      <c r="F4395" t="s">
        <v>2305</v>
      </c>
      <c r="G4395" t="s">
        <v>2306</v>
      </c>
      <c r="H4395" t="s">
        <v>2307</v>
      </c>
      <c r="I4395" t="s">
        <v>2308</v>
      </c>
    </row>
    <row r="4396" spans="1:9" x14ac:dyDescent="0.25">
      <c r="A4396" s="1" t="str">
        <f>HYPERLINK("https://lynxcrm-apac--c.eu19.visual.force.com/0011i000001xongAAA","Silva, Amila")</f>
        <v>Silva, Amila</v>
      </c>
      <c r="B4396" t="s">
        <v>8519</v>
      </c>
      <c r="C4396" t="s">
        <v>28</v>
      </c>
      <c r="D4396" t="s">
        <v>251</v>
      </c>
      <c r="E4396" t="s">
        <v>8</v>
      </c>
      <c r="F4396" t="s">
        <v>251</v>
      </c>
      <c r="G4396" t="s">
        <v>252</v>
      </c>
      <c r="H4396" t="s">
        <v>252</v>
      </c>
      <c r="I4396" t="s">
        <v>253</v>
      </c>
    </row>
    <row r="4397" spans="1:9" x14ac:dyDescent="0.25">
      <c r="A4397" s="1" t="str">
        <f>HYPERLINK("https://lynxcrm-apac--c.eu19.visual.force.com/0011i000001xnQRAAY","Silver Cross Family Clinic")</f>
        <v>Silver Cross Family Clinic</v>
      </c>
      <c r="B4397" t="s">
        <v>8520</v>
      </c>
      <c r="C4397" t="s">
        <v>10</v>
      </c>
      <c r="D4397" t="s">
        <v>8</v>
      </c>
      <c r="E4397" t="s">
        <v>8</v>
      </c>
      <c r="F4397" t="s">
        <v>5405</v>
      </c>
      <c r="G4397" t="s">
        <v>975</v>
      </c>
      <c r="H4397" t="s">
        <v>8521</v>
      </c>
      <c r="I4397" t="s">
        <v>5406</v>
      </c>
    </row>
    <row r="4398" spans="1:9" x14ac:dyDescent="0.25">
      <c r="A4398" s="1" t="str">
        <f>HYPERLINK("https://lynxcrm-apac--c.eu19.visual.force.com/0011i000001xmluAAA","Silver Cross Healthcare Pte Ltd")</f>
        <v>Silver Cross Healthcare Pte Ltd</v>
      </c>
      <c r="B4398" t="s">
        <v>8522</v>
      </c>
      <c r="C4398" t="s">
        <v>10</v>
      </c>
      <c r="D4398" t="s">
        <v>8</v>
      </c>
      <c r="E4398" t="s">
        <v>8</v>
      </c>
      <c r="F4398" t="s">
        <v>5281</v>
      </c>
      <c r="G4398" t="s">
        <v>1739</v>
      </c>
      <c r="H4398" t="s">
        <v>5282</v>
      </c>
      <c r="I4398" t="s">
        <v>1740</v>
      </c>
    </row>
    <row r="4399" spans="1:9" x14ac:dyDescent="0.25">
      <c r="A4399" s="1" t="str">
        <f>HYPERLINK("https://lynxcrm-apac--c.eu19.visual.force.com/0011i000001xnOiAAI","Silver Cross Healthcare Pte Ltd")</f>
        <v>Silver Cross Healthcare Pte Ltd</v>
      </c>
      <c r="B4399" t="s">
        <v>8523</v>
      </c>
      <c r="C4399" t="s">
        <v>10</v>
      </c>
      <c r="D4399" t="s">
        <v>8</v>
      </c>
      <c r="E4399" t="s">
        <v>8</v>
      </c>
      <c r="F4399" t="s">
        <v>1334</v>
      </c>
      <c r="G4399" t="s">
        <v>1335</v>
      </c>
      <c r="H4399" t="s">
        <v>1335</v>
      </c>
      <c r="I4399" t="s">
        <v>1336</v>
      </c>
    </row>
    <row r="4400" spans="1:9" x14ac:dyDescent="0.25">
      <c r="A4400" s="1" t="str">
        <f>HYPERLINK("https://lynxcrm-apac--c.eu19.visual.force.com/0011i000001xmpfAAA","Silvercross Yishun Clinic (Healthway Med Grp)")</f>
        <v>Silvercross Yishun Clinic (Healthway Med Grp)</v>
      </c>
      <c r="B4400" t="s">
        <v>8524</v>
      </c>
      <c r="C4400" t="s">
        <v>10</v>
      </c>
      <c r="D4400" t="s">
        <v>8</v>
      </c>
      <c r="E4400" t="s">
        <v>8</v>
      </c>
      <c r="F4400" t="s">
        <v>191</v>
      </c>
      <c r="G4400" t="s">
        <v>2223</v>
      </c>
      <c r="H4400" t="s">
        <v>2223</v>
      </c>
      <c r="I4400" t="s">
        <v>193</v>
      </c>
    </row>
    <row r="4401" spans="1:9" x14ac:dyDescent="0.25">
      <c r="A4401" s="1" t="str">
        <f>HYPERLINK("https://lynxcrm-apac--c.eu19.visual.force.com/0011i000001xoiZAAQ","Sim, Adrian")</f>
        <v>Sim, Adrian</v>
      </c>
      <c r="B4401" t="s">
        <v>8525</v>
      </c>
      <c r="C4401" t="s">
        <v>28</v>
      </c>
      <c r="D4401" t="s">
        <v>937</v>
      </c>
      <c r="E4401" t="s">
        <v>8</v>
      </c>
      <c r="F4401" t="s">
        <v>4063</v>
      </c>
      <c r="G4401" t="s">
        <v>4064</v>
      </c>
      <c r="H4401" t="s">
        <v>4064</v>
      </c>
      <c r="I4401" t="s">
        <v>4065</v>
      </c>
    </row>
    <row r="4402" spans="1:9" x14ac:dyDescent="0.25">
      <c r="A4402" s="1" t="str">
        <f>HYPERLINK("https://lynxcrm-apac--c.eu19.visual.force.com/0011i000001xojuAAA","Sim, Ai Shan Linda")</f>
        <v>Sim, Ai Shan Linda</v>
      </c>
      <c r="B4402" t="s">
        <v>8526</v>
      </c>
      <c r="C4402" t="s">
        <v>28</v>
      </c>
      <c r="D4402" t="s">
        <v>3191</v>
      </c>
      <c r="E4402" t="s">
        <v>8</v>
      </c>
      <c r="F4402" t="s">
        <v>928</v>
      </c>
      <c r="G4402" t="s">
        <v>2477</v>
      </c>
      <c r="H4402" t="s">
        <v>2478</v>
      </c>
      <c r="I4402" t="s">
        <v>137</v>
      </c>
    </row>
    <row r="4403" spans="1:9" x14ac:dyDescent="0.25">
      <c r="A4403" s="1" t="str">
        <f>HYPERLINK("https://lynxcrm-apac--c.eu19.visual.force.com/0011i000001xni0AAA","Sim, Chee Hong")</f>
        <v>Sim, Chee Hong</v>
      </c>
      <c r="B4403" t="s">
        <v>8527</v>
      </c>
      <c r="C4403" t="s">
        <v>28</v>
      </c>
      <c r="D4403" t="s">
        <v>8528</v>
      </c>
      <c r="E4403" t="s">
        <v>8</v>
      </c>
      <c r="F4403" t="s">
        <v>4507</v>
      </c>
      <c r="G4403" t="s">
        <v>944</v>
      </c>
      <c r="H4403" t="s">
        <v>944</v>
      </c>
      <c r="I4403" t="s">
        <v>4508</v>
      </c>
    </row>
    <row r="4404" spans="1:9" x14ac:dyDescent="0.25">
      <c r="A4404" s="1" t="str">
        <f>HYPERLINK("https://lynxcrm-apac--c.eu19.visual.force.com/0011i000001xoIlAAI","Sim, Choon Seng")</f>
        <v>Sim, Choon Seng</v>
      </c>
      <c r="B4404" t="s">
        <v>8529</v>
      </c>
      <c r="C4404" t="s">
        <v>28</v>
      </c>
      <c r="D4404" t="s">
        <v>8530</v>
      </c>
      <c r="E4404" t="s">
        <v>8</v>
      </c>
      <c r="F4404" t="s">
        <v>8531</v>
      </c>
      <c r="G4404" t="s">
        <v>8532</v>
      </c>
      <c r="H4404" t="s">
        <v>8533</v>
      </c>
      <c r="I4404" t="s">
        <v>8534</v>
      </c>
    </row>
    <row r="4405" spans="1:9" x14ac:dyDescent="0.25">
      <c r="A4405" s="1" t="str">
        <f>HYPERLINK("https://lynxcrm-apac--c.eu19.visual.force.com/0011i000001xo5XAAQ","Sim, Han Jen Daniel")</f>
        <v>Sim, Han Jen Daniel</v>
      </c>
      <c r="B4405" t="s">
        <v>8535</v>
      </c>
      <c r="C4405" t="s">
        <v>28</v>
      </c>
      <c r="D4405" t="s">
        <v>1318</v>
      </c>
      <c r="E4405" t="s">
        <v>8</v>
      </c>
      <c r="F4405" t="s">
        <v>258</v>
      </c>
      <c r="G4405" t="s">
        <v>261</v>
      </c>
      <c r="H4405" t="s">
        <v>261</v>
      </c>
      <c r="I4405" t="s">
        <v>260</v>
      </c>
    </row>
    <row r="4406" spans="1:9" x14ac:dyDescent="0.25">
      <c r="A4406" s="1" t="str">
        <f>HYPERLINK("https://lynxcrm-apac--c.eu19.visual.force.com/0011i000001xo5XAAQ","Sim, Han Jen Daniel")</f>
        <v>Sim, Han Jen Daniel</v>
      </c>
      <c r="B4406" t="s">
        <v>8535</v>
      </c>
      <c r="C4406" t="s">
        <v>28</v>
      </c>
      <c r="D4406" t="s">
        <v>261</v>
      </c>
      <c r="E4406" t="s">
        <v>8</v>
      </c>
      <c r="F4406" t="s">
        <v>261</v>
      </c>
      <c r="G4406" t="s">
        <v>347</v>
      </c>
      <c r="H4406" t="s">
        <v>347</v>
      </c>
      <c r="I4406" t="s">
        <v>260</v>
      </c>
    </row>
    <row r="4407" spans="1:9" x14ac:dyDescent="0.25">
      <c r="A4407" s="1" t="str">
        <f>HYPERLINK("https://lynxcrm-apac--c.eu19.visual.force.com/0011i000001xoQRAAY","Sim, Hong Gee")</f>
        <v>Sim, Hong Gee</v>
      </c>
      <c r="B4407" t="s">
        <v>8536</v>
      </c>
      <c r="C4407" t="s">
        <v>28</v>
      </c>
      <c r="D4407" t="s">
        <v>3418</v>
      </c>
      <c r="E4407" t="s">
        <v>8</v>
      </c>
      <c r="F4407" t="s">
        <v>258</v>
      </c>
      <c r="G4407" t="s">
        <v>261</v>
      </c>
      <c r="H4407" t="s">
        <v>261</v>
      </c>
      <c r="I4407" t="s">
        <v>260</v>
      </c>
    </row>
    <row r="4408" spans="1:9" x14ac:dyDescent="0.25">
      <c r="A4408" s="1" t="str">
        <f>HYPERLINK("https://lynxcrm-apac--c.eu19.visual.force.com/0011i000001xoQRAAY","Sim, Hong Gee")</f>
        <v>Sim, Hong Gee</v>
      </c>
      <c r="B4408" t="s">
        <v>8536</v>
      </c>
      <c r="C4408" t="s">
        <v>28</v>
      </c>
      <c r="D4408" t="s">
        <v>261</v>
      </c>
      <c r="E4408" t="s">
        <v>8</v>
      </c>
      <c r="F4408" t="s">
        <v>261</v>
      </c>
      <c r="G4408" t="s">
        <v>347</v>
      </c>
      <c r="H4408" t="s">
        <v>347</v>
      </c>
      <c r="I4408" t="s">
        <v>260</v>
      </c>
    </row>
    <row r="4409" spans="1:9" x14ac:dyDescent="0.25">
      <c r="A4409" s="1" t="str">
        <f>HYPERLINK("https://lynxcrm-apac--c.eu19.visual.force.com/0011i000001xoICAAY","Sim, Hui Wen")</f>
        <v>Sim, Hui Wen</v>
      </c>
      <c r="B4409" t="s">
        <v>8537</v>
      </c>
      <c r="C4409" t="s">
        <v>28</v>
      </c>
      <c r="D4409" t="s">
        <v>429</v>
      </c>
      <c r="E4409" t="s">
        <v>8</v>
      </c>
      <c r="F4409" t="s">
        <v>429</v>
      </c>
      <c r="G4409" t="s">
        <v>428</v>
      </c>
      <c r="H4409" t="s">
        <v>428</v>
      </c>
      <c r="I4409" t="s">
        <v>430</v>
      </c>
    </row>
    <row r="4410" spans="1:9" x14ac:dyDescent="0.25">
      <c r="A4410" s="1" t="str">
        <f>HYPERLINK("https://lynxcrm-apac--c.eu19.visual.force.com/0011i000001xoICAAY","Sim, Hui Wen")</f>
        <v>Sim, Hui Wen</v>
      </c>
      <c r="B4410" t="s">
        <v>8537</v>
      </c>
      <c r="C4410" t="s">
        <v>28</v>
      </c>
      <c r="D4410" t="s">
        <v>429</v>
      </c>
      <c r="E4410" t="s">
        <v>8</v>
      </c>
      <c r="F4410" t="s">
        <v>444</v>
      </c>
      <c r="G4410" t="s">
        <v>444</v>
      </c>
      <c r="H4410" t="s">
        <v>8</v>
      </c>
      <c r="I4410" t="s">
        <v>430</v>
      </c>
    </row>
    <row r="4411" spans="1:9" x14ac:dyDescent="0.25">
      <c r="A4411" s="1" t="str">
        <f>HYPERLINK("https://lynxcrm-apac--c.eu19.visual.force.com/0011i000001xoICAAY","Sim, Hui Wen")</f>
        <v>Sim, Hui Wen</v>
      </c>
      <c r="B4411" t="s">
        <v>8537</v>
      </c>
      <c r="C4411" t="s">
        <v>28</v>
      </c>
      <c r="D4411" t="s">
        <v>429</v>
      </c>
      <c r="E4411" t="s">
        <v>8</v>
      </c>
      <c r="F4411" t="s">
        <v>445</v>
      </c>
      <c r="G4411" t="s">
        <v>428</v>
      </c>
      <c r="H4411" t="s">
        <v>428</v>
      </c>
      <c r="I4411" t="s">
        <v>430</v>
      </c>
    </row>
    <row r="4412" spans="1:9" x14ac:dyDescent="0.25">
      <c r="A4412" s="1" t="str">
        <f>HYPERLINK("https://lynxcrm-apac--c.eu19.visual.force.com/0011i000001xoICAAY","Sim, Hui Wen")</f>
        <v>Sim, Hui Wen</v>
      </c>
      <c r="B4412" t="s">
        <v>8537</v>
      </c>
      <c r="C4412" t="s">
        <v>28</v>
      </c>
      <c r="D4412" t="s">
        <v>429</v>
      </c>
      <c r="E4412" t="s">
        <v>8</v>
      </c>
      <c r="F4412" t="s">
        <v>444</v>
      </c>
      <c r="G4412" t="s">
        <v>444</v>
      </c>
      <c r="H4412" t="s">
        <v>8</v>
      </c>
      <c r="I4412" t="s">
        <v>8</v>
      </c>
    </row>
    <row r="4413" spans="1:9" x14ac:dyDescent="0.25">
      <c r="A4413" s="1" t="str">
        <f>HYPERLINK("https://lynxcrm-apac--c.eu19.visual.force.com/0011i000001xognAAA","Sim, Kheng Leng David")</f>
        <v>Sim, Kheng Leng David</v>
      </c>
      <c r="B4413" t="s">
        <v>8538</v>
      </c>
      <c r="C4413" t="s">
        <v>28</v>
      </c>
      <c r="D4413" t="s">
        <v>449</v>
      </c>
      <c r="E4413" t="s">
        <v>8</v>
      </c>
      <c r="F4413" t="s">
        <v>450</v>
      </c>
      <c r="G4413" t="s">
        <v>449</v>
      </c>
      <c r="H4413" t="s">
        <v>449</v>
      </c>
      <c r="I4413" t="s">
        <v>451</v>
      </c>
    </row>
    <row r="4414" spans="1:9" x14ac:dyDescent="0.25">
      <c r="A4414" s="1" t="str">
        <f>HYPERLINK("https://lynxcrm-apac--c.eu19.visual.force.com/0011i000001xognAAA","Sim, Kheng Leng David")</f>
        <v>Sim, Kheng Leng David</v>
      </c>
      <c r="B4414" t="s">
        <v>8538</v>
      </c>
      <c r="C4414" t="s">
        <v>28</v>
      </c>
      <c r="D4414" t="s">
        <v>449</v>
      </c>
      <c r="E4414" t="s">
        <v>8</v>
      </c>
      <c r="F4414" t="s">
        <v>234</v>
      </c>
      <c r="G4414" t="s">
        <v>452</v>
      </c>
      <c r="H4414" t="s">
        <v>453</v>
      </c>
      <c r="I4414" t="s">
        <v>454</v>
      </c>
    </row>
    <row r="4415" spans="1:9" x14ac:dyDescent="0.25">
      <c r="A4415" s="1" t="str">
        <f>HYPERLINK("https://lynxcrm-apac--c.eu19.visual.force.com/0011i000001xnqTAAQ","Sim, Kwang Soon")</f>
        <v>Sim, Kwang Soon</v>
      </c>
      <c r="B4415" t="s">
        <v>8539</v>
      </c>
      <c r="C4415" t="s">
        <v>28</v>
      </c>
      <c r="D4415" t="s">
        <v>8540</v>
      </c>
      <c r="E4415" t="s">
        <v>8</v>
      </c>
      <c r="F4415" t="s">
        <v>401</v>
      </c>
      <c r="G4415" t="s">
        <v>402</v>
      </c>
      <c r="H4415" t="s">
        <v>402</v>
      </c>
      <c r="I4415" t="s">
        <v>403</v>
      </c>
    </row>
    <row r="4416" spans="1:9" x14ac:dyDescent="0.25">
      <c r="A4416" s="1" t="str">
        <f>HYPERLINK("https://lynxcrm-apac--c.eu19.visual.force.com/0011i000001xnqUAAQ","Sim, Li Ping Pauline")</f>
        <v>Sim, Li Ping Pauline</v>
      </c>
      <c r="B4416" t="s">
        <v>8541</v>
      </c>
      <c r="C4416" t="s">
        <v>28</v>
      </c>
      <c r="D4416" t="s">
        <v>5857</v>
      </c>
      <c r="E4416" t="s">
        <v>8</v>
      </c>
      <c r="F4416" t="s">
        <v>377</v>
      </c>
      <c r="G4416" t="s">
        <v>6450</v>
      </c>
      <c r="H4416" t="s">
        <v>6450</v>
      </c>
      <c r="I4416" t="s">
        <v>123</v>
      </c>
    </row>
    <row r="4417" spans="1:9" x14ac:dyDescent="0.25">
      <c r="A4417" s="1" t="str">
        <f>HYPERLINK("https://lynxcrm-apac--c.eu19.visual.force.com/0011i000001xoAbAAI","Sim, Li San Grace")</f>
        <v>Sim, Li San Grace</v>
      </c>
      <c r="B4417" t="s">
        <v>8542</v>
      </c>
      <c r="C4417" t="s">
        <v>28</v>
      </c>
      <c r="D4417" t="s">
        <v>774</v>
      </c>
      <c r="E4417" t="s">
        <v>8</v>
      </c>
      <c r="F4417" t="s">
        <v>2156</v>
      </c>
      <c r="G4417" t="s">
        <v>2157</v>
      </c>
      <c r="H4417" t="s">
        <v>8543</v>
      </c>
      <c r="I4417" t="s">
        <v>2158</v>
      </c>
    </row>
    <row r="4418" spans="1:9" x14ac:dyDescent="0.25">
      <c r="A4418" s="1" t="str">
        <f>HYPERLINK("https://lynxcrm-apac--c.eu19.visual.force.com/0011i000007DboHAAS","Sim, Mark")</f>
        <v>Sim, Mark</v>
      </c>
      <c r="B4418" t="s">
        <v>8544</v>
      </c>
      <c r="C4418" t="s">
        <v>28</v>
      </c>
      <c r="D4418" t="s">
        <v>8528</v>
      </c>
      <c r="E4418" t="s">
        <v>8</v>
      </c>
      <c r="F4418" t="s">
        <v>4507</v>
      </c>
      <c r="G4418" t="s">
        <v>944</v>
      </c>
      <c r="H4418" t="s">
        <v>944</v>
      </c>
      <c r="I4418" t="s">
        <v>4508</v>
      </c>
    </row>
    <row r="4419" spans="1:9" x14ac:dyDescent="0.25">
      <c r="A4419" s="1" t="str">
        <f>HYPERLINK("https://lynxcrm-apac--c.eu19.visual.force.com/0011i000001xoXLAAY","Sim, Mong Kheng")</f>
        <v>Sim, Mong Kheng</v>
      </c>
      <c r="B4419" t="s">
        <v>8545</v>
      </c>
      <c r="C4419" t="s">
        <v>28</v>
      </c>
      <c r="D4419" t="s">
        <v>709</v>
      </c>
      <c r="E4419" t="s">
        <v>8</v>
      </c>
      <c r="F4419" t="s">
        <v>710</v>
      </c>
      <c r="G4419" t="s">
        <v>135</v>
      </c>
      <c r="H4419" t="s">
        <v>135</v>
      </c>
      <c r="I4419" t="s">
        <v>711</v>
      </c>
    </row>
    <row r="4420" spans="1:9" x14ac:dyDescent="0.25">
      <c r="A4420" s="1" t="str">
        <f>HYPERLINK("https://lynxcrm-apac--c.eu19.visual.force.com/0011i000001xoXLAAY","Sim, Mong Kheng")</f>
        <v>Sim, Mong Kheng</v>
      </c>
      <c r="B4420" t="s">
        <v>8545</v>
      </c>
      <c r="C4420" t="s">
        <v>28</v>
      </c>
      <c r="D4420" t="s">
        <v>709</v>
      </c>
      <c r="E4420" t="s">
        <v>8</v>
      </c>
      <c r="F4420" t="s">
        <v>710</v>
      </c>
      <c r="G4420" t="s">
        <v>710</v>
      </c>
      <c r="H4420" t="s">
        <v>3293</v>
      </c>
      <c r="I4420" t="s">
        <v>711</v>
      </c>
    </row>
    <row r="4421" spans="1:9" x14ac:dyDescent="0.25">
      <c r="A4421" s="1" t="str">
        <f>HYPERLINK("https://lynxcrm-apac--c.eu19.visual.force.com/0011i000001xnqVAAQ","Sim, Ngak Swee")</f>
        <v>Sim, Ngak Swee</v>
      </c>
      <c r="B4421" t="s">
        <v>8546</v>
      </c>
      <c r="C4421" t="s">
        <v>28</v>
      </c>
      <c r="D4421" t="s">
        <v>8547</v>
      </c>
      <c r="E4421" t="s">
        <v>8</v>
      </c>
      <c r="F4421" t="s">
        <v>7146</v>
      </c>
      <c r="G4421" t="s">
        <v>8548</v>
      </c>
      <c r="H4421" t="s">
        <v>8549</v>
      </c>
      <c r="I4421" t="s">
        <v>2302</v>
      </c>
    </row>
    <row r="4422" spans="1:9" x14ac:dyDescent="0.25">
      <c r="A4422" s="1" t="str">
        <f>HYPERLINK("https://lynxcrm-apac--c.eu19.visual.force.com/0011i000001xo5ZAAQ","Sim, Richard")</f>
        <v>Sim, Richard</v>
      </c>
      <c r="B4422" t="s">
        <v>8550</v>
      </c>
      <c r="C4422" t="s">
        <v>28</v>
      </c>
      <c r="D4422" t="s">
        <v>8551</v>
      </c>
      <c r="E4422" t="s">
        <v>8</v>
      </c>
      <c r="F4422" t="s">
        <v>8552</v>
      </c>
      <c r="G4422" t="s">
        <v>4662</v>
      </c>
      <c r="H4422" t="s">
        <v>4662</v>
      </c>
      <c r="I4422" t="s">
        <v>1803</v>
      </c>
    </row>
    <row r="4423" spans="1:9" x14ac:dyDescent="0.25">
      <c r="A4423" s="1" t="str">
        <f>HYPERLINK("https://lynxcrm-apac--c.eu19.visual.force.com/0011i000001xnqWAAQ","Sim, Sai Lan Patricia")</f>
        <v>Sim, Sai Lan Patricia</v>
      </c>
      <c r="B4423" t="s">
        <v>8553</v>
      </c>
      <c r="C4423" t="s">
        <v>28</v>
      </c>
      <c r="D4423" t="s">
        <v>8554</v>
      </c>
      <c r="E4423" t="s">
        <v>8</v>
      </c>
      <c r="F4423" t="s">
        <v>377</v>
      </c>
      <c r="G4423" t="s">
        <v>8555</v>
      </c>
      <c r="H4423" t="s">
        <v>8556</v>
      </c>
      <c r="I4423" t="s">
        <v>123</v>
      </c>
    </row>
    <row r="4424" spans="1:9" x14ac:dyDescent="0.25">
      <c r="A4424" s="1" t="str">
        <f>HYPERLINK("https://lynxcrm-apac--c.eu19.visual.force.com/0011i000001xo5aAAA","Sim, Song Teck Roland")</f>
        <v>Sim, Song Teck Roland</v>
      </c>
      <c r="B4424" t="s">
        <v>8557</v>
      </c>
      <c r="C4424" t="s">
        <v>28</v>
      </c>
      <c r="D4424" t="s">
        <v>8558</v>
      </c>
      <c r="E4424" t="s">
        <v>8</v>
      </c>
      <c r="F4424" t="s">
        <v>8559</v>
      </c>
      <c r="G4424" t="s">
        <v>8560</v>
      </c>
      <c r="H4424" t="s">
        <v>8560</v>
      </c>
      <c r="I4424" t="s">
        <v>200</v>
      </c>
    </row>
    <row r="4425" spans="1:9" x14ac:dyDescent="0.25">
      <c r="A4425" s="1" t="str">
        <f>HYPERLINK("https://lynxcrm-apac--c.eu19.visual.force.com/0011i000001xnyvAAA","Sim, Soon Phang Allan")</f>
        <v>Sim, Soon Phang Allan</v>
      </c>
      <c r="B4425" t="s">
        <v>8561</v>
      </c>
      <c r="C4425" t="s">
        <v>28</v>
      </c>
      <c r="D4425" t="s">
        <v>251</v>
      </c>
      <c r="E4425" t="s">
        <v>8</v>
      </c>
      <c r="F4425" t="s">
        <v>1623</v>
      </c>
      <c r="G4425" t="s">
        <v>8562</v>
      </c>
      <c r="H4425" t="s">
        <v>858</v>
      </c>
      <c r="I4425" t="s">
        <v>1609</v>
      </c>
    </row>
    <row r="4426" spans="1:9" x14ac:dyDescent="0.25">
      <c r="A4426" s="1" t="str">
        <f>HYPERLINK("https://lynxcrm-apac--c.eu19.visual.force.com/0011i000001xnyvAAA","Sim, Soon Phang Allan")</f>
        <v>Sim, Soon Phang Allan</v>
      </c>
      <c r="B4426" t="s">
        <v>8561</v>
      </c>
      <c r="C4426" t="s">
        <v>28</v>
      </c>
      <c r="D4426" t="s">
        <v>251</v>
      </c>
      <c r="E4426" t="s">
        <v>8</v>
      </c>
      <c r="F4426" t="s">
        <v>251</v>
      </c>
      <c r="G4426" t="s">
        <v>252</v>
      </c>
      <c r="H4426" t="s">
        <v>252</v>
      </c>
      <c r="I4426" t="s">
        <v>253</v>
      </c>
    </row>
    <row r="4427" spans="1:9" x14ac:dyDescent="0.25">
      <c r="A4427" s="1" t="str">
        <f>HYPERLINK("https://lynxcrm-apac--c.eu19.visual.force.com/0011i000001xo1FAAQ","Sim, Tiong Beng")</f>
        <v>Sim, Tiong Beng</v>
      </c>
      <c r="B4427" t="s">
        <v>8563</v>
      </c>
      <c r="C4427" t="s">
        <v>28</v>
      </c>
      <c r="D4427" t="s">
        <v>368</v>
      </c>
      <c r="E4427" t="s">
        <v>8</v>
      </c>
      <c r="F4427" t="s">
        <v>360</v>
      </c>
      <c r="G4427" t="s">
        <v>1253</v>
      </c>
      <c r="H4427" t="s">
        <v>1253</v>
      </c>
      <c r="I4427" t="s">
        <v>362</v>
      </c>
    </row>
    <row r="4428" spans="1:9" x14ac:dyDescent="0.25">
      <c r="A4428" s="1" t="str">
        <f>HYPERLINK("https://lynxcrm-apac--c.eu19.visual.force.com/0011i000001xnqYAAQ","Sim, Tiong Puay")</f>
        <v>Sim, Tiong Puay</v>
      </c>
      <c r="B4428" t="s">
        <v>8564</v>
      </c>
      <c r="C4428" t="s">
        <v>28</v>
      </c>
      <c r="D4428" t="s">
        <v>4967</v>
      </c>
      <c r="E4428" t="s">
        <v>8</v>
      </c>
      <c r="F4428" t="s">
        <v>8565</v>
      </c>
      <c r="G4428" t="s">
        <v>4969</v>
      </c>
      <c r="H4428" t="s">
        <v>8566</v>
      </c>
      <c r="I4428" t="s">
        <v>4970</v>
      </c>
    </row>
    <row r="4429" spans="1:9" x14ac:dyDescent="0.25">
      <c r="A4429" s="1" t="str">
        <f>HYPERLINK("https://lynxcrm-apac--c.eu19.visual.force.com/0011i000001xoqiAAA","Sim, Wee Beng Adrian")</f>
        <v>Sim, Wee Beng Adrian</v>
      </c>
      <c r="B4429" t="s">
        <v>8567</v>
      </c>
      <c r="C4429" t="s">
        <v>28</v>
      </c>
      <c r="D4429" t="s">
        <v>1333</v>
      </c>
      <c r="E4429" t="s">
        <v>8</v>
      </c>
      <c r="F4429" t="s">
        <v>8568</v>
      </c>
      <c r="G4429" t="s">
        <v>6750</v>
      </c>
      <c r="H4429" t="s">
        <v>6750</v>
      </c>
      <c r="I4429" t="s">
        <v>762</v>
      </c>
    </row>
    <row r="4430" spans="1:9" x14ac:dyDescent="0.25">
      <c r="A4430" s="1" t="str">
        <f>HYPERLINK("https://lynxcrm-apac--c.eu19.visual.force.com/0011i000001xnd7AAA","Simei Clinic &amp; Surgery")</f>
        <v>Simei Clinic &amp; Surgery</v>
      </c>
      <c r="B4430" t="s">
        <v>8569</v>
      </c>
      <c r="C4430" t="s">
        <v>10</v>
      </c>
      <c r="D4430" t="s">
        <v>8</v>
      </c>
      <c r="E4430" t="s">
        <v>8</v>
      </c>
      <c r="F4430" t="s">
        <v>7146</v>
      </c>
      <c r="G4430" t="s">
        <v>7147</v>
      </c>
      <c r="H4430" t="s">
        <v>7148</v>
      </c>
      <c r="I4430" t="s">
        <v>2302</v>
      </c>
    </row>
    <row r="4431" spans="1:9" x14ac:dyDescent="0.25">
      <c r="A4431" s="1" t="str">
        <f>HYPERLINK("https://lynxcrm-apac--c.eu19.visual.force.com/0011i000001xmanAAA","Simei Medical Centre")</f>
        <v>Simei Medical Centre</v>
      </c>
      <c r="B4431" t="s">
        <v>8570</v>
      </c>
      <c r="C4431" t="s">
        <v>10</v>
      </c>
      <c r="D4431" t="s">
        <v>8</v>
      </c>
      <c r="E4431" t="s">
        <v>8</v>
      </c>
      <c r="F4431" t="s">
        <v>7146</v>
      </c>
      <c r="G4431" t="s">
        <v>8548</v>
      </c>
      <c r="H4431" t="s">
        <v>8549</v>
      </c>
      <c r="I4431" t="s">
        <v>2302</v>
      </c>
    </row>
    <row r="4432" spans="1:9" x14ac:dyDescent="0.25">
      <c r="A4432" s="1" t="str">
        <f>HYPERLINK("https://lynxcrm-apac--c.eu19.visual.force.com/0011i000001xn62AAA","Simon Road Family Clinic")</f>
        <v>Simon Road Family Clinic</v>
      </c>
      <c r="B4432" t="s">
        <v>8571</v>
      </c>
      <c r="C4432" t="s">
        <v>10</v>
      </c>
      <c r="D4432" t="s">
        <v>8</v>
      </c>
      <c r="E4432" t="s">
        <v>8</v>
      </c>
      <c r="F4432" t="s">
        <v>8572</v>
      </c>
      <c r="G4432" t="s">
        <v>8572</v>
      </c>
      <c r="H4432" t="s">
        <v>8573</v>
      </c>
      <c r="I4432" t="s">
        <v>8574</v>
      </c>
    </row>
    <row r="4433" spans="1:9" x14ac:dyDescent="0.25">
      <c r="A4433" s="1" t="str">
        <f>HYPERLINK("https://lynxcrm-apac--c.eu19.visual.force.com/0011i000001xnU7AAI","Simon Siew Psychological &amp; Med Cl")</f>
        <v>Simon Siew Psychological &amp; Med Cl</v>
      </c>
      <c r="B4433" t="s">
        <v>8575</v>
      </c>
      <c r="C4433" t="s">
        <v>10</v>
      </c>
      <c r="D4433" t="s">
        <v>8</v>
      </c>
      <c r="E4433" t="s">
        <v>8</v>
      </c>
      <c r="F4433" t="s">
        <v>121</v>
      </c>
      <c r="G4433" t="s">
        <v>8576</v>
      </c>
      <c r="H4433" t="s">
        <v>8576</v>
      </c>
      <c r="I4433" t="s">
        <v>123</v>
      </c>
    </row>
    <row r="4434" spans="1:9" x14ac:dyDescent="0.25">
      <c r="A4434" s="1" t="str">
        <f>HYPERLINK("https://lynxcrm-apac--c.eu19.visual.force.com/0011i000001xn18AAA","Sims Drive Medical Clinic")</f>
        <v>Sims Drive Medical Clinic</v>
      </c>
      <c r="B4434" t="s">
        <v>8577</v>
      </c>
      <c r="C4434" t="s">
        <v>10</v>
      </c>
      <c r="D4434" t="s">
        <v>8</v>
      </c>
      <c r="E4434" t="s">
        <v>8</v>
      </c>
      <c r="F4434" t="s">
        <v>5878</v>
      </c>
      <c r="G4434" t="s">
        <v>8578</v>
      </c>
      <c r="H4434" t="s">
        <v>8578</v>
      </c>
      <c r="I4434" t="s">
        <v>5880</v>
      </c>
    </row>
    <row r="4435" spans="1:9" x14ac:dyDescent="0.25">
      <c r="A4435" s="1" t="str">
        <f>HYPERLINK("https://lynxcrm-apac--c.eu19.visual.force.com/0011i000001xmcPAAQ","Sims Drive Medical Clinic")</f>
        <v>Sims Drive Medical Clinic</v>
      </c>
      <c r="B4435" t="s">
        <v>8579</v>
      </c>
      <c r="C4435" t="s">
        <v>10</v>
      </c>
      <c r="D4435" t="s">
        <v>8</v>
      </c>
      <c r="E4435" t="s">
        <v>8</v>
      </c>
      <c r="F4435" t="s">
        <v>5878</v>
      </c>
      <c r="G4435" t="s">
        <v>2860</v>
      </c>
      <c r="H4435" t="s">
        <v>2860</v>
      </c>
      <c r="I4435" t="s">
        <v>5880</v>
      </c>
    </row>
    <row r="4436" spans="1:9" x14ac:dyDescent="0.25">
      <c r="A4436" s="1" t="str">
        <f>HYPERLINK("https://lynxcrm-apac--c.eu19.visual.force.com/0011i000001xmcPAAQ","Sims Drive Medical Clinic")</f>
        <v>Sims Drive Medical Clinic</v>
      </c>
      <c r="B4436" t="s">
        <v>8579</v>
      </c>
      <c r="C4436" t="s">
        <v>10</v>
      </c>
      <c r="D4436" t="s">
        <v>8</v>
      </c>
      <c r="E4436" t="s">
        <v>8</v>
      </c>
      <c r="F4436" t="s">
        <v>5878</v>
      </c>
      <c r="G4436" t="s">
        <v>2860</v>
      </c>
      <c r="H4436" t="s">
        <v>5879</v>
      </c>
      <c r="I4436" t="s">
        <v>5880</v>
      </c>
    </row>
    <row r="4437" spans="1:9" x14ac:dyDescent="0.25">
      <c r="A4437" s="1" t="str">
        <f>HYPERLINK("https://lynxcrm-apac--c.eu19.visual.force.com/0011i000001xoAcAAI","Sin, Wen Yee")</f>
        <v>Sin, Wen Yee</v>
      </c>
      <c r="B4437" t="s">
        <v>8580</v>
      </c>
      <c r="C4437" t="s">
        <v>28</v>
      </c>
      <c r="D4437" t="s">
        <v>8581</v>
      </c>
      <c r="E4437" t="s">
        <v>8</v>
      </c>
      <c r="F4437" t="s">
        <v>3883</v>
      </c>
      <c r="G4437" t="s">
        <v>3884</v>
      </c>
      <c r="H4437" t="s">
        <v>3884</v>
      </c>
      <c r="I4437" t="s">
        <v>3885</v>
      </c>
    </row>
    <row r="4438" spans="1:9" x14ac:dyDescent="0.25">
      <c r="A4438" s="1" t="str">
        <f>HYPERLINK("https://lynxcrm-apac--c.eu19.visual.force.com/0011i000001xnW7AAI","Sincere Medical &amp; Dental Clinic")</f>
        <v>Sincere Medical &amp; Dental Clinic</v>
      </c>
      <c r="B4438" t="s">
        <v>8582</v>
      </c>
      <c r="C4438" t="s">
        <v>10</v>
      </c>
      <c r="D4438" t="s">
        <v>8</v>
      </c>
      <c r="E4438" t="s">
        <v>8</v>
      </c>
      <c r="F4438" t="s">
        <v>8583</v>
      </c>
      <c r="G4438" t="s">
        <v>8584</v>
      </c>
      <c r="H4438" t="s">
        <v>8584</v>
      </c>
      <c r="I4438" t="s">
        <v>8585</v>
      </c>
    </row>
    <row r="4439" spans="1:9" x14ac:dyDescent="0.25">
      <c r="A4439" s="1" t="str">
        <f>HYPERLINK("https://lynxcrm-apac--c.eu19.visual.force.com/0011i000001xoZ8AAI","Singam, Sarajo")</f>
        <v>Singam, Sarajo</v>
      </c>
      <c r="B4439" t="s">
        <v>8586</v>
      </c>
      <c r="C4439" t="s">
        <v>28</v>
      </c>
      <c r="D4439" t="s">
        <v>54</v>
      </c>
      <c r="E4439" t="s">
        <v>8</v>
      </c>
      <c r="F4439" t="s">
        <v>1225</v>
      </c>
      <c r="G4439" t="s">
        <v>1225</v>
      </c>
      <c r="H4439" t="s">
        <v>8</v>
      </c>
      <c r="I4439" t="s">
        <v>55</v>
      </c>
    </row>
    <row r="4440" spans="1:9" x14ac:dyDescent="0.25">
      <c r="A4440" s="1" t="str">
        <f>HYPERLINK("https://lynxcrm-apac--c.eu19.visual.force.com/0011i000001xoZ8AAI","Singam, Sarajo")</f>
        <v>Singam, Sarajo</v>
      </c>
      <c r="B4440" t="s">
        <v>8586</v>
      </c>
      <c r="C4440" t="s">
        <v>28</v>
      </c>
      <c r="D4440" t="s">
        <v>53</v>
      </c>
      <c r="E4440" t="s">
        <v>8</v>
      </c>
      <c r="F4440" t="s">
        <v>53</v>
      </c>
      <c r="G4440" t="s">
        <v>54</v>
      </c>
      <c r="H4440" t="s">
        <v>54</v>
      </c>
      <c r="I4440" t="s">
        <v>55</v>
      </c>
    </row>
    <row r="4441" spans="1:9" x14ac:dyDescent="0.25">
      <c r="A4441" s="1" t="str">
        <f>HYPERLINK("https://lynxcrm-apac--c.eu19.visual.force.com/0011i000001xnMvAAI","Singapore Family Clinic and Surgery")</f>
        <v>Singapore Family Clinic and Surgery</v>
      </c>
      <c r="B4441" t="s">
        <v>8587</v>
      </c>
      <c r="C4441" t="s">
        <v>10</v>
      </c>
      <c r="D4441" t="s">
        <v>8</v>
      </c>
      <c r="E4441" t="s">
        <v>8</v>
      </c>
      <c r="F4441" t="s">
        <v>8410</v>
      </c>
      <c r="G4441" t="s">
        <v>985</v>
      </c>
      <c r="H4441" t="s">
        <v>985</v>
      </c>
      <c r="I4441" t="s">
        <v>4100</v>
      </c>
    </row>
    <row r="4442" spans="1:9" x14ac:dyDescent="0.25">
      <c r="A4442" s="1" t="str">
        <f>HYPERLINK("https://lynxcrm-apac--c.eu19.visual.force.com/0011i000001xnMPAAY","Singapore General Hospital")</f>
        <v>Singapore General Hospital</v>
      </c>
      <c r="B4442" t="s">
        <v>8588</v>
      </c>
      <c r="C4442" t="s">
        <v>28</v>
      </c>
      <c r="D4442" t="s">
        <v>8</v>
      </c>
      <c r="E4442" t="s">
        <v>8</v>
      </c>
      <c r="F4442" t="s">
        <v>251</v>
      </c>
      <c r="G4442" t="s">
        <v>252</v>
      </c>
      <c r="H4442" t="s">
        <v>252</v>
      </c>
      <c r="I4442" t="s">
        <v>253</v>
      </c>
    </row>
    <row r="4443" spans="1:9" x14ac:dyDescent="0.25">
      <c r="A4443" s="1" t="str">
        <f>HYPERLINK("https://lynxcrm-apac--c.eu19.visual.force.com/0011i000001xmbdAAA","Singapore General Hospital")</f>
        <v>Singapore General Hospital</v>
      </c>
      <c r="B4443" t="s">
        <v>8589</v>
      </c>
      <c r="C4443" t="s">
        <v>10</v>
      </c>
      <c r="D4443" t="s">
        <v>8</v>
      </c>
      <c r="E4443" t="s">
        <v>8</v>
      </c>
      <c r="F4443" t="s">
        <v>239</v>
      </c>
      <c r="G4443" t="s">
        <v>252</v>
      </c>
      <c r="H4443" t="s">
        <v>252</v>
      </c>
      <c r="I4443" t="s">
        <v>253</v>
      </c>
    </row>
    <row r="4444" spans="1:9" x14ac:dyDescent="0.25">
      <c r="A4444" s="1" t="str">
        <f>HYPERLINK("https://lynxcrm-apac--c.eu19.visual.force.com/0011i000001xmdqAAA","Singapore General Hospital")</f>
        <v>Singapore General Hospital</v>
      </c>
      <c r="B4444" t="s">
        <v>8590</v>
      </c>
      <c r="C4444" t="s">
        <v>10</v>
      </c>
      <c r="D4444" t="s">
        <v>8</v>
      </c>
      <c r="E4444" t="s">
        <v>8</v>
      </c>
      <c r="F4444" t="s">
        <v>6752</v>
      </c>
      <c r="G4444" t="s">
        <v>252</v>
      </c>
      <c r="H4444" t="s">
        <v>252</v>
      </c>
      <c r="I4444" t="s">
        <v>253</v>
      </c>
    </row>
    <row r="4445" spans="1:9" x14ac:dyDescent="0.25">
      <c r="A4445" s="1" t="str">
        <f>HYPERLINK("https://lynxcrm-apac--c.eu19.visual.force.com/0011i000001xmk1AAA","Singapore General Hospital")</f>
        <v>Singapore General Hospital</v>
      </c>
      <c r="B4445" t="s">
        <v>8591</v>
      </c>
      <c r="C4445" t="s">
        <v>10</v>
      </c>
      <c r="D4445" t="s">
        <v>8</v>
      </c>
      <c r="E4445" t="s">
        <v>8</v>
      </c>
      <c r="F4445" t="s">
        <v>651</v>
      </c>
      <c r="G4445" t="s">
        <v>252</v>
      </c>
      <c r="H4445" t="s">
        <v>252</v>
      </c>
      <c r="I4445" t="s">
        <v>253</v>
      </c>
    </row>
    <row r="4446" spans="1:9" x14ac:dyDescent="0.25">
      <c r="A4446" s="1" t="str">
        <f>HYPERLINK("https://lynxcrm-apac--c.eu19.visual.force.com/0011i000001xmlHAAQ","Singapore General Hospital")</f>
        <v>Singapore General Hospital</v>
      </c>
      <c r="B4446" t="s">
        <v>8592</v>
      </c>
      <c r="C4446" t="s">
        <v>10</v>
      </c>
      <c r="D4446" t="s">
        <v>8</v>
      </c>
      <c r="E4446" t="s">
        <v>8</v>
      </c>
      <c r="F4446" t="s">
        <v>246</v>
      </c>
      <c r="G4446" t="s">
        <v>252</v>
      </c>
      <c r="H4446" t="s">
        <v>858</v>
      </c>
      <c r="I4446" t="s">
        <v>253</v>
      </c>
    </row>
    <row r="4447" spans="1:9" x14ac:dyDescent="0.25">
      <c r="A4447" s="1" t="str">
        <f>HYPERLINK("https://lynxcrm-apac--c.eu19.visual.force.com/0011i000001xmlIAAQ","Singapore General Hospital")</f>
        <v>Singapore General Hospital</v>
      </c>
      <c r="B4447" t="s">
        <v>8593</v>
      </c>
      <c r="C4447" t="s">
        <v>10</v>
      </c>
      <c r="D4447" t="s">
        <v>8</v>
      </c>
      <c r="E4447" t="s">
        <v>8</v>
      </c>
      <c r="F4447" t="s">
        <v>427</v>
      </c>
      <c r="G4447" t="s">
        <v>252</v>
      </c>
      <c r="H4447" t="s">
        <v>858</v>
      </c>
      <c r="I4447" t="s">
        <v>253</v>
      </c>
    </row>
    <row r="4448" spans="1:9" x14ac:dyDescent="0.25">
      <c r="A4448" s="1" t="str">
        <f>HYPERLINK("https://lynxcrm-apac--c.eu19.visual.force.com/0011i000001xmmjAAA","Singapore General Hospital")</f>
        <v>Singapore General Hospital</v>
      </c>
      <c r="B4448" t="s">
        <v>8594</v>
      </c>
      <c r="C4448" t="s">
        <v>10</v>
      </c>
      <c r="D4448" t="s">
        <v>8</v>
      </c>
      <c r="E4448" t="s">
        <v>8</v>
      </c>
      <c r="F4448" t="s">
        <v>241</v>
      </c>
      <c r="G4448" t="s">
        <v>252</v>
      </c>
      <c r="H4448" t="s">
        <v>252</v>
      </c>
      <c r="I4448" t="s">
        <v>253</v>
      </c>
    </row>
    <row r="4449" spans="1:9" x14ac:dyDescent="0.25">
      <c r="A4449" s="1" t="str">
        <f>HYPERLINK("https://lynxcrm-apac--c.eu19.visual.force.com/0011i000001xmo8AAA","Singapore General Hospital")</f>
        <v>Singapore General Hospital</v>
      </c>
      <c r="B4449" t="s">
        <v>8595</v>
      </c>
      <c r="C4449" t="s">
        <v>10</v>
      </c>
      <c r="D4449" t="s">
        <v>8</v>
      </c>
      <c r="E4449" t="s">
        <v>8</v>
      </c>
      <c r="F4449" t="s">
        <v>3606</v>
      </c>
      <c r="G4449" t="s">
        <v>3607</v>
      </c>
      <c r="H4449" t="s">
        <v>858</v>
      </c>
      <c r="I4449" t="s">
        <v>253</v>
      </c>
    </row>
    <row r="4450" spans="1:9" x14ac:dyDescent="0.25">
      <c r="A4450" s="1" t="str">
        <f>HYPERLINK("https://lynxcrm-apac--c.eu19.visual.force.com/0011i000001xmpcAAA","Singapore General Hospital")</f>
        <v>Singapore General Hospital</v>
      </c>
      <c r="B4450" t="s">
        <v>8596</v>
      </c>
      <c r="C4450" t="s">
        <v>10</v>
      </c>
      <c r="D4450" t="s">
        <v>8</v>
      </c>
      <c r="E4450" t="s">
        <v>8</v>
      </c>
      <c r="F4450" t="s">
        <v>427</v>
      </c>
      <c r="G4450" t="s">
        <v>252</v>
      </c>
      <c r="H4450" t="s">
        <v>858</v>
      </c>
      <c r="I4450" t="s">
        <v>253</v>
      </c>
    </row>
    <row r="4451" spans="1:9" x14ac:dyDescent="0.25">
      <c r="A4451" s="1" t="str">
        <f>HYPERLINK("https://lynxcrm-apac--c.eu19.visual.force.com/0011i000001xmrlAAA","Singapore General Hospital")</f>
        <v>Singapore General Hospital</v>
      </c>
      <c r="B4451" t="s">
        <v>8597</v>
      </c>
      <c r="C4451" t="s">
        <v>10</v>
      </c>
      <c r="D4451" t="s">
        <v>8</v>
      </c>
      <c r="E4451" t="s">
        <v>8</v>
      </c>
      <c r="F4451" t="s">
        <v>6385</v>
      </c>
      <c r="G4451" t="s">
        <v>252</v>
      </c>
      <c r="H4451" t="s">
        <v>858</v>
      </c>
      <c r="I4451" t="s">
        <v>253</v>
      </c>
    </row>
    <row r="4452" spans="1:9" x14ac:dyDescent="0.25">
      <c r="A4452" s="1" t="str">
        <f>HYPERLINK("https://lynxcrm-apac--c.eu19.visual.force.com/0011i000001xn2aAAA","Singapore General Hospital")</f>
        <v>Singapore General Hospital</v>
      </c>
      <c r="B4452" t="s">
        <v>8598</v>
      </c>
      <c r="C4452" t="s">
        <v>10</v>
      </c>
      <c r="D4452" t="s">
        <v>8</v>
      </c>
      <c r="E4452" t="s">
        <v>8</v>
      </c>
      <c r="F4452" t="s">
        <v>2244</v>
      </c>
      <c r="G4452" t="s">
        <v>252</v>
      </c>
      <c r="H4452" t="s">
        <v>252</v>
      </c>
      <c r="I4452" t="s">
        <v>253</v>
      </c>
    </row>
    <row r="4453" spans="1:9" x14ac:dyDescent="0.25">
      <c r="A4453" s="1" t="str">
        <f>HYPERLINK("https://lynxcrm-apac--c.eu19.visual.force.com/0011i000001xn4lAAA","Singapore General Hospital")</f>
        <v>Singapore General Hospital</v>
      </c>
      <c r="B4453" t="s">
        <v>8599</v>
      </c>
      <c r="C4453" t="s">
        <v>10</v>
      </c>
      <c r="D4453" t="s">
        <v>8</v>
      </c>
      <c r="E4453" t="s">
        <v>8</v>
      </c>
      <c r="F4453" t="s">
        <v>239</v>
      </c>
      <c r="G4453" t="s">
        <v>252</v>
      </c>
      <c r="H4453" t="s">
        <v>252</v>
      </c>
      <c r="I4453" t="s">
        <v>253</v>
      </c>
    </row>
    <row r="4454" spans="1:9" x14ac:dyDescent="0.25">
      <c r="A4454" s="1" t="str">
        <f>HYPERLINK("https://lynxcrm-apac--c.eu19.visual.force.com/0011i000001xnEZAAY","Singapore General Hospital")</f>
        <v>Singapore General Hospital</v>
      </c>
      <c r="B4454" t="s">
        <v>8600</v>
      </c>
      <c r="C4454" t="s">
        <v>10</v>
      </c>
      <c r="D4454" t="s">
        <v>8</v>
      </c>
      <c r="E4454" t="s">
        <v>8</v>
      </c>
      <c r="F4454" t="s">
        <v>1623</v>
      </c>
      <c r="G4454" t="s">
        <v>8562</v>
      </c>
      <c r="H4454" t="s">
        <v>858</v>
      </c>
      <c r="I4454" t="s">
        <v>1609</v>
      </c>
    </row>
    <row r="4455" spans="1:9" x14ac:dyDescent="0.25">
      <c r="A4455" s="1" t="str">
        <f>HYPERLINK("https://lynxcrm-apac--c.eu19.visual.force.com/0011i000001xnIAAAY","Singapore General Hospital")</f>
        <v>Singapore General Hospital</v>
      </c>
      <c r="B4455" t="s">
        <v>8601</v>
      </c>
      <c r="C4455" t="s">
        <v>10</v>
      </c>
      <c r="D4455" t="s">
        <v>8</v>
      </c>
      <c r="E4455" t="s">
        <v>8</v>
      </c>
      <c r="F4455" t="s">
        <v>427</v>
      </c>
      <c r="G4455" t="s">
        <v>252</v>
      </c>
      <c r="H4455" t="s">
        <v>858</v>
      </c>
      <c r="I4455" t="s">
        <v>253</v>
      </c>
    </row>
    <row r="4456" spans="1:9" x14ac:dyDescent="0.25">
      <c r="A4456" s="1" t="str">
        <f>HYPERLINK("https://lynxcrm-apac--c.eu19.visual.force.com/0011i000001xnICAAY","Singapore General Hospital")</f>
        <v>Singapore General Hospital</v>
      </c>
      <c r="B4456" t="s">
        <v>8602</v>
      </c>
      <c r="C4456" t="s">
        <v>10</v>
      </c>
      <c r="D4456" t="s">
        <v>8</v>
      </c>
      <c r="E4456" t="s">
        <v>8</v>
      </c>
      <c r="F4456" t="s">
        <v>246</v>
      </c>
      <c r="G4456" t="s">
        <v>252</v>
      </c>
      <c r="H4456" t="s">
        <v>858</v>
      </c>
      <c r="I4456" t="s">
        <v>253</v>
      </c>
    </row>
    <row r="4457" spans="1:9" x14ac:dyDescent="0.25">
      <c r="A4457" s="1" t="str">
        <f>HYPERLINK("https://lynxcrm-apac--c.eu19.visual.force.com/0011i000001xnMSAAY","Singapore General Hospital")</f>
        <v>Singapore General Hospital</v>
      </c>
      <c r="B4457" t="s">
        <v>8603</v>
      </c>
      <c r="C4457" t="s">
        <v>10</v>
      </c>
      <c r="D4457" t="s">
        <v>8</v>
      </c>
      <c r="E4457" t="s">
        <v>8</v>
      </c>
      <c r="F4457" t="s">
        <v>1703</v>
      </c>
      <c r="G4457" t="s">
        <v>252</v>
      </c>
      <c r="H4457" t="s">
        <v>858</v>
      </c>
      <c r="I4457" t="s">
        <v>253</v>
      </c>
    </row>
    <row r="4458" spans="1:9" x14ac:dyDescent="0.25">
      <c r="A4458" s="1" t="str">
        <f>HYPERLINK("https://lynxcrm-apac--c.eu19.visual.force.com/0011i000001xnMWAAY","Singapore General Hospital")</f>
        <v>Singapore General Hospital</v>
      </c>
      <c r="B4458" t="s">
        <v>8604</v>
      </c>
      <c r="C4458" t="s">
        <v>10</v>
      </c>
      <c r="D4458" t="s">
        <v>8</v>
      </c>
      <c r="E4458" t="s">
        <v>8</v>
      </c>
      <c r="F4458" t="s">
        <v>2244</v>
      </c>
      <c r="G4458" t="s">
        <v>252</v>
      </c>
      <c r="H4458" t="s">
        <v>252</v>
      </c>
      <c r="I4458" t="s">
        <v>253</v>
      </c>
    </row>
    <row r="4459" spans="1:9" x14ac:dyDescent="0.25">
      <c r="A4459" s="1" t="str">
        <f>HYPERLINK("https://lynxcrm-apac--c.eu19.visual.force.com/0011i000001xnS6AAI","Singapore General Hospital")</f>
        <v>Singapore General Hospital</v>
      </c>
      <c r="B4459" t="s">
        <v>8605</v>
      </c>
      <c r="C4459" t="s">
        <v>10</v>
      </c>
      <c r="D4459" t="s">
        <v>8</v>
      </c>
      <c r="E4459" t="s">
        <v>8</v>
      </c>
      <c r="F4459" t="s">
        <v>229</v>
      </c>
      <c r="G4459" t="s">
        <v>252</v>
      </c>
      <c r="H4459" t="s">
        <v>252</v>
      </c>
      <c r="I4459" t="s">
        <v>253</v>
      </c>
    </row>
    <row r="4460" spans="1:9" x14ac:dyDescent="0.25">
      <c r="A4460" s="1" t="str">
        <f>HYPERLINK("https://lynxcrm-apac--c.eu19.visual.force.com/0011i000001xnSMAAY","Singapore General Hospital")</f>
        <v>Singapore General Hospital</v>
      </c>
      <c r="B4460" t="s">
        <v>8606</v>
      </c>
      <c r="C4460" t="s">
        <v>10</v>
      </c>
      <c r="D4460" t="s">
        <v>8</v>
      </c>
      <c r="E4460" t="s">
        <v>8</v>
      </c>
      <c r="F4460" t="s">
        <v>241</v>
      </c>
      <c r="G4460" t="s">
        <v>252</v>
      </c>
      <c r="H4460" t="s">
        <v>252</v>
      </c>
      <c r="I4460" t="s">
        <v>253</v>
      </c>
    </row>
    <row r="4461" spans="1:9" x14ac:dyDescent="0.25">
      <c r="A4461" s="1" t="str">
        <f>HYPERLINK("https://lynxcrm-apac--c.eu19.visual.force.com/0011i000001xnYLAAY","Singapore General Hospital")</f>
        <v>Singapore General Hospital</v>
      </c>
      <c r="B4461" t="s">
        <v>8607</v>
      </c>
      <c r="C4461" t="s">
        <v>10</v>
      </c>
      <c r="D4461" t="s">
        <v>8</v>
      </c>
      <c r="E4461" t="s">
        <v>8</v>
      </c>
      <c r="F4461" t="s">
        <v>514</v>
      </c>
      <c r="G4461" t="s">
        <v>252</v>
      </c>
      <c r="H4461" t="s">
        <v>252</v>
      </c>
      <c r="I4461" t="s">
        <v>253</v>
      </c>
    </row>
    <row r="4462" spans="1:9" x14ac:dyDescent="0.25">
      <c r="A4462" s="1" t="str">
        <f>HYPERLINK("https://lynxcrm-apac--c.eu19.visual.force.com/0011i000001xnYcAAI","Singapore General Hospital")</f>
        <v>Singapore General Hospital</v>
      </c>
      <c r="B4462" t="s">
        <v>8608</v>
      </c>
      <c r="C4462" t="s">
        <v>10</v>
      </c>
      <c r="D4462" t="s">
        <v>8</v>
      </c>
      <c r="E4462" t="s">
        <v>8</v>
      </c>
      <c r="F4462" t="s">
        <v>368</v>
      </c>
      <c r="G4462" t="s">
        <v>252</v>
      </c>
      <c r="H4462" t="s">
        <v>252</v>
      </c>
      <c r="I4462" t="s">
        <v>253</v>
      </c>
    </row>
    <row r="4463" spans="1:9" x14ac:dyDescent="0.25">
      <c r="A4463" s="1" t="str">
        <f t="shared" ref="A4463:A4468" si="40">HYPERLINK("https://lynxcrm-apac--c.eu19.visual.force.com/0011i000001xnVKAAY","Singapore General Hospital")</f>
        <v>Singapore General Hospital</v>
      </c>
      <c r="B4463" t="s">
        <v>8609</v>
      </c>
      <c r="C4463" t="s">
        <v>10</v>
      </c>
      <c r="D4463" t="s">
        <v>8</v>
      </c>
      <c r="E4463" t="s">
        <v>8</v>
      </c>
      <c r="F4463" t="s">
        <v>246</v>
      </c>
      <c r="G4463" t="s">
        <v>252</v>
      </c>
      <c r="H4463" t="s">
        <v>858</v>
      </c>
      <c r="I4463" t="s">
        <v>253</v>
      </c>
    </row>
    <row r="4464" spans="1:9" x14ac:dyDescent="0.25">
      <c r="A4464" s="1" t="str">
        <f t="shared" si="40"/>
        <v>Singapore General Hospital</v>
      </c>
      <c r="B4464" t="s">
        <v>8609</v>
      </c>
      <c r="C4464" t="s">
        <v>10</v>
      </c>
      <c r="D4464" t="s">
        <v>8</v>
      </c>
      <c r="E4464" t="s">
        <v>8</v>
      </c>
      <c r="F4464" t="s">
        <v>246</v>
      </c>
      <c r="G4464" t="s">
        <v>252</v>
      </c>
      <c r="H4464" t="s">
        <v>252</v>
      </c>
      <c r="I4464" t="s">
        <v>253</v>
      </c>
    </row>
    <row r="4465" spans="1:9" x14ac:dyDescent="0.25">
      <c r="A4465" s="1" t="str">
        <f t="shared" si="40"/>
        <v>Singapore General Hospital</v>
      </c>
      <c r="B4465" t="s">
        <v>8609</v>
      </c>
      <c r="C4465" t="s">
        <v>10</v>
      </c>
      <c r="D4465" t="s">
        <v>8</v>
      </c>
      <c r="E4465" t="s">
        <v>8</v>
      </c>
      <c r="F4465" t="s">
        <v>8610</v>
      </c>
      <c r="G4465" t="s">
        <v>252</v>
      </c>
      <c r="H4465" t="s">
        <v>252</v>
      </c>
      <c r="I4465" t="s">
        <v>253</v>
      </c>
    </row>
    <row r="4466" spans="1:9" x14ac:dyDescent="0.25">
      <c r="A4466" s="1" t="str">
        <f t="shared" si="40"/>
        <v>Singapore General Hospital</v>
      </c>
      <c r="B4466" t="s">
        <v>8609</v>
      </c>
      <c r="C4466" t="s">
        <v>10</v>
      </c>
      <c r="D4466" t="s">
        <v>8</v>
      </c>
      <c r="E4466" t="s">
        <v>8</v>
      </c>
      <c r="F4466" t="s">
        <v>246</v>
      </c>
      <c r="G4466" t="s">
        <v>3607</v>
      </c>
      <c r="H4466" t="s">
        <v>858</v>
      </c>
      <c r="I4466" t="s">
        <v>253</v>
      </c>
    </row>
    <row r="4467" spans="1:9" x14ac:dyDescent="0.25">
      <c r="A4467" s="1" t="str">
        <f t="shared" si="40"/>
        <v>Singapore General Hospital</v>
      </c>
      <c r="B4467" t="s">
        <v>8609</v>
      </c>
      <c r="C4467" t="s">
        <v>10</v>
      </c>
      <c r="D4467" t="s">
        <v>8</v>
      </c>
      <c r="E4467" t="s">
        <v>8</v>
      </c>
      <c r="F4467" t="s">
        <v>251</v>
      </c>
      <c r="G4467" t="s">
        <v>252</v>
      </c>
      <c r="H4467" t="s">
        <v>252</v>
      </c>
      <c r="I4467" t="s">
        <v>253</v>
      </c>
    </row>
    <row r="4468" spans="1:9" x14ac:dyDescent="0.25">
      <c r="A4468" s="1" t="str">
        <f t="shared" si="40"/>
        <v>Singapore General Hospital</v>
      </c>
      <c r="B4468" t="s">
        <v>8609</v>
      </c>
      <c r="C4468" t="s">
        <v>10</v>
      </c>
      <c r="D4468" t="s">
        <v>8</v>
      </c>
      <c r="E4468" t="s">
        <v>8</v>
      </c>
      <c r="F4468" t="s">
        <v>1412</v>
      </c>
      <c r="G4468" t="s">
        <v>252</v>
      </c>
      <c r="H4468" t="s">
        <v>252</v>
      </c>
      <c r="I4468" t="s">
        <v>253</v>
      </c>
    </row>
    <row r="4469" spans="1:9" x14ac:dyDescent="0.25">
      <c r="A4469" s="1" t="str">
        <f>HYPERLINK("https://lynxcrm-apac--c.eu19.visual.force.com/0011i000001xmeoAAA","Singapore General Hospital")</f>
        <v>Singapore General Hospital</v>
      </c>
      <c r="B4469" t="s">
        <v>8611</v>
      </c>
      <c r="C4469" t="s">
        <v>10</v>
      </c>
      <c r="D4469" t="s">
        <v>8</v>
      </c>
      <c r="E4469" t="s">
        <v>8</v>
      </c>
      <c r="F4469" t="s">
        <v>1623</v>
      </c>
      <c r="G4469" t="s">
        <v>252</v>
      </c>
      <c r="H4469" t="s">
        <v>858</v>
      </c>
      <c r="I4469" t="s">
        <v>253</v>
      </c>
    </row>
    <row r="4470" spans="1:9" x14ac:dyDescent="0.25">
      <c r="A4470" s="1" t="str">
        <f>HYPERLINK("https://lynxcrm-apac--c.eu19.visual.force.com/0011i000001xmevAAA","Singapore General Hospital")</f>
        <v>Singapore General Hospital</v>
      </c>
      <c r="B4470" t="s">
        <v>8612</v>
      </c>
      <c r="C4470" t="s">
        <v>10</v>
      </c>
      <c r="D4470" t="s">
        <v>8</v>
      </c>
      <c r="E4470" t="s">
        <v>8</v>
      </c>
      <c r="F4470" t="s">
        <v>427</v>
      </c>
      <c r="G4470" t="s">
        <v>252</v>
      </c>
      <c r="H4470" t="s">
        <v>252</v>
      </c>
      <c r="I4470" t="s">
        <v>253</v>
      </c>
    </row>
    <row r="4471" spans="1:9" x14ac:dyDescent="0.25">
      <c r="A4471" s="1" t="str">
        <f>HYPERLINK("https://lynxcrm-apac--c.eu19.visual.force.com/0011i000001xmj2AAA","Singapore General Hospital")</f>
        <v>Singapore General Hospital</v>
      </c>
      <c r="B4471" t="s">
        <v>8613</v>
      </c>
      <c r="C4471" t="s">
        <v>10</v>
      </c>
      <c r="D4471" t="s">
        <v>8</v>
      </c>
      <c r="E4471" t="s">
        <v>8</v>
      </c>
      <c r="F4471" t="s">
        <v>1412</v>
      </c>
      <c r="G4471" t="s">
        <v>252</v>
      </c>
      <c r="H4471" t="s">
        <v>858</v>
      </c>
      <c r="I4471" t="s">
        <v>253</v>
      </c>
    </row>
    <row r="4472" spans="1:9" x14ac:dyDescent="0.25">
      <c r="A4472" s="1" t="str">
        <f>HYPERLINK("https://lynxcrm-apac--c.eu19.visual.force.com/0011i000001xmjRAAQ","Singapore General Hospital")</f>
        <v>Singapore General Hospital</v>
      </c>
      <c r="B4472" t="s">
        <v>8614</v>
      </c>
      <c r="C4472" t="s">
        <v>10</v>
      </c>
      <c r="D4472" t="s">
        <v>8</v>
      </c>
      <c r="E4472" t="s">
        <v>8</v>
      </c>
      <c r="F4472" t="s">
        <v>241</v>
      </c>
      <c r="G4472" t="s">
        <v>252</v>
      </c>
      <c r="H4472" t="s">
        <v>252</v>
      </c>
      <c r="I4472" t="s">
        <v>253</v>
      </c>
    </row>
    <row r="4473" spans="1:9" x14ac:dyDescent="0.25">
      <c r="A4473" s="1" t="str">
        <f>HYPERLINK("https://lynxcrm-apac--c.eu19.visual.force.com/0011i000001xmmmAAA","Singapore General Hospital")</f>
        <v>Singapore General Hospital</v>
      </c>
      <c r="B4473" t="s">
        <v>8615</v>
      </c>
      <c r="C4473" t="s">
        <v>10</v>
      </c>
      <c r="D4473" t="s">
        <v>8</v>
      </c>
      <c r="E4473" t="s">
        <v>8</v>
      </c>
      <c r="F4473" t="s">
        <v>1352</v>
      </c>
      <c r="G4473" t="s">
        <v>252</v>
      </c>
      <c r="H4473" t="s">
        <v>858</v>
      </c>
      <c r="I4473" t="s">
        <v>253</v>
      </c>
    </row>
    <row r="4474" spans="1:9" x14ac:dyDescent="0.25">
      <c r="A4474" s="1" t="str">
        <f>HYPERLINK("https://lynxcrm-apac--c.eu19.visual.force.com/0011i000001xmovAAA","Singapore General Hospital")</f>
        <v>Singapore General Hospital</v>
      </c>
      <c r="B4474" t="s">
        <v>8616</v>
      </c>
      <c r="C4474" t="s">
        <v>10</v>
      </c>
      <c r="D4474" t="s">
        <v>8</v>
      </c>
      <c r="E4474" t="s">
        <v>8</v>
      </c>
      <c r="F4474" t="s">
        <v>2244</v>
      </c>
      <c r="G4474" t="s">
        <v>252</v>
      </c>
      <c r="H4474" t="s">
        <v>252</v>
      </c>
      <c r="I4474" t="s">
        <v>253</v>
      </c>
    </row>
    <row r="4475" spans="1:9" x14ac:dyDescent="0.25">
      <c r="A4475" s="1" t="str">
        <f>HYPERLINK("https://lynxcrm-apac--c.eu19.visual.force.com/0011i000001xmreAAA","Singapore General Hospital")</f>
        <v>Singapore General Hospital</v>
      </c>
      <c r="B4475" t="s">
        <v>8617</v>
      </c>
      <c r="C4475" t="s">
        <v>10</v>
      </c>
      <c r="D4475" t="s">
        <v>8</v>
      </c>
      <c r="E4475" t="s">
        <v>8</v>
      </c>
      <c r="F4475" t="s">
        <v>514</v>
      </c>
      <c r="G4475" t="s">
        <v>252</v>
      </c>
      <c r="H4475" t="s">
        <v>858</v>
      </c>
      <c r="I4475" t="s">
        <v>253</v>
      </c>
    </row>
    <row r="4476" spans="1:9" x14ac:dyDescent="0.25">
      <c r="A4476" s="1" t="str">
        <f>HYPERLINK("https://lynxcrm-apac--c.eu19.visual.force.com/0011i000001xmuIAAQ","Singapore General Hospital")</f>
        <v>Singapore General Hospital</v>
      </c>
      <c r="B4476" t="s">
        <v>8618</v>
      </c>
      <c r="C4476" t="s">
        <v>10</v>
      </c>
      <c r="D4476" t="s">
        <v>8</v>
      </c>
      <c r="E4476" t="s">
        <v>8</v>
      </c>
      <c r="F4476" t="s">
        <v>252</v>
      </c>
      <c r="G4476" t="s">
        <v>251</v>
      </c>
      <c r="H4476" t="s">
        <v>251</v>
      </c>
      <c r="I4476" t="s">
        <v>253</v>
      </c>
    </row>
    <row r="4477" spans="1:9" x14ac:dyDescent="0.25">
      <c r="A4477" s="1" t="str">
        <f>HYPERLINK("https://lynxcrm-apac--c.eu19.visual.force.com/0011i000001xmxOAAQ","Singapore General Hospital")</f>
        <v>Singapore General Hospital</v>
      </c>
      <c r="B4477" t="s">
        <v>8619</v>
      </c>
      <c r="C4477" t="s">
        <v>10</v>
      </c>
      <c r="D4477" t="s">
        <v>8</v>
      </c>
      <c r="E4477" t="s">
        <v>8</v>
      </c>
      <c r="F4477" t="s">
        <v>651</v>
      </c>
      <c r="G4477" t="s">
        <v>252</v>
      </c>
      <c r="H4477" t="s">
        <v>252</v>
      </c>
      <c r="I4477" t="s">
        <v>253</v>
      </c>
    </row>
    <row r="4478" spans="1:9" x14ac:dyDescent="0.25">
      <c r="A4478" s="1" t="str">
        <f>HYPERLINK("https://lynxcrm-apac--c.eu19.visual.force.com/0011i000001xn4aAAA","Singapore General Hospital")</f>
        <v>Singapore General Hospital</v>
      </c>
      <c r="B4478" t="s">
        <v>8620</v>
      </c>
      <c r="C4478" t="s">
        <v>10</v>
      </c>
      <c r="D4478" t="s">
        <v>8</v>
      </c>
      <c r="E4478" t="s">
        <v>8</v>
      </c>
      <c r="F4478" t="s">
        <v>1263</v>
      </c>
      <c r="G4478" t="s">
        <v>252</v>
      </c>
      <c r="H4478" t="s">
        <v>252</v>
      </c>
      <c r="I4478" t="s">
        <v>253</v>
      </c>
    </row>
    <row r="4479" spans="1:9" x14ac:dyDescent="0.25">
      <c r="A4479" s="1" t="str">
        <f>HYPERLINK("https://lynxcrm-apac--c.eu19.visual.force.com/0011i000001xnH3AAI","Singapore General Hospital")</f>
        <v>Singapore General Hospital</v>
      </c>
      <c r="B4479" t="s">
        <v>8621</v>
      </c>
      <c r="C4479" t="s">
        <v>10</v>
      </c>
      <c r="D4479" t="s">
        <v>8</v>
      </c>
      <c r="E4479" t="s">
        <v>8</v>
      </c>
      <c r="F4479" t="s">
        <v>6385</v>
      </c>
      <c r="G4479" t="s">
        <v>6386</v>
      </c>
      <c r="H4479" t="s">
        <v>858</v>
      </c>
      <c r="I4479" t="s">
        <v>253</v>
      </c>
    </row>
    <row r="4480" spans="1:9" x14ac:dyDescent="0.25">
      <c r="A4480" s="1" t="str">
        <f>HYPERLINK("https://lynxcrm-apac--c.eu19.visual.force.com/0011i000001xnKeAAI","Singapore General Hospital")</f>
        <v>Singapore General Hospital</v>
      </c>
      <c r="B4480" t="s">
        <v>8622</v>
      </c>
      <c r="C4480" t="s">
        <v>10</v>
      </c>
      <c r="D4480" t="s">
        <v>8</v>
      </c>
      <c r="E4480" t="s">
        <v>8</v>
      </c>
      <c r="F4480" t="s">
        <v>241</v>
      </c>
      <c r="G4480" t="s">
        <v>252</v>
      </c>
      <c r="H4480" t="s">
        <v>252</v>
      </c>
      <c r="I4480" t="s">
        <v>253</v>
      </c>
    </row>
    <row r="4481" spans="1:9" x14ac:dyDescent="0.25">
      <c r="A4481" s="1" t="str">
        <f>HYPERLINK("https://lynxcrm-apac--c.eu19.visual.force.com/0011i000001xnMlAAI","Singapore General Hospital")</f>
        <v>Singapore General Hospital</v>
      </c>
      <c r="B4481" t="s">
        <v>8623</v>
      </c>
      <c r="C4481" t="s">
        <v>10</v>
      </c>
      <c r="D4481" t="s">
        <v>8</v>
      </c>
      <c r="E4481" t="s">
        <v>8</v>
      </c>
      <c r="F4481" t="s">
        <v>1703</v>
      </c>
      <c r="G4481" t="s">
        <v>252</v>
      </c>
      <c r="H4481" t="s">
        <v>252</v>
      </c>
      <c r="I4481" t="s">
        <v>253</v>
      </c>
    </row>
    <row r="4482" spans="1:9" x14ac:dyDescent="0.25">
      <c r="A4482" s="1" t="str">
        <f>HYPERLINK("https://lynxcrm-apac--c.eu19.visual.force.com/0011i000001xnQLAAY","Singapore General Hospital")</f>
        <v>Singapore General Hospital</v>
      </c>
      <c r="B4482" t="s">
        <v>8624</v>
      </c>
      <c r="C4482" t="s">
        <v>10</v>
      </c>
      <c r="D4482" t="s">
        <v>8</v>
      </c>
      <c r="E4482" t="s">
        <v>8</v>
      </c>
      <c r="F4482" t="s">
        <v>2244</v>
      </c>
      <c r="G4482" t="s">
        <v>252</v>
      </c>
      <c r="H4482" t="s">
        <v>252</v>
      </c>
      <c r="I4482" t="s">
        <v>253</v>
      </c>
    </row>
    <row r="4483" spans="1:9" x14ac:dyDescent="0.25">
      <c r="A4483" s="1" t="str">
        <f>HYPERLINK("https://lynxcrm-apac--c.eu19.visual.force.com/0011i000001xnS1AAI","Singapore General Hospital")</f>
        <v>Singapore General Hospital</v>
      </c>
      <c r="B4483" t="s">
        <v>8625</v>
      </c>
      <c r="C4483" t="s">
        <v>10</v>
      </c>
      <c r="D4483" t="s">
        <v>8</v>
      </c>
      <c r="E4483" t="s">
        <v>8</v>
      </c>
      <c r="F4483" t="s">
        <v>239</v>
      </c>
      <c r="G4483" t="s">
        <v>252</v>
      </c>
      <c r="H4483" t="s">
        <v>252</v>
      </c>
      <c r="I4483" t="s">
        <v>253</v>
      </c>
    </row>
    <row r="4484" spans="1:9" x14ac:dyDescent="0.25">
      <c r="A4484" s="1" t="str">
        <f>HYPERLINK("https://lynxcrm-apac--c.eu19.visual.force.com/0011i000001xnUKAAY","Singapore General Hospital")</f>
        <v>Singapore General Hospital</v>
      </c>
      <c r="B4484" t="s">
        <v>8626</v>
      </c>
      <c r="C4484" t="s">
        <v>10</v>
      </c>
      <c r="D4484" t="s">
        <v>8</v>
      </c>
      <c r="E4484" t="s">
        <v>8</v>
      </c>
      <c r="F4484" t="s">
        <v>2244</v>
      </c>
      <c r="G4484" t="s">
        <v>252</v>
      </c>
      <c r="H4484" t="s">
        <v>252</v>
      </c>
      <c r="I4484" t="s">
        <v>253</v>
      </c>
    </row>
    <row r="4485" spans="1:9" x14ac:dyDescent="0.25">
      <c r="A4485" s="1" t="str">
        <f>HYPERLINK("https://lynxcrm-apac--c.eu19.visual.force.com/0011i000001xnUxAAI","Singapore General Hospital")</f>
        <v>Singapore General Hospital</v>
      </c>
      <c r="B4485" t="s">
        <v>8627</v>
      </c>
      <c r="C4485" t="s">
        <v>10</v>
      </c>
      <c r="D4485" t="s">
        <v>8</v>
      </c>
      <c r="E4485" t="s">
        <v>8</v>
      </c>
      <c r="F4485" t="s">
        <v>427</v>
      </c>
      <c r="G4485" t="s">
        <v>252</v>
      </c>
      <c r="H4485" t="s">
        <v>252</v>
      </c>
      <c r="I4485" t="s">
        <v>253</v>
      </c>
    </row>
    <row r="4486" spans="1:9" x14ac:dyDescent="0.25">
      <c r="A4486" s="1" t="str">
        <f>HYPERLINK("https://lynxcrm-apac--c.eu19.visual.force.com/0011i000001xnaYAAQ","Singapore General Hospital")</f>
        <v>Singapore General Hospital</v>
      </c>
      <c r="B4486" t="s">
        <v>8628</v>
      </c>
      <c r="C4486" t="s">
        <v>10</v>
      </c>
      <c r="D4486" t="s">
        <v>8</v>
      </c>
      <c r="E4486" t="s">
        <v>8</v>
      </c>
      <c r="F4486" t="s">
        <v>651</v>
      </c>
      <c r="G4486" t="s">
        <v>252</v>
      </c>
      <c r="H4486" t="s">
        <v>252</v>
      </c>
      <c r="I4486" t="s">
        <v>253</v>
      </c>
    </row>
    <row r="4487" spans="1:9" x14ac:dyDescent="0.25">
      <c r="A4487" s="1" t="str">
        <f>HYPERLINK("https://lynxcrm-apac--c.eu19.visual.force.com/0011i000001xnamAAA","Singapore General Hospital")</f>
        <v>Singapore General Hospital</v>
      </c>
      <c r="B4487" t="s">
        <v>8629</v>
      </c>
      <c r="C4487" t="s">
        <v>10</v>
      </c>
      <c r="D4487" t="s">
        <v>8</v>
      </c>
      <c r="E4487" t="s">
        <v>8</v>
      </c>
      <c r="F4487" t="s">
        <v>241</v>
      </c>
      <c r="G4487" t="s">
        <v>252</v>
      </c>
      <c r="H4487" t="s">
        <v>252</v>
      </c>
      <c r="I4487" t="s">
        <v>253</v>
      </c>
    </row>
    <row r="4488" spans="1:9" x14ac:dyDescent="0.25">
      <c r="A4488" s="1" t="str">
        <f>HYPERLINK("https://lynxcrm-apac--c.eu19.visual.force.com/0011i000001xmesAAA","Singapore General Hospital")</f>
        <v>Singapore General Hospital</v>
      </c>
      <c r="B4488" t="s">
        <v>8630</v>
      </c>
      <c r="C4488" t="s">
        <v>10</v>
      </c>
      <c r="D4488" t="s">
        <v>8</v>
      </c>
      <c r="E4488" t="s">
        <v>8</v>
      </c>
      <c r="F4488" t="s">
        <v>2244</v>
      </c>
      <c r="G4488" t="s">
        <v>252</v>
      </c>
      <c r="H4488" t="s">
        <v>858</v>
      </c>
      <c r="I4488" t="s">
        <v>253</v>
      </c>
    </row>
    <row r="4489" spans="1:9" x14ac:dyDescent="0.25">
      <c r="A4489" s="1" t="str">
        <f>HYPERLINK("https://lynxcrm-apac--c.eu19.visual.force.com/0011i000001xmgQAAQ","Singapore General Hospital")</f>
        <v>Singapore General Hospital</v>
      </c>
      <c r="B4489" t="s">
        <v>8631</v>
      </c>
      <c r="C4489" t="s">
        <v>10</v>
      </c>
      <c r="D4489" t="s">
        <v>8</v>
      </c>
      <c r="E4489" t="s">
        <v>8</v>
      </c>
      <c r="F4489" t="s">
        <v>252</v>
      </c>
      <c r="G4489" t="s">
        <v>252</v>
      </c>
      <c r="H4489" t="s">
        <v>8</v>
      </c>
      <c r="I4489" t="s">
        <v>1609</v>
      </c>
    </row>
    <row r="4490" spans="1:9" x14ac:dyDescent="0.25">
      <c r="A4490" s="1" t="str">
        <f>HYPERLINK("https://lynxcrm-apac--c.eu19.visual.force.com/0011i000001xmokAAA","Singapore General Hospital")</f>
        <v>Singapore General Hospital</v>
      </c>
      <c r="B4490" t="s">
        <v>8632</v>
      </c>
      <c r="C4490" t="s">
        <v>10</v>
      </c>
      <c r="D4490" t="s">
        <v>8</v>
      </c>
      <c r="E4490" t="s">
        <v>8</v>
      </c>
      <c r="F4490" t="s">
        <v>427</v>
      </c>
      <c r="G4490" t="s">
        <v>252</v>
      </c>
      <c r="H4490" t="s">
        <v>858</v>
      </c>
      <c r="I4490" t="s">
        <v>253</v>
      </c>
    </row>
    <row r="4491" spans="1:9" x14ac:dyDescent="0.25">
      <c r="A4491" s="1" t="str">
        <f>HYPERLINK("https://lynxcrm-apac--c.eu19.visual.force.com/0011i000001xmtHAAQ","Singapore General Hospital")</f>
        <v>Singapore General Hospital</v>
      </c>
      <c r="B4491" t="s">
        <v>8633</v>
      </c>
      <c r="C4491" t="s">
        <v>10</v>
      </c>
      <c r="D4491" t="s">
        <v>8</v>
      </c>
      <c r="E4491" t="s">
        <v>8</v>
      </c>
      <c r="F4491" t="s">
        <v>651</v>
      </c>
      <c r="G4491" t="s">
        <v>252</v>
      </c>
      <c r="H4491" t="s">
        <v>252</v>
      </c>
      <c r="I4491" t="s">
        <v>253</v>
      </c>
    </row>
    <row r="4492" spans="1:9" x14ac:dyDescent="0.25">
      <c r="A4492" s="1" t="str">
        <f>HYPERLINK("https://lynxcrm-apac--c.eu19.visual.force.com/0011i000001xmxpAAA","Singapore General Hospital")</f>
        <v>Singapore General Hospital</v>
      </c>
      <c r="B4492" t="s">
        <v>8634</v>
      </c>
      <c r="C4492" t="s">
        <v>10</v>
      </c>
      <c r="D4492" t="s">
        <v>8</v>
      </c>
      <c r="E4492" t="s">
        <v>8</v>
      </c>
      <c r="F4492" t="s">
        <v>8635</v>
      </c>
      <c r="G4492" t="s">
        <v>252</v>
      </c>
      <c r="H4492" t="s">
        <v>858</v>
      </c>
      <c r="I4492" t="s">
        <v>253</v>
      </c>
    </row>
    <row r="4493" spans="1:9" x14ac:dyDescent="0.25">
      <c r="A4493" s="1" t="str">
        <f>HYPERLINK("https://lynxcrm-apac--c.eu19.visual.force.com/0011i000001xn5cAAA","Singapore General Hospital")</f>
        <v>Singapore General Hospital</v>
      </c>
      <c r="B4493" t="s">
        <v>8636</v>
      </c>
      <c r="C4493" t="s">
        <v>10</v>
      </c>
      <c r="D4493" t="s">
        <v>8</v>
      </c>
      <c r="E4493" t="s">
        <v>8</v>
      </c>
      <c r="F4493" t="s">
        <v>2128</v>
      </c>
      <c r="G4493" t="s">
        <v>252</v>
      </c>
      <c r="H4493" t="s">
        <v>858</v>
      </c>
      <c r="I4493" t="s">
        <v>253</v>
      </c>
    </row>
    <row r="4494" spans="1:9" x14ac:dyDescent="0.25">
      <c r="A4494" s="1" t="str">
        <f>HYPERLINK("https://lynxcrm-apac--c.eu19.visual.force.com/0011i000001xnCZAAY","Singapore General Hospital")</f>
        <v>Singapore General Hospital</v>
      </c>
      <c r="B4494" t="s">
        <v>8637</v>
      </c>
      <c r="C4494" t="s">
        <v>10</v>
      </c>
      <c r="D4494" t="s">
        <v>8</v>
      </c>
      <c r="E4494" t="s">
        <v>8</v>
      </c>
      <c r="F4494" t="s">
        <v>1352</v>
      </c>
      <c r="G4494" t="s">
        <v>8638</v>
      </c>
      <c r="H4494" t="s">
        <v>858</v>
      </c>
      <c r="I4494" t="s">
        <v>253</v>
      </c>
    </row>
    <row r="4495" spans="1:9" x14ac:dyDescent="0.25">
      <c r="A4495" s="1" t="str">
        <f>HYPERLINK("https://lynxcrm-apac--c.eu19.visual.force.com/0011i000001xnFqAAI","Singapore General Hospital")</f>
        <v>Singapore General Hospital</v>
      </c>
      <c r="B4495" t="s">
        <v>8639</v>
      </c>
      <c r="C4495" t="s">
        <v>10</v>
      </c>
      <c r="D4495" t="s">
        <v>8</v>
      </c>
      <c r="E4495" t="s">
        <v>8</v>
      </c>
      <c r="F4495" t="s">
        <v>2128</v>
      </c>
      <c r="G4495" t="s">
        <v>252</v>
      </c>
      <c r="H4495" t="s">
        <v>858</v>
      </c>
      <c r="I4495" t="s">
        <v>253</v>
      </c>
    </row>
    <row r="4496" spans="1:9" x14ac:dyDescent="0.25">
      <c r="A4496" s="1" t="str">
        <f>HYPERLINK("https://lynxcrm-apac--c.eu19.visual.force.com/0011i000001xnO2AAI","Singapore General Hospital")</f>
        <v>Singapore General Hospital</v>
      </c>
      <c r="B4496" t="s">
        <v>8640</v>
      </c>
      <c r="C4496" t="s">
        <v>10</v>
      </c>
      <c r="D4496" t="s">
        <v>8</v>
      </c>
      <c r="E4496" t="s">
        <v>8</v>
      </c>
      <c r="F4496" t="s">
        <v>2128</v>
      </c>
      <c r="G4496" t="s">
        <v>252</v>
      </c>
      <c r="H4496" t="s">
        <v>252</v>
      </c>
      <c r="I4496" t="s">
        <v>253</v>
      </c>
    </row>
    <row r="4497" spans="1:9" x14ac:dyDescent="0.25">
      <c r="A4497" s="1" t="str">
        <f>HYPERLINK("https://lynxcrm-apac--c.eu19.visual.force.com/0011i000001xnPSAAY","Singapore General Hospital")</f>
        <v>Singapore General Hospital</v>
      </c>
      <c r="B4497" t="s">
        <v>8641</v>
      </c>
      <c r="C4497" t="s">
        <v>10</v>
      </c>
      <c r="D4497" t="s">
        <v>8</v>
      </c>
      <c r="E4497" t="s">
        <v>8</v>
      </c>
      <c r="F4497" t="s">
        <v>514</v>
      </c>
      <c r="G4497" t="s">
        <v>252</v>
      </c>
      <c r="H4497" t="s">
        <v>252</v>
      </c>
      <c r="I4497" t="s">
        <v>253</v>
      </c>
    </row>
    <row r="4498" spans="1:9" x14ac:dyDescent="0.25">
      <c r="A4498" s="1" t="str">
        <f>HYPERLINK("https://lynxcrm-apac--c.eu19.visual.force.com/0011i000001xnPbAAI","Singapore General Hospital")</f>
        <v>Singapore General Hospital</v>
      </c>
      <c r="B4498" t="s">
        <v>8642</v>
      </c>
      <c r="C4498" t="s">
        <v>10</v>
      </c>
      <c r="D4498" t="s">
        <v>8</v>
      </c>
      <c r="E4498" t="s">
        <v>8</v>
      </c>
      <c r="F4498" t="s">
        <v>239</v>
      </c>
      <c r="G4498" t="s">
        <v>252</v>
      </c>
      <c r="H4498" t="s">
        <v>252</v>
      </c>
      <c r="I4498" t="s">
        <v>253</v>
      </c>
    </row>
    <row r="4499" spans="1:9" x14ac:dyDescent="0.25">
      <c r="A4499" s="1" t="str">
        <f>HYPERLINK("https://lynxcrm-apac--c.eu19.visual.force.com/0011i000001xnPdAAI","Singapore General Hospital")</f>
        <v>Singapore General Hospital</v>
      </c>
      <c r="B4499" t="s">
        <v>8643</v>
      </c>
      <c r="C4499" t="s">
        <v>10</v>
      </c>
      <c r="D4499" t="s">
        <v>8</v>
      </c>
      <c r="E4499" t="s">
        <v>8</v>
      </c>
      <c r="F4499" t="s">
        <v>7074</v>
      </c>
      <c r="G4499" t="s">
        <v>252</v>
      </c>
      <c r="H4499" t="s">
        <v>252</v>
      </c>
      <c r="I4499" t="s">
        <v>253</v>
      </c>
    </row>
    <row r="4500" spans="1:9" x14ac:dyDescent="0.25">
      <c r="A4500" s="1" t="str">
        <f>HYPERLINK("https://lynxcrm-apac--c.eu19.visual.force.com/0011i000001xnSsAAI","Singapore General Hospital")</f>
        <v>Singapore General Hospital</v>
      </c>
      <c r="B4500" t="s">
        <v>8644</v>
      </c>
      <c r="C4500" t="s">
        <v>10</v>
      </c>
      <c r="D4500" t="s">
        <v>8</v>
      </c>
      <c r="E4500" t="s">
        <v>8</v>
      </c>
      <c r="F4500" t="s">
        <v>229</v>
      </c>
      <c r="G4500" t="s">
        <v>252</v>
      </c>
      <c r="H4500" t="s">
        <v>858</v>
      </c>
      <c r="I4500" t="s">
        <v>253</v>
      </c>
    </row>
    <row r="4501" spans="1:9" x14ac:dyDescent="0.25">
      <c r="A4501" s="1" t="str">
        <f>HYPERLINK("https://lynxcrm-apac--c.eu19.visual.force.com/0011i000001xnUGAAY","Singapore General Hospital")</f>
        <v>Singapore General Hospital</v>
      </c>
      <c r="B4501" t="s">
        <v>8645</v>
      </c>
      <c r="C4501" t="s">
        <v>10</v>
      </c>
      <c r="D4501" t="s">
        <v>8</v>
      </c>
      <c r="E4501" t="s">
        <v>8</v>
      </c>
      <c r="F4501" t="s">
        <v>1417</v>
      </c>
      <c r="G4501" t="s">
        <v>252</v>
      </c>
      <c r="H4501" t="s">
        <v>858</v>
      </c>
      <c r="I4501" t="s">
        <v>253</v>
      </c>
    </row>
    <row r="4502" spans="1:9" x14ac:dyDescent="0.25">
      <c r="A4502" s="1" t="str">
        <f>HYPERLINK("https://lynxcrm-apac--c.eu19.visual.force.com/0011i000001xnXWAAY","Singapore General Hospital")</f>
        <v>Singapore General Hospital</v>
      </c>
      <c r="B4502" t="s">
        <v>8646</v>
      </c>
      <c r="C4502" t="s">
        <v>10</v>
      </c>
      <c r="D4502" t="s">
        <v>8</v>
      </c>
      <c r="E4502" t="s">
        <v>8</v>
      </c>
      <c r="F4502" t="s">
        <v>1263</v>
      </c>
      <c r="G4502" t="s">
        <v>252</v>
      </c>
      <c r="H4502" t="s">
        <v>252</v>
      </c>
      <c r="I4502" t="s">
        <v>253</v>
      </c>
    </row>
    <row r="4503" spans="1:9" x14ac:dyDescent="0.25">
      <c r="A4503" s="1" t="str">
        <f>HYPERLINK("https://lynxcrm-apac--c.eu19.visual.force.com/0011i000001xnZ0AAI","Singapore General Hospital")</f>
        <v>Singapore General Hospital</v>
      </c>
      <c r="B4503" t="s">
        <v>8647</v>
      </c>
      <c r="C4503" t="s">
        <v>10</v>
      </c>
      <c r="D4503" t="s">
        <v>8</v>
      </c>
      <c r="E4503" t="s">
        <v>8</v>
      </c>
      <c r="F4503" t="s">
        <v>241</v>
      </c>
      <c r="G4503" t="s">
        <v>252</v>
      </c>
      <c r="H4503" t="s">
        <v>252</v>
      </c>
      <c r="I4503" t="s">
        <v>253</v>
      </c>
    </row>
    <row r="4504" spans="1:9" x14ac:dyDescent="0.25">
      <c r="A4504" s="1" t="str">
        <f>HYPERLINK("https://lynxcrm-apac--c.eu19.visual.force.com/0011i000001xmc8AAA","Singapore General Hospital")</f>
        <v>Singapore General Hospital</v>
      </c>
      <c r="B4504" t="s">
        <v>8648</v>
      </c>
      <c r="C4504" t="s">
        <v>10</v>
      </c>
      <c r="D4504" t="s">
        <v>8</v>
      </c>
      <c r="E4504" t="s">
        <v>8</v>
      </c>
      <c r="F4504" t="s">
        <v>1352</v>
      </c>
      <c r="G4504" t="s">
        <v>8638</v>
      </c>
      <c r="H4504" t="s">
        <v>858</v>
      </c>
      <c r="I4504" t="s">
        <v>253</v>
      </c>
    </row>
    <row r="4505" spans="1:9" x14ac:dyDescent="0.25">
      <c r="A4505" s="1" t="str">
        <f>HYPERLINK("https://lynxcrm-apac--c.eu19.visual.force.com/0011i000001xmcAAAQ","Singapore General Hospital")</f>
        <v>Singapore General Hospital</v>
      </c>
      <c r="B4505" t="s">
        <v>8649</v>
      </c>
      <c r="C4505" t="s">
        <v>10</v>
      </c>
      <c r="D4505" t="s">
        <v>8</v>
      </c>
      <c r="E4505" t="s">
        <v>8</v>
      </c>
      <c r="F4505" t="s">
        <v>514</v>
      </c>
      <c r="G4505" t="s">
        <v>252</v>
      </c>
      <c r="H4505" t="s">
        <v>252</v>
      </c>
      <c r="I4505" t="s">
        <v>253</v>
      </c>
    </row>
    <row r="4506" spans="1:9" x14ac:dyDescent="0.25">
      <c r="A4506" s="1" t="str">
        <f>HYPERLINK("https://lynxcrm-apac--c.eu19.visual.force.com/0011i000001xmeqAAA","Singapore General Hospital")</f>
        <v>Singapore General Hospital</v>
      </c>
      <c r="B4506" t="s">
        <v>8650</v>
      </c>
      <c r="C4506" t="s">
        <v>10</v>
      </c>
      <c r="D4506" t="s">
        <v>8</v>
      </c>
      <c r="E4506" t="s">
        <v>8</v>
      </c>
      <c r="F4506" t="s">
        <v>366</v>
      </c>
      <c r="G4506" t="s">
        <v>252</v>
      </c>
      <c r="H4506" t="s">
        <v>858</v>
      </c>
      <c r="I4506" t="s">
        <v>253</v>
      </c>
    </row>
    <row r="4507" spans="1:9" x14ac:dyDescent="0.25">
      <c r="A4507" s="1" t="str">
        <f>HYPERLINK("https://lynxcrm-apac--c.eu19.visual.force.com/0011i000001xmf3AAA","Singapore General Hospital")</f>
        <v>Singapore General Hospital</v>
      </c>
      <c r="B4507" t="s">
        <v>8651</v>
      </c>
      <c r="C4507" t="s">
        <v>10</v>
      </c>
      <c r="D4507" t="s">
        <v>8</v>
      </c>
      <c r="E4507" t="s">
        <v>8</v>
      </c>
      <c r="F4507" t="s">
        <v>241</v>
      </c>
      <c r="G4507" t="s">
        <v>252</v>
      </c>
      <c r="H4507" t="s">
        <v>252</v>
      </c>
      <c r="I4507" t="s">
        <v>253</v>
      </c>
    </row>
    <row r="4508" spans="1:9" x14ac:dyDescent="0.25">
      <c r="A4508" s="1" t="str">
        <f>HYPERLINK("https://lynxcrm-apac--c.eu19.visual.force.com/0011i000001xmgKAAQ","Singapore General Hospital")</f>
        <v>Singapore General Hospital</v>
      </c>
      <c r="B4508" t="s">
        <v>8652</v>
      </c>
      <c r="C4508" t="s">
        <v>10</v>
      </c>
      <c r="D4508" t="s">
        <v>8</v>
      </c>
      <c r="E4508" t="s">
        <v>8</v>
      </c>
      <c r="F4508" t="s">
        <v>252</v>
      </c>
      <c r="G4508" t="s">
        <v>251</v>
      </c>
      <c r="H4508" t="s">
        <v>251</v>
      </c>
      <c r="I4508" t="s">
        <v>253</v>
      </c>
    </row>
    <row r="4509" spans="1:9" x14ac:dyDescent="0.25">
      <c r="A4509" s="1" t="str">
        <f>HYPERLINK("https://lynxcrm-apac--c.eu19.visual.force.com/0011i000001xmiYAAQ","Singapore General Hospital")</f>
        <v>Singapore General Hospital</v>
      </c>
      <c r="B4509" t="s">
        <v>8653</v>
      </c>
      <c r="C4509" t="s">
        <v>10</v>
      </c>
      <c r="D4509" t="s">
        <v>8</v>
      </c>
      <c r="E4509" t="s">
        <v>8</v>
      </c>
      <c r="F4509" t="s">
        <v>241</v>
      </c>
      <c r="G4509" t="s">
        <v>252</v>
      </c>
      <c r="H4509" t="s">
        <v>252</v>
      </c>
      <c r="I4509" t="s">
        <v>253</v>
      </c>
    </row>
    <row r="4510" spans="1:9" x14ac:dyDescent="0.25">
      <c r="A4510" s="1" t="str">
        <f>HYPERLINK("https://lynxcrm-apac--c.eu19.visual.force.com/0011i000001xmjPAAQ","Singapore General Hospital")</f>
        <v>Singapore General Hospital</v>
      </c>
      <c r="B4510" t="s">
        <v>8654</v>
      </c>
      <c r="C4510" t="s">
        <v>10</v>
      </c>
      <c r="D4510" t="s">
        <v>8</v>
      </c>
      <c r="E4510" t="s">
        <v>8</v>
      </c>
      <c r="F4510" t="s">
        <v>246</v>
      </c>
      <c r="G4510" t="s">
        <v>252</v>
      </c>
      <c r="H4510" t="s">
        <v>252</v>
      </c>
      <c r="I4510" t="s">
        <v>253</v>
      </c>
    </row>
    <row r="4511" spans="1:9" x14ac:dyDescent="0.25">
      <c r="A4511" s="1" t="str">
        <f>HYPERLINK("https://lynxcrm-apac--c.eu19.visual.force.com/0011i000001xmpyAAA","Singapore General Hospital")</f>
        <v>Singapore General Hospital</v>
      </c>
      <c r="B4511" t="s">
        <v>8655</v>
      </c>
      <c r="C4511" t="s">
        <v>10</v>
      </c>
      <c r="D4511" t="s">
        <v>8</v>
      </c>
      <c r="E4511" t="s">
        <v>8</v>
      </c>
      <c r="F4511" t="s">
        <v>252</v>
      </c>
      <c r="G4511" t="s">
        <v>252</v>
      </c>
      <c r="H4511" t="s">
        <v>8</v>
      </c>
      <c r="I4511" t="s">
        <v>253</v>
      </c>
    </row>
    <row r="4512" spans="1:9" x14ac:dyDescent="0.25">
      <c r="A4512" s="1" t="str">
        <f>HYPERLINK("https://lynxcrm-apac--c.eu19.visual.force.com/0011i000001xmrSAAQ","Singapore General Hospital")</f>
        <v>Singapore General Hospital</v>
      </c>
      <c r="B4512" t="s">
        <v>8656</v>
      </c>
      <c r="C4512" t="s">
        <v>10</v>
      </c>
      <c r="D4512" t="s">
        <v>8</v>
      </c>
      <c r="E4512" t="s">
        <v>8</v>
      </c>
      <c r="F4512" t="s">
        <v>651</v>
      </c>
      <c r="G4512" t="s">
        <v>252</v>
      </c>
      <c r="H4512" t="s">
        <v>252</v>
      </c>
      <c r="I4512" t="s">
        <v>253</v>
      </c>
    </row>
    <row r="4513" spans="1:9" x14ac:dyDescent="0.25">
      <c r="A4513" s="1" t="str">
        <f>HYPERLINK("https://lynxcrm-apac--c.eu19.visual.force.com/0011i000001xmrcAAA","Singapore General Hospital")</f>
        <v>Singapore General Hospital</v>
      </c>
      <c r="B4513" t="s">
        <v>8657</v>
      </c>
      <c r="C4513" t="s">
        <v>10</v>
      </c>
      <c r="D4513" t="s">
        <v>8</v>
      </c>
      <c r="E4513" t="s">
        <v>8</v>
      </c>
      <c r="F4513" t="s">
        <v>239</v>
      </c>
      <c r="G4513" t="s">
        <v>252</v>
      </c>
      <c r="H4513" t="s">
        <v>858</v>
      </c>
      <c r="I4513" t="s">
        <v>253</v>
      </c>
    </row>
    <row r="4514" spans="1:9" x14ac:dyDescent="0.25">
      <c r="A4514" s="1" t="str">
        <f>HYPERLINK("https://lynxcrm-apac--c.eu19.visual.force.com/0011i000001xmu6AAA","Singapore General Hospital")</f>
        <v>Singapore General Hospital</v>
      </c>
      <c r="B4514" t="s">
        <v>8658</v>
      </c>
      <c r="C4514" t="s">
        <v>10</v>
      </c>
      <c r="D4514" t="s">
        <v>8</v>
      </c>
      <c r="E4514" t="s">
        <v>8</v>
      </c>
      <c r="F4514" t="s">
        <v>252</v>
      </c>
      <c r="G4514" t="s">
        <v>252</v>
      </c>
      <c r="H4514" t="s">
        <v>8</v>
      </c>
      <c r="I4514" t="s">
        <v>1609</v>
      </c>
    </row>
    <row r="4515" spans="1:9" x14ac:dyDescent="0.25">
      <c r="A4515" s="1" t="str">
        <f>HYPERLINK("https://lynxcrm-apac--c.eu19.visual.force.com/0011i000001xmxIAAQ","Singapore General Hospital")</f>
        <v>Singapore General Hospital</v>
      </c>
      <c r="B4515" t="s">
        <v>8659</v>
      </c>
      <c r="C4515" t="s">
        <v>10</v>
      </c>
      <c r="D4515" t="s">
        <v>8</v>
      </c>
      <c r="E4515" t="s">
        <v>8</v>
      </c>
      <c r="F4515" t="s">
        <v>427</v>
      </c>
      <c r="G4515" t="s">
        <v>252</v>
      </c>
      <c r="H4515" t="s">
        <v>858</v>
      </c>
      <c r="I4515" t="s">
        <v>253</v>
      </c>
    </row>
    <row r="4516" spans="1:9" x14ac:dyDescent="0.25">
      <c r="A4516" s="1" t="str">
        <f>HYPERLINK("https://lynxcrm-apac--c.eu19.visual.force.com/0011i000001xmxiAAA","Singapore General Hospital")</f>
        <v>Singapore General Hospital</v>
      </c>
      <c r="B4516" t="s">
        <v>8660</v>
      </c>
      <c r="C4516" t="s">
        <v>10</v>
      </c>
      <c r="D4516" t="s">
        <v>8</v>
      </c>
      <c r="E4516" t="s">
        <v>8</v>
      </c>
      <c r="F4516" t="s">
        <v>251</v>
      </c>
      <c r="G4516" t="s">
        <v>252</v>
      </c>
      <c r="H4516" t="s">
        <v>858</v>
      </c>
      <c r="I4516" t="s">
        <v>253</v>
      </c>
    </row>
    <row r="4517" spans="1:9" x14ac:dyDescent="0.25">
      <c r="A4517" s="1" t="str">
        <f>HYPERLINK("https://lynxcrm-apac--c.eu19.visual.force.com/0011i000001xmxjAAA","Singapore General Hospital")</f>
        <v>Singapore General Hospital</v>
      </c>
      <c r="B4517" t="s">
        <v>8661</v>
      </c>
      <c r="C4517" t="s">
        <v>10</v>
      </c>
      <c r="D4517" t="s">
        <v>8</v>
      </c>
      <c r="E4517" t="s">
        <v>8</v>
      </c>
      <c r="F4517" t="s">
        <v>251</v>
      </c>
      <c r="G4517" t="s">
        <v>252</v>
      </c>
      <c r="H4517" t="s">
        <v>858</v>
      </c>
      <c r="I4517" t="s">
        <v>253</v>
      </c>
    </row>
    <row r="4518" spans="1:9" x14ac:dyDescent="0.25">
      <c r="A4518" s="1" t="str">
        <f>HYPERLINK("https://lynxcrm-apac--c.eu19.visual.force.com/0011i000001xmyiAAA","Singapore General Hospital")</f>
        <v>Singapore General Hospital</v>
      </c>
      <c r="B4518" t="s">
        <v>8662</v>
      </c>
      <c r="C4518" t="s">
        <v>10</v>
      </c>
      <c r="D4518" t="s">
        <v>8</v>
      </c>
      <c r="E4518" t="s">
        <v>8</v>
      </c>
      <c r="F4518" t="s">
        <v>252</v>
      </c>
      <c r="G4518" t="s">
        <v>252</v>
      </c>
      <c r="H4518" t="s">
        <v>858</v>
      </c>
      <c r="I4518" t="s">
        <v>253</v>
      </c>
    </row>
    <row r="4519" spans="1:9" x14ac:dyDescent="0.25">
      <c r="A4519" s="1" t="str">
        <f>HYPERLINK("https://lynxcrm-apac--c.eu19.visual.force.com/0011i000001xmylAAA","Singapore General Hospital")</f>
        <v>Singapore General Hospital</v>
      </c>
      <c r="B4519" t="s">
        <v>8663</v>
      </c>
      <c r="C4519" t="s">
        <v>10</v>
      </c>
      <c r="D4519" t="s">
        <v>8</v>
      </c>
      <c r="E4519" t="s">
        <v>8</v>
      </c>
      <c r="F4519" t="s">
        <v>241</v>
      </c>
      <c r="G4519" t="s">
        <v>252</v>
      </c>
      <c r="H4519" t="s">
        <v>252</v>
      </c>
      <c r="I4519" t="s">
        <v>253</v>
      </c>
    </row>
    <row r="4520" spans="1:9" x14ac:dyDescent="0.25">
      <c r="A4520" s="1" t="str">
        <f>HYPERLINK("https://lynxcrm-apac--c.eu19.visual.force.com/0011i000001xn3OAAQ","Singapore General Hospital")</f>
        <v>Singapore General Hospital</v>
      </c>
      <c r="B4520" t="s">
        <v>8664</v>
      </c>
      <c r="C4520" t="s">
        <v>10</v>
      </c>
      <c r="D4520" t="s">
        <v>8</v>
      </c>
      <c r="E4520" t="s">
        <v>8</v>
      </c>
      <c r="F4520" t="s">
        <v>473</v>
      </c>
      <c r="G4520" t="s">
        <v>252</v>
      </c>
      <c r="H4520" t="s">
        <v>858</v>
      </c>
      <c r="I4520" t="s">
        <v>253</v>
      </c>
    </row>
    <row r="4521" spans="1:9" x14ac:dyDescent="0.25">
      <c r="A4521" s="1" t="str">
        <f>HYPERLINK("https://lynxcrm-apac--c.eu19.visual.force.com/0011i000001xn47AAA","Singapore General Hospital")</f>
        <v>Singapore General Hospital</v>
      </c>
      <c r="B4521" t="s">
        <v>8665</v>
      </c>
      <c r="C4521" t="s">
        <v>10</v>
      </c>
      <c r="D4521" t="s">
        <v>8</v>
      </c>
      <c r="E4521" t="s">
        <v>8</v>
      </c>
      <c r="F4521" t="s">
        <v>1623</v>
      </c>
      <c r="G4521" t="s">
        <v>252</v>
      </c>
      <c r="H4521" t="s">
        <v>858</v>
      </c>
      <c r="I4521" t="s">
        <v>253</v>
      </c>
    </row>
    <row r="4522" spans="1:9" x14ac:dyDescent="0.25">
      <c r="A4522" s="1" t="str">
        <f>HYPERLINK("https://lynxcrm-apac--c.eu19.visual.force.com/0011i000001xn4sAAA","Singapore General Hospital")</f>
        <v>Singapore General Hospital</v>
      </c>
      <c r="B4522" t="s">
        <v>8666</v>
      </c>
      <c r="C4522" t="s">
        <v>10</v>
      </c>
      <c r="D4522" t="s">
        <v>8</v>
      </c>
      <c r="E4522" t="s">
        <v>8</v>
      </c>
      <c r="F4522" t="s">
        <v>7074</v>
      </c>
      <c r="G4522" t="s">
        <v>252</v>
      </c>
      <c r="H4522" t="s">
        <v>252</v>
      </c>
      <c r="I4522" t="s">
        <v>253</v>
      </c>
    </row>
    <row r="4523" spans="1:9" x14ac:dyDescent="0.25">
      <c r="A4523" s="1" t="str">
        <f>HYPERLINK("https://lynxcrm-apac--c.eu19.visual.force.com/0011i000001xn7CAAQ","Singapore General Hospital")</f>
        <v>Singapore General Hospital</v>
      </c>
      <c r="B4523" t="s">
        <v>8667</v>
      </c>
      <c r="C4523" t="s">
        <v>10</v>
      </c>
      <c r="D4523" t="s">
        <v>8</v>
      </c>
      <c r="E4523" t="s">
        <v>8</v>
      </c>
      <c r="F4523" t="s">
        <v>1352</v>
      </c>
      <c r="G4523" t="s">
        <v>1353</v>
      </c>
      <c r="H4523" t="s">
        <v>858</v>
      </c>
      <c r="I4523" t="s">
        <v>253</v>
      </c>
    </row>
    <row r="4524" spans="1:9" x14ac:dyDescent="0.25">
      <c r="A4524" s="1" t="str">
        <f>HYPERLINK("https://lynxcrm-apac--c.eu19.visual.force.com/0011i000001xnMZAAY","Singapore General Hospital")</f>
        <v>Singapore General Hospital</v>
      </c>
      <c r="B4524" t="s">
        <v>8668</v>
      </c>
      <c r="C4524" t="s">
        <v>10</v>
      </c>
      <c r="D4524" t="s">
        <v>8</v>
      </c>
      <c r="E4524" t="s">
        <v>8</v>
      </c>
      <c r="F4524" t="s">
        <v>8669</v>
      </c>
      <c r="G4524" t="s">
        <v>252</v>
      </c>
      <c r="H4524" t="s">
        <v>252</v>
      </c>
      <c r="I4524" t="s">
        <v>253</v>
      </c>
    </row>
    <row r="4525" spans="1:9" x14ac:dyDescent="0.25">
      <c r="A4525" s="1" t="str">
        <f>HYPERLINK("https://lynxcrm-apac--c.eu19.visual.force.com/0011i000001xnN0AAI","Singapore General Hospital")</f>
        <v>Singapore General Hospital</v>
      </c>
      <c r="B4525" t="s">
        <v>8670</v>
      </c>
      <c r="C4525" t="s">
        <v>10</v>
      </c>
      <c r="D4525" t="s">
        <v>8</v>
      </c>
      <c r="E4525" t="s">
        <v>8</v>
      </c>
      <c r="F4525" t="s">
        <v>651</v>
      </c>
      <c r="G4525" t="s">
        <v>252</v>
      </c>
      <c r="H4525" t="s">
        <v>252</v>
      </c>
      <c r="I4525" t="s">
        <v>253</v>
      </c>
    </row>
    <row r="4526" spans="1:9" x14ac:dyDescent="0.25">
      <c r="A4526" s="1" t="str">
        <f>HYPERLINK("https://lynxcrm-apac--c.eu19.visual.force.com/0011i000001xnSSAAY","Singapore General Hospital")</f>
        <v>Singapore General Hospital</v>
      </c>
      <c r="B4526" t="s">
        <v>8671</v>
      </c>
      <c r="C4526" t="s">
        <v>10</v>
      </c>
      <c r="D4526" t="s">
        <v>8</v>
      </c>
      <c r="E4526" t="s">
        <v>8</v>
      </c>
      <c r="F4526" t="s">
        <v>1392</v>
      </c>
      <c r="G4526" t="s">
        <v>252</v>
      </c>
      <c r="H4526" t="s">
        <v>252</v>
      </c>
      <c r="I4526" t="s">
        <v>253</v>
      </c>
    </row>
    <row r="4527" spans="1:9" x14ac:dyDescent="0.25">
      <c r="A4527" s="1" t="str">
        <f>HYPERLINK("https://lynxcrm-apac--c.eu19.visual.force.com/0011i000001xnXiAAI","Singapore General Hospital")</f>
        <v>Singapore General Hospital</v>
      </c>
      <c r="B4527" t="s">
        <v>8672</v>
      </c>
      <c r="C4527" t="s">
        <v>10</v>
      </c>
      <c r="D4527" t="s">
        <v>8</v>
      </c>
      <c r="E4527" t="s">
        <v>8</v>
      </c>
      <c r="F4527" t="s">
        <v>7074</v>
      </c>
      <c r="G4527" t="s">
        <v>252</v>
      </c>
      <c r="H4527" t="s">
        <v>252</v>
      </c>
      <c r="I4527" t="s">
        <v>253</v>
      </c>
    </row>
    <row r="4528" spans="1:9" x14ac:dyDescent="0.25">
      <c r="A4528" s="1" t="str">
        <f>HYPERLINK("https://lynxcrm-apac--c.eu19.visual.force.com/0011i000001xnYNAAY","Singapore General Hospital")</f>
        <v>Singapore General Hospital</v>
      </c>
      <c r="B4528" t="s">
        <v>8673</v>
      </c>
      <c r="C4528" t="s">
        <v>10</v>
      </c>
      <c r="D4528" t="s">
        <v>8</v>
      </c>
      <c r="E4528" t="s">
        <v>8</v>
      </c>
      <c r="F4528" t="s">
        <v>427</v>
      </c>
      <c r="G4528" t="s">
        <v>252</v>
      </c>
      <c r="H4528" t="s">
        <v>252</v>
      </c>
      <c r="I4528" t="s">
        <v>253</v>
      </c>
    </row>
    <row r="4529" spans="1:9" x14ac:dyDescent="0.25">
      <c r="A4529" s="1" t="str">
        <f>HYPERLINK("https://lynxcrm-apac--c.eu19.visual.force.com/0011i000001xnZUAAY","Singapore General Hospital")</f>
        <v>Singapore General Hospital</v>
      </c>
      <c r="B4529" t="s">
        <v>8674</v>
      </c>
      <c r="C4529" t="s">
        <v>10</v>
      </c>
      <c r="D4529" t="s">
        <v>8</v>
      </c>
      <c r="E4529" t="s">
        <v>8</v>
      </c>
      <c r="F4529" t="s">
        <v>252</v>
      </c>
      <c r="G4529" t="s">
        <v>252</v>
      </c>
      <c r="H4529" t="s">
        <v>8</v>
      </c>
      <c r="I4529" t="s">
        <v>253</v>
      </c>
    </row>
    <row r="4530" spans="1:9" x14ac:dyDescent="0.25">
      <c r="A4530" s="1" t="str">
        <f>HYPERLINK("https://lynxcrm-apac--c.eu19.visual.force.com/0011i000001xnb0AAA","Singapore General Hospital")</f>
        <v>Singapore General Hospital</v>
      </c>
      <c r="B4530" t="s">
        <v>8675</v>
      </c>
      <c r="C4530" t="s">
        <v>10</v>
      </c>
      <c r="D4530" t="s">
        <v>8</v>
      </c>
      <c r="E4530" t="s">
        <v>8</v>
      </c>
      <c r="F4530" t="s">
        <v>5021</v>
      </c>
      <c r="G4530" t="s">
        <v>252</v>
      </c>
      <c r="H4530" t="s">
        <v>858</v>
      </c>
      <c r="I4530" t="s">
        <v>253</v>
      </c>
    </row>
    <row r="4531" spans="1:9" x14ac:dyDescent="0.25">
      <c r="A4531" s="1" t="str">
        <f>HYPERLINK("https://lynxcrm-apac--c.eu19.visual.force.com/0011i000001xnbMAAQ","Singapore General Hospital")</f>
        <v>Singapore General Hospital</v>
      </c>
      <c r="B4531" t="s">
        <v>8676</v>
      </c>
      <c r="C4531" t="s">
        <v>10</v>
      </c>
      <c r="D4531" t="s">
        <v>8</v>
      </c>
      <c r="E4531" t="s">
        <v>8</v>
      </c>
      <c r="F4531" t="s">
        <v>7074</v>
      </c>
      <c r="G4531" t="s">
        <v>252</v>
      </c>
      <c r="H4531" t="s">
        <v>252</v>
      </c>
      <c r="I4531" t="s">
        <v>253</v>
      </c>
    </row>
    <row r="4532" spans="1:9" x14ac:dyDescent="0.25">
      <c r="A4532" s="1" t="str">
        <f>HYPERLINK("https://lynxcrm-apac--c.eu19.visual.force.com/0011i000001xnBWAAY","Singapore Medical Specialist Centre")</f>
        <v>Singapore Medical Specialist Centre</v>
      </c>
      <c r="B4532" t="s">
        <v>8677</v>
      </c>
      <c r="C4532" t="s">
        <v>10</v>
      </c>
      <c r="D4532" t="s">
        <v>8</v>
      </c>
      <c r="E4532" t="s">
        <v>8</v>
      </c>
      <c r="F4532" t="s">
        <v>317</v>
      </c>
      <c r="G4532" t="s">
        <v>2105</v>
      </c>
      <c r="H4532" t="s">
        <v>5910</v>
      </c>
      <c r="I4532" t="s">
        <v>85</v>
      </c>
    </row>
    <row r="4533" spans="1:9" x14ac:dyDescent="0.25">
      <c r="A4533" s="1" t="str">
        <f>HYPERLINK("https://lynxcrm-apac--c.eu19.visual.force.com/0011i000001xnA2AAI","Singapore Medical Specialist Ctr")</f>
        <v>Singapore Medical Specialist Ctr</v>
      </c>
      <c r="B4533" t="s">
        <v>8678</v>
      </c>
      <c r="C4533" t="s">
        <v>10</v>
      </c>
      <c r="D4533" t="s">
        <v>8</v>
      </c>
      <c r="E4533" t="s">
        <v>8</v>
      </c>
      <c r="F4533" t="s">
        <v>317</v>
      </c>
      <c r="G4533" t="s">
        <v>2105</v>
      </c>
      <c r="H4533" t="s">
        <v>2105</v>
      </c>
      <c r="I4533" t="s">
        <v>85</v>
      </c>
    </row>
    <row r="4534" spans="1:9" x14ac:dyDescent="0.25">
      <c r="A4534" s="1" t="str">
        <f>HYPERLINK("https://lynxcrm-apac--c.eu19.visual.force.com/0011i000001xmhnAAA","Singapore mSports &amp; Orthopaedic Clinic")</f>
        <v>Singapore mSports &amp; Orthopaedic Clinic</v>
      </c>
      <c r="B4534" t="s">
        <v>8679</v>
      </c>
      <c r="C4534" t="s">
        <v>10</v>
      </c>
      <c r="D4534" t="s">
        <v>8</v>
      </c>
      <c r="E4534" t="s">
        <v>8</v>
      </c>
      <c r="F4534" t="s">
        <v>8680</v>
      </c>
      <c r="G4534" t="s">
        <v>65</v>
      </c>
      <c r="H4534" t="s">
        <v>65</v>
      </c>
      <c r="I4534" t="s">
        <v>67</v>
      </c>
    </row>
    <row r="4535" spans="1:9" x14ac:dyDescent="0.25">
      <c r="A4535" s="1" t="str">
        <f>HYPERLINK("https://lynxcrm-apac--c.eu19.visual.force.com/0011i000001xnFtAAI","Singapore Paincare Center")</f>
        <v>Singapore Paincare Center</v>
      </c>
      <c r="B4535" t="s">
        <v>8681</v>
      </c>
      <c r="C4535" t="s">
        <v>10</v>
      </c>
      <c r="D4535" t="s">
        <v>8</v>
      </c>
      <c r="E4535" t="s">
        <v>8</v>
      </c>
      <c r="F4535" t="s">
        <v>317</v>
      </c>
      <c r="G4535" t="s">
        <v>8682</v>
      </c>
      <c r="H4535" t="s">
        <v>8683</v>
      </c>
      <c r="I4535" t="s">
        <v>85</v>
      </c>
    </row>
    <row r="4536" spans="1:9" x14ac:dyDescent="0.25">
      <c r="A4536" s="1" t="str">
        <f>HYPERLINK("https://lynxcrm-apac--c.eu19.visual.force.com/0011i000001xoX3AAI","Singaporewalla, Reyaz Moiz")</f>
        <v>Singaporewalla, Reyaz Moiz</v>
      </c>
      <c r="B4536" t="s">
        <v>8684</v>
      </c>
      <c r="C4536" t="s">
        <v>28</v>
      </c>
      <c r="D4536" t="s">
        <v>1253</v>
      </c>
      <c r="E4536" t="s">
        <v>8</v>
      </c>
      <c r="F4536" t="s">
        <v>366</v>
      </c>
      <c r="G4536" t="s">
        <v>360</v>
      </c>
      <c r="H4536" t="s">
        <v>361</v>
      </c>
      <c r="I4536" t="s">
        <v>362</v>
      </c>
    </row>
    <row r="4537" spans="1:9" x14ac:dyDescent="0.25">
      <c r="A4537" s="1" t="str">
        <f>HYPERLINK("https://lynxcrm-apac--c.eu19.visual.force.com/0011i000001xnPzAAI","Singapore Women's Clinic")</f>
        <v>Singapore Women's Clinic</v>
      </c>
      <c r="B4537" t="s">
        <v>8685</v>
      </c>
      <c r="C4537" t="s">
        <v>10</v>
      </c>
      <c r="D4537" t="s">
        <v>8</v>
      </c>
      <c r="E4537" t="s">
        <v>8</v>
      </c>
      <c r="F4537" t="s">
        <v>4916</v>
      </c>
      <c r="G4537" t="s">
        <v>1064</v>
      </c>
      <c r="H4537" t="s">
        <v>8686</v>
      </c>
      <c r="I4537" t="s">
        <v>1783</v>
      </c>
    </row>
    <row r="4538" spans="1:9" x14ac:dyDescent="0.25">
      <c r="A4538" s="1" t="str">
        <f>HYPERLINK("https://lynxcrm-apac--c.eu19.visual.force.com/0011i000001xmvbAAA","Singapura Clinic")</f>
        <v>Singapura Clinic</v>
      </c>
      <c r="B4538" t="s">
        <v>8687</v>
      </c>
      <c r="C4538" t="s">
        <v>10</v>
      </c>
      <c r="D4538" t="s">
        <v>8</v>
      </c>
      <c r="E4538" t="s">
        <v>8</v>
      </c>
      <c r="F4538" t="s">
        <v>8688</v>
      </c>
      <c r="G4538" t="s">
        <v>8689</v>
      </c>
      <c r="H4538" t="s">
        <v>8689</v>
      </c>
      <c r="I4538" t="s">
        <v>8690</v>
      </c>
    </row>
    <row r="4539" spans="1:9" x14ac:dyDescent="0.25">
      <c r="A4539" s="1" t="str">
        <f>HYPERLINK("https://lynxcrm-apac--c.eu19.visual.force.com/0011i000001xmvbAAA","Singapura Clinic")</f>
        <v>Singapura Clinic</v>
      </c>
      <c r="B4539" t="s">
        <v>8687</v>
      </c>
      <c r="C4539" t="s">
        <v>10</v>
      </c>
      <c r="D4539" t="s">
        <v>8</v>
      </c>
      <c r="E4539" t="s">
        <v>8</v>
      </c>
      <c r="F4539" t="s">
        <v>8688</v>
      </c>
      <c r="G4539" t="s">
        <v>8689</v>
      </c>
      <c r="H4539" t="s">
        <v>8691</v>
      </c>
      <c r="I4539" t="s">
        <v>8690</v>
      </c>
    </row>
    <row r="4540" spans="1:9" x14ac:dyDescent="0.25">
      <c r="A4540" s="1" t="str">
        <f>HYPERLINK("https://lynxcrm-apac--c.eu19.visual.force.com/0011i000001xoo5AAA","Singh, Jiwan")</f>
        <v>Singh, Jiwan</v>
      </c>
      <c r="B4540" t="s">
        <v>8692</v>
      </c>
      <c r="C4540" t="s">
        <v>28</v>
      </c>
      <c r="D4540" t="s">
        <v>5411</v>
      </c>
      <c r="E4540" t="s">
        <v>8</v>
      </c>
      <c r="F4540" t="s">
        <v>69</v>
      </c>
      <c r="G4540" t="s">
        <v>2812</v>
      </c>
      <c r="H4540" t="s">
        <v>2813</v>
      </c>
      <c r="I4540" t="s">
        <v>67</v>
      </c>
    </row>
    <row r="4541" spans="1:9" x14ac:dyDescent="0.25">
      <c r="A4541" s="1" t="str">
        <f>HYPERLINK("https://lynxcrm-apac--c.eu19.visual.force.com/0011i000007EfU0AAK","Singh, Sukhvinder")</f>
        <v>Singh, Sukhvinder</v>
      </c>
      <c r="B4541" t="s">
        <v>8693</v>
      </c>
      <c r="C4541" t="s">
        <v>28</v>
      </c>
      <c r="D4541" t="s">
        <v>8694</v>
      </c>
      <c r="E4541" t="s">
        <v>8</v>
      </c>
      <c r="F4541" t="s">
        <v>2829</v>
      </c>
      <c r="G4541" t="s">
        <v>8695</v>
      </c>
      <c r="H4541" t="s">
        <v>8</v>
      </c>
      <c r="I4541" t="s">
        <v>8696</v>
      </c>
    </row>
    <row r="4542" spans="1:9" x14ac:dyDescent="0.25">
      <c r="A4542" s="1" t="str">
        <f>HYPERLINK("https://lynxcrm-apac--c.eu19.visual.force.com/0011i000001xn70AAA","Singhealth Polyclinics")</f>
        <v>Singhealth Polyclinics</v>
      </c>
      <c r="B4542" t="s">
        <v>8697</v>
      </c>
      <c r="C4542" t="s">
        <v>10</v>
      </c>
      <c r="D4542" t="s">
        <v>8</v>
      </c>
      <c r="E4542" t="s">
        <v>8</v>
      </c>
      <c r="F4542" t="s">
        <v>753</v>
      </c>
      <c r="G4542" t="s">
        <v>6251</v>
      </c>
      <c r="H4542" t="s">
        <v>6251</v>
      </c>
      <c r="I4542" t="s">
        <v>137</v>
      </c>
    </row>
    <row r="4543" spans="1:9" x14ac:dyDescent="0.25">
      <c r="A4543" s="1" t="str">
        <f>HYPERLINK("https://lynxcrm-apac--c.eu19.visual.force.com/0011i000001xnmwAAA","Singh Shahi, Maninder")</f>
        <v>Singh Shahi, Maninder</v>
      </c>
      <c r="B4543" t="s">
        <v>8698</v>
      </c>
      <c r="C4543" t="s">
        <v>28</v>
      </c>
      <c r="D4543" t="s">
        <v>8699</v>
      </c>
      <c r="E4543" t="s">
        <v>8</v>
      </c>
      <c r="F4543" t="s">
        <v>8700</v>
      </c>
      <c r="G4543" t="s">
        <v>8701</v>
      </c>
      <c r="H4543" t="s">
        <v>8702</v>
      </c>
      <c r="I4543" t="s">
        <v>8703</v>
      </c>
    </row>
    <row r="4544" spans="1:9" x14ac:dyDescent="0.25">
      <c r="A4544" s="1" t="str">
        <f>HYPERLINK("https://lynxcrm-apac--c.eu19.visual.force.com/0011i000001xoB3AAI","Singh Sidhu, Daljeet")</f>
        <v>Singh Sidhu, Daljeet</v>
      </c>
      <c r="B4544" t="s">
        <v>8704</v>
      </c>
      <c r="C4544" t="s">
        <v>28</v>
      </c>
      <c r="D4544" t="s">
        <v>90</v>
      </c>
      <c r="E4544" t="s">
        <v>8</v>
      </c>
      <c r="F4544" t="s">
        <v>90</v>
      </c>
      <c r="G4544" t="s">
        <v>91</v>
      </c>
      <c r="H4544" t="s">
        <v>91</v>
      </c>
      <c r="I4544" t="s">
        <v>92</v>
      </c>
    </row>
    <row r="4545" spans="1:9" x14ac:dyDescent="0.25">
      <c r="A4545" s="1" t="str">
        <f>HYPERLINK("https://lynxcrm-apac--c.eu19.visual.force.com/0011i000001xoB3AAI","Singh Sidhu, Daljeet")</f>
        <v>Singh Sidhu, Daljeet</v>
      </c>
      <c r="B4545" t="s">
        <v>8704</v>
      </c>
      <c r="C4545" t="s">
        <v>28</v>
      </c>
      <c r="D4545" t="s">
        <v>520</v>
      </c>
      <c r="E4545" t="s">
        <v>8</v>
      </c>
      <c r="F4545" t="s">
        <v>90</v>
      </c>
      <c r="G4545" t="s">
        <v>521</v>
      </c>
      <c r="H4545" t="s">
        <v>521</v>
      </c>
      <c r="I4545" t="s">
        <v>92</v>
      </c>
    </row>
    <row r="4546" spans="1:9" x14ac:dyDescent="0.25">
      <c r="A4546" s="1" t="str">
        <f>HYPERLINK("https://lynxcrm-apac--c.eu19.visual.force.com/0011i000001xn8VAAQ","Sin Min Clinic")</f>
        <v>Sin Min Clinic</v>
      </c>
      <c r="B4546" t="s">
        <v>8705</v>
      </c>
      <c r="C4546" t="s">
        <v>10</v>
      </c>
      <c r="D4546" t="s">
        <v>8</v>
      </c>
      <c r="E4546" t="s">
        <v>8</v>
      </c>
      <c r="F4546" t="s">
        <v>8706</v>
      </c>
      <c r="G4546" t="s">
        <v>8706</v>
      </c>
      <c r="H4546" t="s">
        <v>8707</v>
      </c>
      <c r="I4546" t="s">
        <v>8708</v>
      </c>
    </row>
    <row r="4547" spans="1:9" x14ac:dyDescent="0.25">
      <c r="A4547" s="1" t="str">
        <f>HYPERLINK("https://lynxcrm-apac--c.eu19.visual.force.com/0011i000001xnqeAAA","Siow, Boon Leng")</f>
        <v>Siow, Boon Leng</v>
      </c>
      <c r="B4547" t="s">
        <v>8709</v>
      </c>
      <c r="C4547" t="s">
        <v>28</v>
      </c>
      <c r="D4547" t="s">
        <v>8710</v>
      </c>
      <c r="E4547" t="s">
        <v>8</v>
      </c>
      <c r="F4547" t="s">
        <v>3498</v>
      </c>
      <c r="G4547" t="s">
        <v>6602</v>
      </c>
      <c r="H4547" t="s">
        <v>6603</v>
      </c>
      <c r="I4547" t="s">
        <v>3500</v>
      </c>
    </row>
    <row r="4548" spans="1:9" x14ac:dyDescent="0.25">
      <c r="A4548" s="1" t="str">
        <f>HYPERLINK("https://lynxcrm-apac--c.eu19.visual.force.com/0011i000001xnzaAAA","Siow, Hua Ming")</f>
        <v>Siow, Hua Ming</v>
      </c>
      <c r="B4548" t="s">
        <v>8711</v>
      </c>
      <c r="C4548" t="s">
        <v>28</v>
      </c>
      <c r="D4548" t="s">
        <v>8712</v>
      </c>
      <c r="E4548" t="s">
        <v>8</v>
      </c>
      <c r="F4548" t="s">
        <v>2490</v>
      </c>
      <c r="G4548" t="s">
        <v>7580</v>
      </c>
      <c r="H4548" t="s">
        <v>7580</v>
      </c>
      <c r="I4548" t="s">
        <v>344</v>
      </c>
    </row>
    <row r="4549" spans="1:9" x14ac:dyDescent="0.25">
      <c r="A4549" s="1" t="str">
        <f>HYPERLINK("https://lynxcrm-apac--c.eu19.visual.force.com/0011i000001xnqfAAA","Siow, Kwong Thye")</f>
        <v>Siow, Kwong Thye</v>
      </c>
      <c r="B4549" t="s">
        <v>8713</v>
      </c>
      <c r="C4549" t="s">
        <v>28</v>
      </c>
      <c r="D4549" t="s">
        <v>8714</v>
      </c>
      <c r="E4549" t="s">
        <v>8</v>
      </c>
      <c r="F4549" t="s">
        <v>3023</v>
      </c>
      <c r="G4549" t="s">
        <v>3024</v>
      </c>
      <c r="H4549" t="s">
        <v>3025</v>
      </c>
      <c r="I4549" t="s">
        <v>3026</v>
      </c>
    </row>
    <row r="4550" spans="1:9" x14ac:dyDescent="0.25">
      <c r="A4550" s="1" t="str">
        <f>HYPERLINK("https://lynxcrm-apac--c.eu19.visual.force.com/0011i000001xoK2AAI","Siow, Yew Ming Anthony")</f>
        <v>Siow, Yew Ming Anthony</v>
      </c>
      <c r="B4550" t="s">
        <v>8715</v>
      </c>
      <c r="C4550" t="s">
        <v>28</v>
      </c>
      <c r="D4550" t="s">
        <v>8075</v>
      </c>
      <c r="E4550" t="s">
        <v>8</v>
      </c>
      <c r="F4550" t="s">
        <v>65</v>
      </c>
      <c r="G4550" t="s">
        <v>7634</v>
      </c>
      <c r="H4550" t="s">
        <v>7634</v>
      </c>
      <c r="I4550" t="s">
        <v>466</v>
      </c>
    </row>
    <row r="4551" spans="1:9" x14ac:dyDescent="0.25">
      <c r="A4551" s="1" t="str">
        <f>HYPERLINK("https://lynxcrm-apac--c.eu19.visual.force.com/0011i000001xmtQAAQ","Siow Neurology Headache &amp; Pain Centre")</f>
        <v>Siow Neurology Headache &amp; Pain Centre</v>
      </c>
      <c r="B4551" t="s">
        <v>8716</v>
      </c>
      <c r="C4551" t="s">
        <v>10</v>
      </c>
      <c r="D4551" t="s">
        <v>8</v>
      </c>
      <c r="E4551" t="s">
        <v>8</v>
      </c>
      <c r="F4551" t="s">
        <v>8717</v>
      </c>
      <c r="G4551" t="s">
        <v>203</v>
      </c>
      <c r="H4551" t="s">
        <v>203</v>
      </c>
      <c r="I4551" t="s">
        <v>200</v>
      </c>
    </row>
    <row r="4552" spans="1:9" x14ac:dyDescent="0.25">
      <c r="A4552" s="1" t="str">
        <f>HYPERLINK("https://lynxcrm-apac--c.eu19.visual.force.com/0011i000001xnkJAAQ","Siriamornsarp, Ratnaporn")</f>
        <v>Siriamornsarp, Ratnaporn</v>
      </c>
      <c r="B4552" t="s">
        <v>8718</v>
      </c>
      <c r="C4552" t="s">
        <v>28</v>
      </c>
      <c r="D4552" t="s">
        <v>701</v>
      </c>
      <c r="E4552" t="s">
        <v>8</v>
      </c>
      <c r="F4552" t="s">
        <v>1123</v>
      </c>
      <c r="G4552" t="s">
        <v>1123</v>
      </c>
      <c r="H4552" t="s">
        <v>1124</v>
      </c>
      <c r="I4552" t="s">
        <v>703</v>
      </c>
    </row>
    <row r="4553" spans="1:9" x14ac:dyDescent="0.25">
      <c r="A4553" s="1" t="str">
        <f>HYPERLINK("https://lynxcrm-apac--c.eu19.visual.force.com/0011i000001xnkJAAQ","Siriamornsarp, Ratnaporn")</f>
        <v>Siriamornsarp, Ratnaporn</v>
      </c>
      <c r="B4553" t="s">
        <v>8718</v>
      </c>
      <c r="C4553" t="s">
        <v>28</v>
      </c>
      <c r="D4553" t="s">
        <v>701</v>
      </c>
      <c r="E4553" t="s">
        <v>8</v>
      </c>
      <c r="F4553" t="s">
        <v>1123</v>
      </c>
      <c r="G4553" t="s">
        <v>1123</v>
      </c>
      <c r="H4553" t="s">
        <v>8</v>
      </c>
      <c r="I4553" t="s">
        <v>703</v>
      </c>
    </row>
    <row r="4554" spans="1:9" x14ac:dyDescent="0.25">
      <c r="A4554" s="1" t="str">
        <f>HYPERLINK("https://lynxcrm-apac--c.eu19.visual.force.com/0011i000001xoT1AAI","Siti Maimunah, Bte Jamil")</f>
        <v>Siti Maimunah, Bte Jamil</v>
      </c>
      <c r="B4554" t="s">
        <v>8719</v>
      </c>
      <c r="C4554" t="s">
        <v>28</v>
      </c>
      <c r="D4554" t="s">
        <v>583</v>
      </c>
      <c r="E4554" t="s">
        <v>8</v>
      </c>
      <c r="F4554" t="s">
        <v>583</v>
      </c>
      <c r="G4554" t="s">
        <v>584</v>
      </c>
      <c r="H4554" t="s">
        <v>584</v>
      </c>
      <c r="I4554" t="s">
        <v>585</v>
      </c>
    </row>
    <row r="4555" spans="1:9" x14ac:dyDescent="0.25">
      <c r="A4555" s="1" t="str">
        <f>HYPERLINK("https://lynxcrm-apac--c.eu19.visual.force.com/0011i000001xoT1AAI","Siti Maimunah, Bte Jamil")</f>
        <v>Siti Maimunah, Bte Jamil</v>
      </c>
      <c r="B4555" t="s">
        <v>8719</v>
      </c>
      <c r="C4555" t="s">
        <v>28</v>
      </c>
      <c r="D4555" t="s">
        <v>583</v>
      </c>
      <c r="E4555" t="s">
        <v>8</v>
      </c>
      <c r="F4555" t="s">
        <v>1274</v>
      </c>
      <c r="G4555" t="s">
        <v>584</v>
      </c>
      <c r="H4555" t="s">
        <v>584</v>
      </c>
      <c r="I4555" t="s">
        <v>585</v>
      </c>
    </row>
    <row r="4556" spans="1:9" x14ac:dyDescent="0.25">
      <c r="A4556" s="1" t="str">
        <f>HYPERLINK("https://lynxcrm-apac--c.eu19.visual.force.com/0011i000001xoXvAAI","Siu, Young Tong")</f>
        <v>Siu, Young Tong</v>
      </c>
      <c r="B4556" t="s">
        <v>8720</v>
      </c>
      <c r="C4556" t="s">
        <v>28</v>
      </c>
      <c r="D4556" t="s">
        <v>8721</v>
      </c>
      <c r="E4556" t="s">
        <v>8</v>
      </c>
      <c r="F4556" t="s">
        <v>8231</v>
      </c>
      <c r="G4556" t="s">
        <v>5500</v>
      </c>
      <c r="H4556" t="s">
        <v>8232</v>
      </c>
      <c r="I4556" t="s">
        <v>8233</v>
      </c>
    </row>
    <row r="4557" spans="1:9" x14ac:dyDescent="0.25">
      <c r="A4557" s="1" t="str">
        <f>HYPERLINK("https://lynxcrm-apac--c.eu19.visual.force.com/0011i000001xoMCAAY","Sivamathy, Bhuvana Krishna")</f>
        <v>Sivamathy, Bhuvana Krishna</v>
      </c>
      <c r="B4557" t="s">
        <v>8722</v>
      </c>
      <c r="C4557" t="s">
        <v>28</v>
      </c>
      <c r="D4557" t="s">
        <v>516</v>
      </c>
      <c r="E4557" t="s">
        <v>8</v>
      </c>
      <c r="F4557" t="s">
        <v>3046</v>
      </c>
      <c r="G4557" t="s">
        <v>3046</v>
      </c>
      <c r="H4557" t="s">
        <v>3047</v>
      </c>
      <c r="I4557" t="s">
        <v>518</v>
      </c>
    </row>
    <row r="4558" spans="1:9" x14ac:dyDescent="0.25">
      <c r="A4558" s="1" t="str">
        <f>HYPERLINK("https://lynxcrm-apac--c.eu19.visual.force.com/0011i000001xoMCAAY","Sivamathy, Bhuvana Krishna")</f>
        <v>Sivamathy, Bhuvana Krishna</v>
      </c>
      <c r="B4558" t="s">
        <v>8722</v>
      </c>
      <c r="C4558" t="s">
        <v>28</v>
      </c>
      <c r="D4558" t="s">
        <v>516</v>
      </c>
      <c r="E4558" t="s">
        <v>8</v>
      </c>
      <c r="F4558" t="s">
        <v>517</v>
      </c>
      <c r="G4558" t="s">
        <v>517</v>
      </c>
      <c r="H4558" t="s">
        <v>8</v>
      </c>
      <c r="I4558" t="s">
        <v>518</v>
      </c>
    </row>
    <row r="4559" spans="1:9" x14ac:dyDescent="0.25">
      <c r="A4559" s="1" t="str">
        <f>HYPERLINK("https://lynxcrm-apac--c.eu19.visual.force.com/0011i000001xoY4AAI","Sivanandan, Ranjiv")</f>
        <v>Sivanandan, Ranjiv</v>
      </c>
      <c r="B4559" t="s">
        <v>8723</v>
      </c>
      <c r="C4559" t="s">
        <v>28</v>
      </c>
      <c r="D4559" t="s">
        <v>251</v>
      </c>
      <c r="E4559" t="s">
        <v>8</v>
      </c>
      <c r="F4559" t="s">
        <v>251</v>
      </c>
      <c r="G4559" t="s">
        <v>252</v>
      </c>
      <c r="H4559" t="s">
        <v>252</v>
      </c>
      <c r="I4559" t="s">
        <v>253</v>
      </c>
    </row>
    <row r="4560" spans="1:9" x14ac:dyDescent="0.25">
      <c r="A4560" s="1" t="str">
        <f>HYPERLINK("https://lynxcrm-apac--c.eu19.visual.force.com/0011i000001xoY4AAI","Sivanandan, Ranjiv")</f>
        <v>Sivanandan, Ranjiv</v>
      </c>
      <c r="B4560" t="s">
        <v>8723</v>
      </c>
      <c r="C4560" t="s">
        <v>28</v>
      </c>
      <c r="D4560" t="s">
        <v>1242</v>
      </c>
      <c r="E4560" t="s">
        <v>8</v>
      </c>
      <c r="F4560" t="s">
        <v>252</v>
      </c>
      <c r="G4560" t="s">
        <v>251</v>
      </c>
      <c r="H4560" t="s">
        <v>251</v>
      </c>
      <c r="I4560" t="s">
        <v>253</v>
      </c>
    </row>
    <row r="4561" spans="1:9" x14ac:dyDescent="0.25">
      <c r="A4561" s="1" t="str">
        <f>HYPERLINK("https://lynxcrm-apac--c.eu19.visual.force.com/0011i000001xnqhAAA","Sivathasan, Cumaraswamy")</f>
        <v>Sivathasan, Cumaraswamy</v>
      </c>
      <c r="B4561" t="s">
        <v>8724</v>
      </c>
      <c r="C4561" t="s">
        <v>28</v>
      </c>
      <c r="D4561" t="s">
        <v>8725</v>
      </c>
      <c r="E4561" t="s">
        <v>8</v>
      </c>
      <c r="F4561" t="s">
        <v>377</v>
      </c>
      <c r="G4561" t="s">
        <v>8726</v>
      </c>
      <c r="H4561" t="s">
        <v>8727</v>
      </c>
      <c r="I4561" t="s">
        <v>123</v>
      </c>
    </row>
    <row r="4562" spans="1:9" x14ac:dyDescent="0.25">
      <c r="A4562" s="1" t="str">
        <f>HYPERLINK("https://lynxcrm-apac--c.eu19.visual.force.com/0011i000001xnNNAAY","SL Chang Clinic Pte Ltd")</f>
        <v>SL Chang Clinic Pte Ltd</v>
      </c>
      <c r="B4562" t="s">
        <v>8728</v>
      </c>
      <c r="C4562" t="s">
        <v>10</v>
      </c>
      <c r="D4562" t="s">
        <v>8</v>
      </c>
      <c r="E4562" t="s">
        <v>8</v>
      </c>
      <c r="F4562" t="s">
        <v>1220</v>
      </c>
      <c r="G4562" t="s">
        <v>1221</v>
      </c>
      <c r="H4562" t="s">
        <v>8059</v>
      </c>
      <c r="I4562" t="s">
        <v>1222</v>
      </c>
    </row>
    <row r="4563" spans="1:9" x14ac:dyDescent="0.25">
      <c r="A4563" s="1" t="str">
        <f>HYPERLINK("https://lynxcrm-apac--c.eu19.visual.force.com/0011i000001xmtYAAQ","SL Chang Clinic Pte Ltd")</f>
        <v>SL Chang Clinic Pte Ltd</v>
      </c>
      <c r="B4563" t="s">
        <v>8729</v>
      </c>
      <c r="C4563" t="s">
        <v>10</v>
      </c>
      <c r="D4563" t="s">
        <v>8</v>
      </c>
      <c r="E4563" t="s">
        <v>8</v>
      </c>
      <c r="F4563" t="s">
        <v>8730</v>
      </c>
      <c r="G4563" t="s">
        <v>1221</v>
      </c>
      <c r="H4563" t="s">
        <v>8059</v>
      </c>
      <c r="I4563" t="s">
        <v>1222</v>
      </c>
    </row>
    <row r="4564" spans="1:9" x14ac:dyDescent="0.25">
      <c r="A4564" s="1" t="str">
        <f>HYPERLINK("https://lynxcrm-apac--c.eu19.visual.force.com/0011i000001xmsyAAA","S Lee Clinic")</f>
        <v>S Lee Clinic</v>
      </c>
      <c r="B4564" t="s">
        <v>8731</v>
      </c>
      <c r="C4564" t="s">
        <v>10</v>
      </c>
      <c r="D4564" t="s">
        <v>8</v>
      </c>
      <c r="E4564" t="s">
        <v>8</v>
      </c>
      <c r="F4564" t="s">
        <v>5439</v>
      </c>
      <c r="G4564" t="s">
        <v>5440</v>
      </c>
      <c r="H4564" t="s">
        <v>5440</v>
      </c>
      <c r="I4564" t="s">
        <v>5441</v>
      </c>
    </row>
    <row r="4565" spans="1:9" x14ac:dyDescent="0.25">
      <c r="A4565" s="1" t="str">
        <f>HYPERLINK("https://lynxcrm-apac--c.eu19.visual.force.com/0011i000001xnAlAAI","SMG Diabetes Thyroid &amp; Endocrine Clinic")</f>
        <v>SMG Diabetes Thyroid &amp; Endocrine Clinic</v>
      </c>
      <c r="B4565" t="s">
        <v>8732</v>
      </c>
      <c r="C4565" t="s">
        <v>10</v>
      </c>
      <c r="D4565" t="s">
        <v>8</v>
      </c>
      <c r="E4565" t="s">
        <v>8</v>
      </c>
      <c r="F4565" t="s">
        <v>8733</v>
      </c>
      <c r="G4565" t="s">
        <v>8733</v>
      </c>
      <c r="H4565" t="s">
        <v>8</v>
      </c>
      <c r="I4565" t="s">
        <v>344</v>
      </c>
    </row>
    <row r="4566" spans="1:9" x14ac:dyDescent="0.25">
      <c r="A4566" s="1" t="str">
        <f>HYPERLINK("https://lynxcrm-apac--c.eu19.visual.force.com/0011i00000uOGnoAAG","SM Haneefa Clinic")</f>
        <v>SM Haneefa Clinic</v>
      </c>
      <c r="B4566" t="s">
        <v>8734</v>
      </c>
      <c r="C4566" t="s">
        <v>10</v>
      </c>
      <c r="D4566" t="s">
        <v>8</v>
      </c>
      <c r="E4566" t="s">
        <v>8</v>
      </c>
      <c r="F4566" t="s">
        <v>8735</v>
      </c>
      <c r="G4566" t="s">
        <v>8736</v>
      </c>
      <c r="H4566" t="s">
        <v>8</v>
      </c>
      <c r="I4566" t="s">
        <v>8737</v>
      </c>
    </row>
    <row r="4567" spans="1:9" x14ac:dyDescent="0.25">
      <c r="A4567" s="1" t="str">
        <f>HYPERLINK("https://lynxcrm-apac--c.eu19.visual.force.com/0011i000001xoeIAAQ","Smith Pharmacy")</f>
        <v>Smith Pharmacy</v>
      </c>
      <c r="B4567" t="s">
        <v>8738</v>
      </c>
      <c r="C4567" t="s">
        <v>28</v>
      </c>
      <c r="D4567" t="s">
        <v>8739</v>
      </c>
      <c r="E4567" t="s">
        <v>8</v>
      </c>
      <c r="F4567" t="s">
        <v>8739</v>
      </c>
      <c r="G4567" t="s">
        <v>3119</v>
      </c>
      <c r="H4567" t="s">
        <v>8740</v>
      </c>
      <c r="I4567" t="s">
        <v>8741</v>
      </c>
    </row>
    <row r="4568" spans="1:9" x14ac:dyDescent="0.25">
      <c r="A4568" s="1" t="str">
        <f>HYPERLINK("https://lynxcrm-apac--c.eu19.visual.force.com/0011i000001xnGoAAI","Smith Pharmacy Pte Ltd")</f>
        <v>Smith Pharmacy Pte Ltd</v>
      </c>
      <c r="B4568" t="s">
        <v>8742</v>
      </c>
      <c r="C4568" t="s">
        <v>28</v>
      </c>
      <c r="D4568" t="s">
        <v>8</v>
      </c>
      <c r="E4568" t="s">
        <v>8</v>
      </c>
      <c r="F4568" t="s">
        <v>8739</v>
      </c>
      <c r="G4568" t="s">
        <v>3119</v>
      </c>
      <c r="H4568" t="s">
        <v>8740</v>
      </c>
      <c r="I4568" t="s">
        <v>8741</v>
      </c>
    </row>
    <row r="4569" spans="1:9" x14ac:dyDescent="0.25">
      <c r="A4569" s="1" t="str">
        <f>HYPERLINK("https://lynxcrm-apac--c.eu19.visual.force.com/0011i000001xoQEAAY","Sng, Gek Khim Judy")</f>
        <v>Sng, Gek Khim Judy</v>
      </c>
      <c r="B4569" t="s">
        <v>8743</v>
      </c>
      <c r="C4569" t="s">
        <v>28</v>
      </c>
      <c r="D4569" t="s">
        <v>1187</v>
      </c>
      <c r="E4569" t="s">
        <v>8</v>
      </c>
      <c r="F4569" t="s">
        <v>730</v>
      </c>
      <c r="G4569" t="s">
        <v>731</v>
      </c>
      <c r="H4569" t="s">
        <v>732</v>
      </c>
      <c r="I4569" t="s">
        <v>733</v>
      </c>
    </row>
    <row r="4570" spans="1:9" x14ac:dyDescent="0.25">
      <c r="A4570" s="1" t="str">
        <f>HYPERLINK("https://lynxcrm-apac--c.eu19.visual.force.com/0011i000001xomTAAQ","Sng, Kevin Kaity")</f>
        <v>Sng, Kevin Kaity</v>
      </c>
      <c r="B4570" t="s">
        <v>8744</v>
      </c>
      <c r="C4570" t="s">
        <v>28</v>
      </c>
      <c r="D4570" t="s">
        <v>8745</v>
      </c>
      <c r="E4570" t="s">
        <v>8</v>
      </c>
      <c r="F4570" t="s">
        <v>8746</v>
      </c>
      <c r="G4570" t="s">
        <v>65</v>
      </c>
      <c r="H4570" t="s">
        <v>65</v>
      </c>
      <c r="I4570" t="s">
        <v>67</v>
      </c>
    </row>
    <row r="4571" spans="1:9" x14ac:dyDescent="0.25">
      <c r="A4571" s="1" t="str">
        <f>HYPERLINK("https://lynxcrm-apac--c.eu19.visual.force.com/0011i000001xnqiAAA","Sng, Lui Cheng")</f>
        <v>Sng, Lui Cheng</v>
      </c>
      <c r="B4571" t="s">
        <v>8747</v>
      </c>
      <c r="C4571" t="s">
        <v>28</v>
      </c>
      <c r="D4571" t="s">
        <v>8748</v>
      </c>
      <c r="E4571" t="s">
        <v>8</v>
      </c>
      <c r="F4571" t="s">
        <v>8211</v>
      </c>
      <c r="G4571" t="s">
        <v>2906</v>
      </c>
      <c r="H4571" t="s">
        <v>8212</v>
      </c>
      <c r="I4571" t="s">
        <v>5451</v>
      </c>
    </row>
    <row r="4572" spans="1:9" x14ac:dyDescent="0.25">
      <c r="A4572" s="1" t="str">
        <f>HYPERLINK("https://lynxcrm-apac--c.eu19.visual.force.com/0011i000001xnqjAAA","Sng, Soo Pheow")</f>
        <v>Sng, Soo Pheow</v>
      </c>
      <c r="B4572" t="s">
        <v>8749</v>
      </c>
      <c r="C4572" t="s">
        <v>28</v>
      </c>
      <c r="D4572" t="s">
        <v>1283</v>
      </c>
      <c r="E4572" t="s">
        <v>8</v>
      </c>
      <c r="F4572" t="s">
        <v>69</v>
      </c>
      <c r="G4572" t="s">
        <v>1284</v>
      </c>
      <c r="H4572" t="s">
        <v>1285</v>
      </c>
      <c r="I4572" t="s">
        <v>67</v>
      </c>
    </row>
    <row r="4573" spans="1:9" x14ac:dyDescent="0.25">
      <c r="A4573" s="1" t="str">
        <f>HYPERLINK("https://lynxcrm-apac--c.eu19.visual.force.com/0011i000001xo5gAAA","Sng, Wei-Ee Karen")</f>
        <v>Sng, Wei-Ee Karen</v>
      </c>
      <c r="B4573" t="s">
        <v>8750</v>
      </c>
      <c r="C4573" t="s">
        <v>28</v>
      </c>
      <c r="D4573" t="s">
        <v>251</v>
      </c>
      <c r="E4573" t="s">
        <v>8</v>
      </c>
      <c r="F4573" t="s">
        <v>251</v>
      </c>
      <c r="G4573" t="s">
        <v>252</v>
      </c>
      <c r="H4573" t="s">
        <v>252</v>
      </c>
      <c r="I4573" t="s">
        <v>253</v>
      </c>
    </row>
    <row r="4574" spans="1:9" x14ac:dyDescent="0.25">
      <c r="A4574" s="1" t="str">
        <f>HYPERLINK("https://lynxcrm-apac--c.eu19.visual.force.com/0011i000001xo5gAAA","Sng, Wei-Ee Karen")</f>
        <v>Sng, Wei-Ee Karen</v>
      </c>
      <c r="B4574" t="s">
        <v>8750</v>
      </c>
      <c r="C4574" t="s">
        <v>28</v>
      </c>
      <c r="D4574" t="s">
        <v>1623</v>
      </c>
      <c r="E4574" t="s">
        <v>8</v>
      </c>
      <c r="F4574" t="s">
        <v>252</v>
      </c>
      <c r="G4574" t="s">
        <v>251</v>
      </c>
      <c r="H4574" t="s">
        <v>251</v>
      </c>
      <c r="I4574" t="s">
        <v>253</v>
      </c>
    </row>
    <row r="4575" spans="1:9" x14ac:dyDescent="0.25">
      <c r="A4575" s="1" t="str">
        <f>HYPERLINK("https://lynxcrm-apac--c.eu19.visual.force.com/0011i000001xo5hAAA","Soh, Boon Keng")</f>
        <v>Soh, Boon Keng</v>
      </c>
      <c r="B4575" t="s">
        <v>8751</v>
      </c>
      <c r="C4575" t="s">
        <v>28</v>
      </c>
      <c r="D4575" t="s">
        <v>8752</v>
      </c>
      <c r="E4575" t="s">
        <v>8</v>
      </c>
      <c r="F4575" t="s">
        <v>377</v>
      </c>
      <c r="G4575" t="s">
        <v>2794</v>
      </c>
      <c r="H4575" t="s">
        <v>2943</v>
      </c>
      <c r="I4575" t="s">
        <v>123</v>
      </c>
    </row>
    <row r="4576" spans="1:9" x14ac:dyDescent="0.25">
      <c r="A4576" s="1" t="str">
        <f>HYPERLINK("https://lynxcrm-apac--c.eu19.visual.force.com/0011i000001xoT0AAI","Soh, Cheng Sim")</f>
        <v>Soh, Cheng Sim</v>
      </c>
      <c r="B4576" t="s">
        <v>8753</v>
      </c>
      <c r="C4576" t="s">
        <v>28</v>
      </c>
      <c r="D4576" t="s">
        <v>1164</v>
      </c>
      <c r="E4576" t="s">
        <v>8</v>
      </c>
      <c r="F4576" t="s">
        <v>1165</v>
      </c>
      <c r="G4576" t="s">
        <v>1166</v>
      </c>
      <c r="H4576" t="s">
        <v>1166</v>
      </c>
      <c r="I4576" t="s">
        <v>1167</v>
      </c>
    </row>
    <row r="4577" spans="1:9" x14ac:dyDescent="0.25">
      <c r="A4577" s="1" t="str">
        <f>HYPERLINK("https://lynxcrm-apac--c.eu19.visual.force.com/0011i000001xnqlAAA","Soh, Cheow Beng Aloy")</f>
        <v>Soh, Cheow Beng Aloy</v>
      </c>
      <c r="B4577" t="s">
        <v>8754</v>
      </c>
      <c r="C4577" t="s">
        <v>28</v>
      </c>
      <c r="D4577" t="s">
        <v>8755</v>
      </c>
      <c r="E4577" t="s">
        <v>8</v>
      </c>
      <c r="F4577" t="s">
        <v>4780</v>
      </c>
      <c r="G4577" t="s">
        <v>841</v>
      </c>
      <c r="H4577" t="s">
        <v>841</v>
      </c>
      <c r="I4577" t="s">
        <v>4781</v>
      </c>
    </row>
    <row r="4578" spans="1:9" x14ac:dyDescent="0.25">
      <c r="A4578" s="1" t="str">
        <f>HYPERLINK("https://lynxcrm-apac--c.eu19.visual.force.com/0011i000001xoDNAAY","Soh, Chern Tau")</f>
        <v>Soh, Chern Tau</v>
      </c>
      <c r="B4578" t="s">
        <v>8756</v>
      </c>
      <c r="C4578" t="s">
        <v>28</v>
      </c>
      <c r="D4578" t="s">
        <v>8757</v>
      </c>
      <c r="E4578" t="s">
        <v>8</v>
      </c>
      <c r="F4578" t="s">
        <v>2891</v>
      </c>
      <c r="G4578" t="s">
        <v>2892</v>
      </c>
      <c r="H4578" t="s">
        <v>2893</v>
      </c>
      <c r="I4578" t="s">
        <v>2894</v>
      </c>
    </row>
    <row r="4579" spans="1:9" x14ac:dyDescent="0.25">
      <c r="A4579" s="1" t="str">
        <f>HYPERLINK("https://lynxcrm-apac--c.eu19.visual.force.com/0011i000001xoSMAAY","Soh, Kevin")</f>
        <v>Soh, Kevin</v>
      </c>
      <c r="B4579" t="s">
        <v>8758</v>
      </c>
      <c r="C4579" t="s">
        <v>28</v>
      </c>
      <c r="D4579" t="s">
        <v>8759</v>
      </c>
      <c r="E4579" t="s">
        <v>8</v>
      </c>
      <c r="F4579" t="s">
        <v>377</v>
      </c>
      <c r="G4579" t="s">
        <v>2794</v>
      </c>
      <c r="H4579" t="s">
        <v>2943</v>
      </c>
      <c r="I4579" t="s">
        <v>123</v>
      </c>
    </row>
    <row r="4580" spans="1:9" x14ac:dyDescent="0.25">
      <c r="A4580" s="1" t="str">
        <f>HYPERLINK("https://lynxcrm-apac--c.eu19.visual.force.com/0011i00000Xf1GtAAJ","Soh, Lay Tin")</f>
        <v>Soh, Lay Tin</v>
      </c>
      <c r="B4580" t="s">
        <v>8760</v>
      </c>
      <c r="C4580" t="s">
        <v>28</v>
      </c>
      <c r="D4580" t="s">
        <v>2027</v>
      </c>
      <c r="E4580" t="s">
        <v>8</v>
      </c>
      <c r="F4580" t="s">
        <v>2028</v>
      </c>
      <c r="G4580" t="s">
        <v>2029</v>
      </c>
      <c r="H4580" t="s">
        <v>8</v>
      </c>
      <c r="I4580" t="s">
        <v>488</v>
      </c>
    </row>
    <row r="4581" spans="1:9" x14ac:dyDescent="0.25">
      <c r="A4581" s="1" t="str">
        <f>HYPERLINK("https://lynxcrm-apac--c.eu19.visual.force.com/0011i000001xoImAAI","Soh, Lea Sar")</f>
        <v>Soh, Lea Sar</v>
      </c>
      <c r="B4581" t="s">
        <v>8761</v>
      </c>
      <c r="C4581" t="s">
        <v>28</v>
      </c>
      <c r="D4581" t="s">
        <v>8762</v>
      </c>
      <c r="E4581" t="s">
        <v>8</v>
      </c>
      <c r="F4581" t="s">
        <v>5817</v>
      </c>
      <c r="G4581" t="s">
        <v>5818</v>
      </c>
      <c r="H4581" t="s">
        <v>5819</v>
      </c>
      <c r="I4581" t="s">
        <v>2126</v>
      </c>
    </row>
    <row r="4582" spans="1:9" x14ac:dyDescent="0.25">
      <c r="A4582" s="1" t="str">
        <f>HYPERLINK("https://lynxcrm-apac--c.eu19.visual.force.com/0011i000001xnqsAAA","Soh, Lin Tin")</f>
        <v>Soh, Lin Tin</v>
      </c>
      <c r="B4582" t="s">
        <v>8763</v>
      </c>
      <c r="C4582" t="s">
        <v>28</v>
      </c>
      <c r="D4582" t="s">
        <v>8764</v>
      </c>
      <c r="E4582" t="s">
        <v>8</v>
      </c>
      <c r="F4582" t="s">
        <v>2325</v>
      </c>
      <c r="G4582" t="s">
        <v>3625</v>
      </c>
      <c r="H4582" t="s">
        <v>3625</v>
      </c>
      <c r="I4582" t="s">
        <v>656</v>
      </c>
    </row>
    <row r="4583" spans="1:9" x14ac:dyDescent="0.25">
      <c r="A4583" s="1" t="str">
        <f t="shared" ref="A4583:A4595" si="41">HYPERLINK("https://lynxcrm-apac--c.eu19.visual.force.com/0011i000001xo0ZAAQ","Soh, Lip Min")</f>
        <v>Soh, Lip Min</v>
      </c>
      <c r="B4583" t="s">
        <v>8765</v>
      </c>
      <c r="C4583" t="s">
        <v>28</v>
      </c>
      <c r="D4583" t="s">
        <v>164</v>
      </c>
      <c r="E4583" t="s">
        <v>8</v>
      </c>
      <c r="F4583" t="s">
        <v>246</v>
      </c>
      <c r="G4583" t="s">
        <v>163</v>
      </c>
      <c r="H4583" t="s">
        <v>163</v>
      </c>
      <c r="I4583" t="s">
        <v>244</v>
      </c>
    </row>
    <row r="4584" spans="1:9" x14ac:dyDescent="0.25">
      <c r="A4584" s="1" t="str">
        <f t="shared" si="41"/>
        <v>Soh, Lip Min</v>
      </c>
      <c r="B4584" t="s">
        <v>8765</v>
      </c>
      <c r="C4584" t="s">
        <v>28</v>
      </c>
      <c r="D4584" t="s">
        <v>164</v>
      </c>
      <c r="E4584" t="s">
        <v>8</v>
      </c>
      <c r="F4584" t="s">
        <v>236</v>
      </c>
      <c r="G4584" t="s">
        <v>237</v>
      </c>
      <c r="H4584" t="s">
        <v>237</v>
      </c>
      <c r="I4584" t="s">
        <v>165</v>
      </c>
    </row>
    <row r="4585" spans="1:9" x14ac:dyDescent="0.25">
      <c r="A4585" s="1" t="str">
        <f t="shared" si="41"/>
        <v>Soh, Lip Min</v>
      </c>
      <c r="B4585" t="s">
        <v>8765</v>
      </c>
      <c r="C4585" t="s">
        <v>28</v>
      </c>
      <c r="D4585" t="s">
        <v>164</v>
      </c>
      <c r="E4585" t="s">
        <v>8</v>
      </c>
      <c r="F4585" t="s">
        <v>238</v>
      </c>
      <c r="G4585" t="s">
        <v>163</v>
      </c>
      <c r="H4585" t="s">
        <v>163</v>
      </c>
      <c r="I4585" t="s">
        <v>165</v>
      </c>
    </row>
    <row r="4586" spans="1:9" x14ac:dyDescent="0.25">
      <c r="A4586" s="1" t="str">
        <f t="shared" si="41"/>
        <v>Soh, Lip Min</v>
      </c>
      <c r="B4586" t="s">
        <v>8765</v>
      </c>
      <c r="C4586" t="s">
        <v>28</v>
      </c>
      <c r="D4586" t="s">
        <v>164</v>
      </c>
      <c r="E4586" t="s">
        <v>8</v>
      </c>
      <c r="F4586" t="s">
        <v>239</v>
      </c>
      <c r="G4586" t="s">
        <v>163</v>
      </c>
      <c r="H4586" t="s">
        <v>163</v>
      </c>
      <c r="I4586" t="s">
        <v>165</v>
      </c>
    </row>
    <row r="4587" spans="1:9" x14ac:dyDescent="0.25">
      <c r="A4587" s="1" t="str">
        <f t="shared" si="41"/>
        <v>Soh, Lip Min</v>
      </c>
      <c r="B4587" t="s">
        <v>8765</v>
      </c>
      <c r="C4587" t="s">
        <v>28</v>
      </c>
      <c r="D4587" t="s">
        <v>164</v>
      </c>
      <c r="E4587" t="s">
        <v>8</v>
      </c>
      <c r="F4587" t="s">
        <v>240</v>
      </c>
      <c r="G4587" t="s">
        <v>163</v>
      </c>
      <c r="H4587" t="s">
        <v>163</v>
      </c>
      <c r="I4587" t="s">
        <v>165</v>
      </c>
    </row>
    <row r="4588" spans="1:9" x14ac:dyDescent="0.25">
      <c r="A4588" s="1" t="str">
        <f t="shared" si="41"/>
        <v>Soh, Lip Min</v>
      </c>
      <c r="B4588" t="s">
        <v>8765</v>
      </c>
      <c r="C4588" t="s">
        <v>28</v>
      </c>
      <c r="D4588" t="s">
        <v>164</v>
      </c>
      <c r="E4588" t="s">
        <v>8</v>
      </c>
      <c r="F4588" t="s">
        <v>234</v>
      </c>
      <c r="G4588" t="s">
        <v>163</v>
      </c>
      <c r="H4588" t="s">
        <v>163</v>
      </c>
      <c r="I4588" t="s">
        <v>235</v>
      </c>
    </row>
    <row r="4589" spans="1:9" x14ac:dyDescent="0.25">
      <c r="A4589" s="1" t="str">
        <f t="shared" si="41"/>
        <v>Soh, Lip Min</v>
      </c>
      <c r="B4589" t="s">
        <v>8765</v>
      </c>
      <c r="C4589" t="s">
        <v>28</v>
      </c>
      <c r="D4589" t="s">
        <v>164</v>
      </c>
      <c r="E4589" t="s">
        <v>8</v>
      </c>
      <c r="F4589" t="s">
        <v>241</v>
      </c>
      <c r="G4589" t="s">
        <v>163</v>
      </c>
      <c r="H4589" t="s">
        <v>242</v>
      </c>
      <c r="I4589" t="s">
        <v>165</v>
      </c>
    </row>
    <row r="4590" spans="1:9" x14ac:dyDescent="0.25">
      <c r="A4590" s="1" t="str">
        <f t="shared" si="41"/>
        <v>Soh, Lip Min</v>
      </c>
      <c r="B4590" t="s">
        <v>8765</v>
      </c>
      <c r="C4590" t="s">
        <v>28</v>
      </c>
      <c r="D4590" t="s">
        <v>164</v>
      </c>
      <c r="E4590" t="s">
        <v>8</v>
      </c>
      <c r="F4590" t="s">
        <v>243</v>
      </c>
      <c r="G4590" t="s">
        <v>163</v>
      </c>
      <c r="H4590" t="s">
        <v>163</v>
      </c>
      <c r="I4590" t="s">
        <v>244</v>
      </c>
    </row>
    <row r="4591" spans="1:9" x14ac:dyDescent="0.25">
      <c r="A4591" s="1" t="str">
        <f t="shared" si="41"/>
        <v>Soh, Lip Min</v>
      </c>
      <c r="B4591" t="s">
        <v>8765</v>
      </c>
      <c r="C4591" t="s">
        <v>28</v>
      </c>
      <c r="D4591" t="s">
        <v>164</v>
      </c>
      <c r="E4591" t="s">
        <v>8</v>
      </c>
      <c r="F4591" t="s">
        <v>245</v>
      </c>
      <c r="G4591" t="s">
        <v>163</v>
      </c>
      <c r="H4591" t="s">
        <v>163</v>
      </c>
      <c r="I4591" t="s">
        <v>165</v>
      </c>
    </row>
    <row r="4592" spans="1:9" x14ac:dyDescent="0.25">
      <c r="A4592" s="1" t="str">
        <f t="shared" si="41"/>
        <v>Soh, Lip Min</v>
      </c>
      <c r="B4592" t="s">
        <v>8765</v>
      </c>
      <c r="C4592" t="s">
        <v>28</v>
      </c>
      <c r="D4592" t="s">
        <v>164</v>
      </c>
      <c r="E4592" t="s">
        <v>8</v>
      </c>
      <c r="F4592" t="s">
        <v>247</v>
      </c>
      <c r="G4592" t="s">
        <v>163</v>
      </c>
      <c r="H4592" t="s">
        <v>242</v>
      </c>
      <c r="I4592" t="s">
        <v>165</v>
      </c>
    </row>
    <row r="4593" spans="1:9" x14ac:dyDescent="0.25">
      <c r="A4593" s="1" t="str">
        <f t="shared" si="41"/>
        <v>Soh, Lip Min</v>
      </c>
      <c r="B4593" t="s">
        <v>8765</v>
      </c>
      <c r="C4593" t="s">
        <v>28</v>
      </c>
      <c r="D4593" t="s">
        <v>164</v>
      </c>
      <c r="E4593" t="s">
        <v>8</v>
      </c>
      <c r="F4593" t="s">
        <v>248</v>
      </c>
      <c r="G4593" t="s">
        <v>163</v>
      </c>
      <c r="H4593" t="s">
        <v>242</v>
      </c>
      <c r="I4593" t="s">
        <v>165</v>
      </c>
    </row>
    <row r="4594" spans="1:9" x14ac:dyDescent="0.25">
      <c r="A4594" s="1" t="str">
        <f t="shared" si="41"/>
        <v>Soh, Lip Min</v>
      </c>
      <c r="B4594" t="s">
        <v>8765</v>
      </c>
      <c r="C4594" t="s">
        <v>28</v>
      </c>
      <c r="D4594" t="s">
        <v>164</v>
      </c>
      <c r="E4594" t="s">
        <v>8</v>
      </c>
      <c r="F4594" t="s">
        <v>249</v>
      </c>
      <c r="G4594" t="s">
        <v>163</v>
      </c>
      <c r="H4594" t="s">
        <v>163</v>
      </c>
      <c r="I4594" t="s">
        <v>165</v>
      </c>
    </row>
    <row r="4595" spans="1:9" x14ac:dyDescent="0.25">
      <c r="A4595" s="1" t="str">
        <f t="shared" si="41"/>
        <v>Soh, Lip Min</v>
      </c>
      <c r="B4595" t="s">
        <v>8765</v>
      </c>
      <c r="C4595" t="s">
        <v>28</v>
      </c>
      <c r="D4595" t="s">
        <v>164</v>
      </c>
      <c r="E4595" t="s">
        <v>8</v>
      </c>
      <c r="F4595" t="s">
        <v>234</v>
      </c>
      <c r="G4595" t="s">
        <v>163</v>
      </c>
      <c r="H4595" t="s">
        <v>163</v>
      </c>
      <c r="I4595" t="s">
        <v>244</v>
      </c>
    </row>
    <row r="4596" spans="1:9" x14ac:dyDescent="0.25">
      <c r="A4596" s="1" t="str">
        <f>HYPERLINK("https://lynxcrm-apac--c.eu19.visual.force.com/0011i00000ugB22AAE","Soh, Melissa")</f>
        <v>Soh, Melissa</v>
      </c>
      <c r="B4596" t="s">
        <v>8766</v>
      </c>
      <c r="C4596" t="s">
        <v>28</v>
      </c>
      <c r="D4596" t="s">
        <v>8</v>
      </c>
      <c r="E4596" t="s">
        <v>8</v>
      </c>
      <c r="F4596" t="s">
        <v>753</v>
      </c>
      <c r="G4596" t="s">
        <v>929</v>
      </c>
      <c r="H4596" t="s">
        <v>139</v>
      </c>
      <c r="I4596" t="s">
        <v>137</v>
      </c>
    </row>
    <row r="4597" spans="1:9" x14ac:dyDescent="0.25">
      <c r="A4597" s="1" t="str">
        <f>HYPERLINK("https://lynxcrm-apac--c.eu19.visual.force.com/0011i00000ugB22AAE","Soh, Melissa")</f>
        <v>Soh, Melissa</v>
      </c>
      <c r="B4597" t="s">
        <v>8766</v>
      </c>
      <c r="C4597" t="s">
        <v>28</v>
      </c>
      <c r="D4597" t="s">
        <v>928</v>
      </c>
      <c r="E4597" t="s">
        <v>8</v>
      </c>
      <c r="F4597" t="s">
        <v>753</v>
      </c>
      <c r="G4597" t="s">
        <v>929</v>
      </c>
      <c r="H4597" t="s">
        <v>139</v>
      </c>
      <c r="I4597" t="s">
        <v>137</v>
      </c>
    </row>
    <row r="4598" spans="1:9" x14ac:dyDescent="0.25">
      <c r="A4598" s="1" t="str">
        <f>HYPERLINK("https://lynxcrm-apac--c.eu19.visual.force.com/0011i000001xoB2AAI","Soh, Mun Bin")</f>
        <v>Soh, Mun Bin</v>
      </c>
      <c r="B4598" t="s">
        <v>8767</v>
      </c>
      <c r="C4598" t="s">
        <v>28</v>
      </c>
      <c r="D4598" t="s">
        <v>2219</v>
      </c>
      <c r="E4598" t="s">
        <v>8</v>
      </c>
      <c r="F4598" t="s">
        <v>2219</v>
      </c>
      <c r="G4598" t="s">
        <v>1164</v>
      </c>
      <c r="H4598" t="s">
        <v>1164</v>
      </c>
      <c r="I4598" t="s">
        <v>2220</v>
      </c>
    </row>
    <row r="4599" spans="1:9" x14ac:dyDescent="0.25">
      <c r="A4599" s="1" t="str">
        <f>HYPERLINK("https://lynxcrm-apac--c.eu19.visual.force.com/0011i000001xoB2AAI","Soh, Mun Bin")</f>
        <v>Soh, Mun Bin</v>
      </c>
      <c r="B4599" t="s">
        <v>8767</v>
      </c>
      <c r="C4599" t="s">
        <v>28</v>
      </c>
      <c r="D4599" t="s">
        <v>1164</v>
      </c>
      <c r="E4599" t="s">
        <v>8</v>
      </c>
      <c r="F4599" t="s">
        <v>1165</v>
      </c>
      <c r="G4599" t="s">
        <v>1166</v>
      </c>
      <c r="H4599" t="s">
        <v>1166</v>
      </c>
      <c r="I4599" t="s">
        <v>1167</v>
      </c>
    </row>
    <row r="4600" spans="1:9" x14ac:dyDescent="0.25">
      <c r="A4600" s="1" t="str">
        <f>HYPERLINK("https://lynxcrm-apac--c.eu19.visual.force.com/0011i000001xnqtAAA","Soh, Soon Beng")</f>
        <v>Soh, Soon Beng</v>
      </c>
      <c r="B4600" t="s">
        <v>8768</v>
      </c>
      <c r="C4600" t="s">
        <v>28</v>
      </c>
      <c r="D4600" t="s">
        <v>8769</v>
      </c>
      <c r="E4600" t="s">
        <v>8</v>
      </c>
      <c r="F4600" t="s">
        <v>8770</v>
      </c>
      <c r="G4600" t="s">
        <v>8771</v>
      </c>
      <c r="H4600" t="s">
        <v>8771</v>
      </c>
      <c r="I4600" t="s">
        <v>4048</v>
      </c>
    </row>
    <row r="4601" spans="1:9" x14ac:dyDescent="0.25">
      <c r="A4601" s="1" t="str">
        <f>HYPERLINK("https://lynxcrm-apac--c.eu19.visual.force.com/0011i000001xnnYAAQ","Soh, Teck Hwee")</f>
        <v>Soh, Teck Hwee</v>
      </c>
      <c r="B4601" t="s">
        <v>8772</v>
      </c>
      <c r="C4601" t="s">
        <v>28</v>
      </c>
      <c r="D4601" t="s">
        <v>251</v>
      </c>
      <c r="E4601" t="s">
        <v>8</v>
      </c>
      <c r="F4601" t="s">
        <v>251</v>
      </c>
      <c r="G4601" t="s">
        <v>252</v>
      </c>
      <c r="H4601" t="s">
        <v>252</v>
      </c>
      <c r="I4601" t="s">
        <v>253</v>
      </c>
    </row>
    <row r="4602" spans="1:9" x14ac:dyDescent="0.25">
      <c r="A4602" s="1" t="str">
        <f>HYPERLINK("https://lynxcrm-apac--c.eu19.visual.force.com/0011i000001xnn9AAA","Soh, Wah Ek Abel")</f>
        <v>Soh, Wah Ek Abel</v>
      </c>
      <c r="B4602" t="s">
        <v>8773</v>
      </c>
      <c r="C4602" t="s">
        <v>28</v>
      </c>
      <c r="D4602" t="s">
        <v>8774</v>
      </c>
      <c r="E4602" t="s">
        <v>8</v>
      </c>
      <c r="F4602" t="s">
        <v>255</v>
      </c>
      <c r="G4602" t="s">
        <v>121</v>
      </c>
      <c r="H4602" t="s">
        <v>121</v>
      </c>
      <c r="I4602" t="s">
        <v>123</v>
      </c>
    </row>
    <row r="4603" spans="1:9" x14ac:dyDescent="0.25">
      <c r="A4603" s="1" t="str">
        <f>HYPERLINK("https://lynxcrm-apac--c.eu19.visual.force.com/0011i000001xoMOAAY","Soh, Yew Chye Albert")</f>
        <v>Soh, Yew Chye Albert</v>
      </c>
      <c r="B4603" t="s">
        <v>8775</v>
      </c>
      <c r="C4603" t="s">
        <v>28</v>
      </c>
      <c r="D4603" t="s">
        <v>8776</v>
      </c>
      <c r="E4603" t="s">
        <v>8</v>
      </c>
      <c r="F4603" t="s">
        <v>8777</v>
      </c>
      <c r="G4603" t="s">
        <v>8778</v>
      </c>
      <c r="H4603" t="s">
        <v>8779</v>
      </c>
      <c r="I4603" t="s">
        <v>3734</v>
      </c>
    </row>
    <row r="4604" spans="1:9" x14ac:dyDescent="0.25">
      <c r="A4604" s="1" t="str">
        <f>HYPERLINK("https://lynxcrm-apac--c.eu19.visual.force.com/0011i00000oYBJGAA4","Sol, Park Yae")</f>
        <v>Sol, Park Yae</v>
      </c>
      <c r="B4604" t="s">
        <v>8780</v>
      </c>
      <c r="C4604" t="s">
        <v>28</v>
      </c>
      <c r="D4604" t="s">
        <v>8</v>
      </c>
      <c r="E4604" t="s">
        <v>8</v>
      </c>
      <c r="F4604" t="s">
        <v>393</v>
      </c>
      <c r="G4604" t="s">
        <v>394</v>
      </c>
      <c r="H4604" t="s">
        <v>395</v>
      </c>
      <c r="I4604" t="s">
        <v>396</v>
      </c>
    </row>
    <row r="4605" spans="1:9" x14ac:dyDescent="0.25">
      <c r="A4605" s="1" t="str">
        <f>HYPERLINK("https://lynxcrm-apac--c.eu19.visual.force.com/0011i00000oYBJGAA4","Sol, Park Yae")</f>
        <v>Sol, Park Yae</v>
      </c>
      <c r="B4605" t="s">
        <v>8780</v>
      </c>
      <c r="C4605" t="s">
        <v>28</v>
      </c>
      <c r="D4605" t="s">
        <v>392</v>
      </c>
      <c r="E4605" t="s">
        <v>8</v>
      </c>
      <c r="F4605" t="s">
        <v>393</v>
      </c>
      <c r="G4605" t="s">
        <v>394</v>
      </c>
      <c r="H4605" t="s">
        <v>395</v>
      </c>
      <c r="I4605" t="s">
        <v>396</v>
      </c>
    </row>
    <row r="4606" spans="1:9" x14ac:dyDescent="0.25">
      <c r="A4606" s="1" t="str">
        <f>HYPERLINK("https://lynxcrm-apac--c.eu19.visual.force.com/0011i000001xoNCAAY","Somasundram, Pushparanee")</f>
        <v>Somasundram, Pushparanee</v>
      </c>
      <c r="B4606" t="s">
        <v>8781</v>
      </c>
      <c r="C4606" t="s">
        <v>28</v>
      </c>
      <c r="D4606" t="s">
        <v>8782</v>
      </c>
      <c r="E4606" t="s">
        <v>8</v>
      </c>
      <c r="F4606" t="s">
        <v>252</v>
      </c>
      <c r="G4606" t="s">
        <v>251</v>
      </c>
      <c r="H4606" t="s">
        <v>251</v>
      </c>
      <c r="I4606" t="s">
        <v>253</v>
      </c>
    </row>
    <row r="4607" spans="1:9" x14ac:dyDescent="0.25">
      <c r="A4607" s="1" t="str">
        <f t="shared" ref="A4607:A4612" si="42">HYPERLINK("https://lynxcrm-apac--c.eu19.visual.force.com/0011i00000jv0KuAAI","Sonawane, Vikram")</f>
        <v>Sonawane, Vikram</v>
      </c>
      <c r="B4607" t="s">
        <v>8783</v>
      </c>
      <c r="C4607" t="s">
        <v>28</v>
      </c>
      <c r="D4607" t="s">
        <v>501</v>
      </c>
      <c r="E4607" t="s">
        <v>8</v>
      </c>
      <c r="F4607" t="s">
        <v>502</v>
      </c>
      <c r="G4607" t="s">
        <v>502</v>
      </c>
      <c r="H4607" t="s">
        <v>503</v>
      </c>
      <c r="I4607" t="s">
        <v>504</v>
      </c>
    </row>
    <row r="4608" spans="1:9" x14ac:dyDescent="0.25">
      <c r="A4608" s="1" t="str">
        <f t="shared" si="42"/>
        <v>Sonawane, Vikram</v>
      </c>
      <c r="B4608" t="s">
        <v>8783</v>
      </c>
      <c r="C4608" t="s">
        <v>28</v>
      </c>
      <c r="D4608" t="s">
        <v>501</v>
      </c>
      <c r="E4608" t="s">
        <v>8</v>
      </c>
      <c r="F4608" t="s">
        <v>246</v>
      </c>
      <c r="G4608" t="s">
        <v>502</v>
      </c>
      <c r="H4608" t="s">
        <v>503</v>
      </c>
      <c r="I4608" t="s">
        <v>504</v>
      </c>
    </row>
    <row r="4609" spans="1:9" x14ac:dyDescent="0.25">
      <c r="A4609" s="1" t="str">
        <f t="shared" si="42"/>
        <v>Sonawane, Vikram</v>
      </c>
      <c r="B4609" t="s">
        <v>8783</v>
      </c>
      <c r="C4609" t="s">
        <v>28</v>
      </c>
      <c r="D4609" t="s">
        <v>501</v>
      </c>
      <c r="E4609" t="s">
        <v>8</v>
      </c>
      <c r="F4609" t="s">
        <v>246</v>
      </c>
      <c r="G4609" t="s">
        <v>502</v>
      </c>
      <c r="H4609" t="s">
        <v>503</v>
      </c>
      <c r="I4609" t="s">
        <v>505</v>
      </c>
    </row>
    <row r="4610" spans="1:9" x14ac:dyDescent="0.25">
      <c r="A4610" s="1" t="str">
        <f t="shared" si="42"/>
        <v>Sonawane, Vikram</v>
      </c>
      <c r="B4610" t="s">
        <v>8783</v>
      </c>
      <c r="C4610" t="s">
        <v>28</v>
      </c>
      <c r="D4610" t="s">
        <v>501</v>
      </c>
      <c r="E4610" t="s">
        <v>8</v>
      </c>
      <c r="F4610" t="s">
        <v>501</v>
      </c>
      <c r="G4610" t="s">
        <v>502</v>
      </c>
      <c r="H4610" t="s">
        <v>502</v>
      </c>
      <c r="I4610" t="s">
        <v>506</v>
      </c>
    </row>
    <row r="4611" spans="1:9" x14ac:dyDescent="0.25">
      <c r="A4611" s="1" t="str">
        <f t="shared" si="42"/>
        <v>Sonawane, Vikram</v>
      </c>
      <c r="B4611" t="s">
        <v>8783</v>
      </c>
      <c r="C4611" t="s">
        <v>28</v>
      </c>
      <c r="D4611" t="s">
        <v>501</v>
      </c>
      <c r="E4611" t="s">
        <v>8</v>
      </c>
      <c r="F4611" t="s">
        <v>234</v>
      </c>
      <c r="G4611" t="s">
        <v>502</v>
      </c>
      <c r="H4611" t="s">
        <v>503</v>
      </c>
      <c r="I4611" t="s">
        <v>504</v>
      </c>
    </row>
    <row r="4612" spans="1:9" x14ac:dyDescent="0.25">
      <c r="A4612" s="1" t="str">
        <f t="shared" si="42"/>
        <v>Sonawane, Vikram</v>
      </c>
      <c r="B4612" t="s">
        <v>8783</v>
      </c>
      <c r="C4612" t="s">
        <v>28</v>
      </c>
      <c r="D4612" t="s">
        <v>501</v>
      </c>
      <c r="E4612" t="s">
        <v>8</v>
      </c>
      <c r="F4612" t="s">
        <v>359</v>
      </c>
      <c r="G4612" t="s">
        <v>502</v>
      </c>
      <c r="H4612" t="s">
        <v>503</v>
      </c>
      <c r="I4612" t="s">
        <v>506</v>
      </c>
    </row>
    <row r="4613" spans="1:9" x14ac:dyDescent="0.25">
      <c r="A4613" s="1" t="str">
        <f>HYPERLINK("https://lynxcrm-apac--c.eu19.visual.force.com/0011i000001xnqvAAA","Soo, Ing Choong")</f>
        <v>Soo, Ing Choong</v>
      </c>
      <c r="B4613" t="s">
        <v>8784</v>
      </c>
      <c r="C4613" t="s">
        <v>28</v>
      </c>
      <c r="D4613" t="s">
        <v>8785</v>
      </c>
      <c r="E4613" t="s">
        <v>8</v>
      </c>
      <c r="F4613" t="s">
        <v>3151</v>
      </c>
      <c r="G4613" t="s">
        <v>3152</v>
      </c>
      <c r="H4613" t="s">
        <v>3153</v>
      </c>
      <c r="I4613" t="s">
        <v>3154</v>
      </c>
    </row>
    <row r="4614" spans="1:9" x14ac:dyDescent="0.25">
      <c r="A4614" s="1" t="str">
        <f>HYPERLINK("https://lynxcrm-apac--c.eu19.visual.force.com/0011i000001xoB6AAI","Soo, Lai Kit Ross")</f>
        <v>Soo, Lai Kit Ross</v>
      </c>
      <c r="B4614" t="s">
        <v>8786</v>
      </c>
      <c r="C4614" t="s">
        <v>28</v>
      </c>
      <c r="D4614" t="s">
        <v>583</v>
      </c>
      <c r="E4614" t="s">
        <v>8</v>
      </c>
      <c r="F4614" t="s">
        <v>583</v>
      </c>
      <c r="G4614" t="s">
        <v>584</v>
      </c>
      <c r="H4614" t="s">
        <v>584</v>
      </c>
      <c r="I4614" t="s">
        <v>585</v>
      </c>
    </row>
    <row r="4615" spans="1:9" x14ac:dyDescent="0.25">
      <c r="A4615" s="1" t="str">
        <f>HYPERLINK("https://lynxcrm-apac--c.eu19.visual.force.com/0011i000001xoB6AAI","Soo, Lai Kit Ross")</f>
        <v>Soo, Lai Kit Ross</v>
      </c>
      <c r="B4615" t="s">
        <v>8786</v>
      </c>
      <c r="C4615" t="s">
        <v>28</v>
      </c>
      <c r="D4615" t="s">
        <v>8787</v>
      </c>
      <c r="E4615" t="s">
        <v>8</v>
      </c>
      <c r="F4615" t="s">
        <v>584</v>
      </c>
      <c r="G4615" t="s">
        <v>583</v>
      </c>
      <c r="H4615" t="s">
        <v>583</v>
      </c>
      <c r="I4615" t="s">
        <v>585</v>
      </c>
    </row>
    <row r="4616" spans="1:9" x14ac:dyDescent="0.25">
      <c r="A4616" s="1" t="str">
        <f>HYPERLINK("https://lynxcrm-apac--c.eu19.visual.force.com/0011i00000Xf1HQAAZ","Soo, Ross")</f>
        <v>Soo, Ross</v>
      </c>
      <c r="B4616" t="s">
        <v>8788</v>
      </c>
      <c r="C4616" t="s">
        <v>28</v>
      </c>
      <c r="D4616" t="s">
        <v>429</v>
      </c>
      <c r="E4616" t="s">
        <v>8</v>
      </c>
      <c r="F4616" t="s">
        <v>594</v>
      </c>
      <c r="G4616" t="s">
        <v>595</v>
      </c>
      <c r="H4616" t="s">
        <v>8</v>
      </c>
      <c r="I4616" t="s">
        <v>596</v>
      </c>
    </row>
    <row r="4617" spans="1:9" x14ac:dyDescent="0.25">
      <c r="A4617" s="1" t="str">
        <f>HYPERLINK("https://lynxcrm-apac--c.eu19.visual.force.com/0011i000001xootAAA","Soo, Shuenn Chiang")</f>
        <v>Soo, Shuenn Chiang</v>
      </c>
      <c r="B4617" t="s">
        <v>8789</v>
      </c>
      <c r="C4617" t="s">
        <v>28</v>
      </c>
      <c r="D4617" t="s">
        <v>429</v>
      </c>
      <c r="E4617" t="s">
        <v>8</v>
      </c>
      <c r="F4617" t="s">
        <v>429</v>
      </c>
      <c r="G4617" t="s">
        <v>428</v>
      </c>
      <c r="H4617" t="s">
        <v>428</v>
      </c>
      <c r="I4617" t="s">
        <v>430</v>
      </c>
    </row>
    <row r="4618" spans="1:9" x14ac:dyDescent="0.25">
      <c r="A4618" s="1" t="str">
        <f>HYPERLINK("https://lynxcrm-apac--c.eu19.visual.force.com/0011i000001xootAAA","Soo, Shuenn Chiang")</f>
        <v>Soo, Shuenn Chiang</v>
      </c>
      <c r="B4618" t="s">
        <v>8789</v>
      </c>
      <c r="C4618" t="s">
        <v>28</v>
      </c>
      <c r="D4618" t="s">
        <v>429</v>
      </c>
      <c r="E4618" t="s">
        <v>8</v>
      </c>
      <c r="F4618" t="s">
        <v>444</v>
      </c>
      <c r="G4618" t="s">
        <v>444</v>
      </c>
      <c r="H4618" t="s">
        <v>8</v>
      </c>
      <c r="I4618" t="s">
        <v>430</v>
      </c>
    </row>
    <row r="4619" spans="1:9" x14ac:dyDescent="0.25">
      <c r="A4619" s="1" t="str">
        <f>HYPERLINK("https://lynxcrm-apac--c.eu19.visual.force.com/0011i000001xootAAA","Soo, Shuenn Chiang")</f>
        <v>Soo, Shuenn Chiang</v>
      </c>
      <c r="B4619" t="s">
        <v>8789</v>
      </c>
      <c r="C4619" t="s">
        <v>28</v>
      </c>
      <c r="D4619" t="s">
        <v>429</v>
      </c>
      <c r="E4619" t="s">
        <v>8</v>
      </c>
      <c r="F4619" t="s">
        <v>445</v>
      </c>
      <c r="G4619" t="s">
        <v>428</v>
      </c>
      <c r="H4619" t="s">
        <v>428</v>
      </c>
      <c r="I4619" t="s">
        <v>430</v>
      </c>
    </row>
    <row r="4620" spans="1:9" x14ac:dyDescent="0.25">
      <c r="A4620" s="1" t="str">
        <f>HYPERLINK("https://lynxcrm-apac--c.eu19.visual.force.com/0011i000001xootAAA","Soo, Shuenn Chiang")</f>
        <v>Soo, Shuenn Chiang</v>
      </c>
      <c r="B4620" t="s">
        <v>8789</v>
      </c>
      <c r="C4620" t="s">
        <v>28</v>
      </c>
      <c r="D4620" t="s">
        <v>429</v>
      </c>
      <c r="E4620" t="s">
        <v>8</v>
      </c>
      <c r="F4620" t="s">
        <v>444</v>
      </c>
      <c r="G4620" t="s">
        <v>444</v>
      </c>
      <c r="H4620" t="s">
        <v>8</v>
      </c>
      <c r="I4620" t="s">
        <v>8</v>
      </c>
    </row>
    <row r="4621" spans="1:9" x14ac:dyDescent="0.25">
      <c r="A4621" s="1" t="str">
        <f>HYPERLINK("https://lynxcrm-apac--c.eu19.visual.force.com/0011i000001xoL1AAI","Soo, Siow Lian")</f>
        <v>Soo, Siow Lian</v>
      </c>
      <c r="B4621" t="s">
        <v>8790</v>
      </c>
      <c r="C4621" t="s">
        <v>28</v>
      </c>
      <c r="D4621" t="s">
        <v>8791</v>
      </c>
      <c r="E4621" t="s">
        <v>8</v>
      </c>
      <c r="F4621" t="s">
        <v>8792</v>
      </c>
      <c r="G4621" t="s">
        <v>8793</v>
      </c>
      <c r="H4621" t="s">
        <v>8793</v>
      </c>
      <c r="I4621" t="s">
        <v>3839</v>
      </c>
    </row>
    <row r="4622" spans="1:9" x14ac:dyDescent="0.25">
      <c r="A4622" s="1" t="str">
        <f>HYPERLINK("https://lynxcrm-apac--c.eu19.visual.force.com/0011i000001xoRnAAI","Soo, Wern Fern")</f>
        <v>Soo, Wern Fern</v>
      </c>
      <c r="B4622" t="s">
        <v>8794</v>
      </c>
      <c r="C4622" t="s">
        <v>28</v>
      </c>
      <c r="D4622" t="s">
        <v>1126</v>
      </c>
      <c r="E4622" t="s">
        <v>8</v>
      </c>
      <c r="F4622" t="s">
        <v>994</v>
      </c>
      <c r="G4622" t="s">
        <v>995</v>
      </c>
      <c r="H4622" t="s">
        <v>995</v>
      </c>
      <c r="I4622" t="s">
        <v>996</v>
      </c>
    </row>
    <row r="4623" spans="1:9" x14ac:dyDescent="0.25">
      <c r="A4623" s="1" t="str">
        <f>HYPERLINK("https://lynxcrm-apac--c.eu19.visual.force.com/0011i000001xnocAAA","Soo, Wern Miin")</f>
        <v>Soo, Wern Miin</v>
      </c>
      <c r="B4623" t="s">
        <v>8795</v>
      </c>
      <c r="C4623" t="s">
        <v>28</v>
      </c>
      <c r="D4623" t="s">
        <v>429</v>
      </c>
      <c r="E4623" t="s">
        <v>8</v>
      </c>
      <c r="F4623" t="s">
        <v>429</v>
      </c>
      <c r="G4623" t="s">
        <v>428</v>
      </c>
      <c r="H4623" t="s">
        <v>428</v>
      </c>
      <c r="I4623" t="s">
        <v>430</v>
      </c>
    </row>
    <row r="4624" spans="1:9" x14ac:dyDescent="0.25">
      <c r="A4624" s="1" t="str">
        <f>HYPERLINK("https://lynxcrm-apac--c.eu19.visual.force.com/0011i000001xnocAAA","Soo, Wern Miin")</f>
        <v>Soo, Wern Miin</v>
      </c>
      <c r="B4624" t="s">
        <v>8795</v>
      </c>
      <c r="C4624" t="s">
        <v>28</v>
      </c>
      <c r="D4624" t="s">
        <v>429</v>
      </c>
      <c r="E4624" t="s">
        <v>8</v>
      </c>
      <c r="F4624" t="s">
        <v>444</v>
      </c>
      <c r="G4624" t="s">
        <v>444</v>
      </c>
      <c r="H4624" t="s">
        <v>8</v>
      </c>
      <c r="I4624" t="s">
        <v>430</v>
      </c>
    </row>
    <row r="4625" spans="1:9" x14ac:dyDescent="0.25">
      <c r="A4625" s="1" t="str">
        <f>HYPERLINK("https://lynxcrm-apac--c.eu19.visual.force.com/0011i000001xnocAAA","Soo, Wern Miin")</f>
        <v>Soo, Wern Miin</v>
      </c>
      <c r="B4625" t="s">
        <v>8795</v>
      </c>
      <c r="C4625" t="s">
        <v>28</v>
      </c>
      <c r="D4625" t="s">
        <v>429</v>
      </c>
      <c r="E4625" t="s">
        <v>8</v>
      </c>
      <c r="F4625" t="s">
        <v>445</v>
      </c>
      <c r="G4625" t="s">
        <v>428</v>
      </c>
      <c r="H4625" t="s">
        <v>428</v>
      </c>
      <c r="I4625" t="s">
        <v>430</v>
      </c>
    </row>
    <row r="4626" spans="1:9" x14ac:dyDescent="0.25">
      <c r="A4626" s="1" t="str">
        <f>HYPERLINK("https://lynxcrm-apac--c.eu19.visual.force.com/0011i000001xnocAAA","Soo, Wern Miin")</f>
        <v>Soo, Wern Miin</v>
      </c>
      <c r="B4626" t="s">
        <v>8795</v>
      </c>
      <c r="C4626" t="s">
        <v>28</v>
      </c>
      <c r="D4626" t="s">
        <v>429</v>
      </c>
      <c r="E4626" t="s">
        <v>8</v>
      </c>
      <c r="F4626" t="s">
        <v>444</v>
      </c>
      <c r="G4626" t="s">
        <v>444</v>
      </c>
      <c r="H4626" t="s">
        <v>8</v>
      </c>
      <c r="I4626" t="s">
        <v>8</v>
      </c>
    </row>
    <row r="4627" spans="1:9" x14ac:dyDescent="0.25">
      <c r="A4627" s="1" t="str">
        <f>HYPERLINK("https://lynxcrm-apac--c.eu19.visual.force.com/0011i000001xoQ3AAI","Soon, Chao Yang")</f>
        <v>Soon, Chao Yang</v>
      </c>
      <c r="B4627" t="s">
        <v>8796</v>
      </c>
      <c r="C4627" t="s">
        <v>28</v>
      </c>
      <c r="D4627" t="s">
        <v>8797</v>
      </c>
      <c r="E4627" t="s">
        <v>8</v>
      </c>
      <c r="F4627" t="s">
        <v>8798</v>
      </c>
      <c r="G4627" t="s">
        <v>8799</v>
      </c>
      <c r="H4627" t="s">
        <v>8800</v>
      </c>
      <c r="I4627" t="s">
        <v>200</v>
      </c>
    </row>
    <row r="4628" spans="1:9" x14ac:dyDescent="0.25">
      <c r="A4628" s="1" t="str">
        <f>HYPERLINK("https://lynxcrm-apac--c.eu19.visual.force.com/0011i000001xoaLAAQ","Soon, Edmund")</f>
        <v>Soon, Edmund</v>
      </c>
      <c r="B4628" t="s">
        <v>8801</v>
      </c>
      <c r="C4628" t="s">
        <v>28</v>
      </c>
      <c r="D4628" t="s">
        <v>1164</v>
      </c>
      <c r="E4628" t="s">
        <v>8</v>
      </c>
      <c r="F4628" t="s">
        <v>1165</v>
      </c>
      <c r="G4628" t="s">
        <v>1166</v>
      </c>
      <c r="H4628" t="s">
        <v>1166</v>
      </c>
      <c r="I4628" t="s">
        <v>1167</v>
      </c>
    </row>
    <row r="4629" spans="1:9" x14ac:dyDescent="0.25">
      <c r="A4629" s="1" t="str">
        <f>HYPERLINK("https://lynxcrm-apac--c.eu19.visual.force.com/0011i000001xoaLAAQ","Soon, Edmund")</f>
        <v>Soon, Edmund</v>
      </c>
      <c r="B4629" t="s">
        <v>8801</v>
      </c>
      <c r="C4629" t="s">
        <v>28</v>
      </c>
      <c r="D4629" t="s">
        <v>2219</v>
      </c>
      <c r="E4629" t="s">
        <v>8</v>
      </c>
      <c r="F4629" t="s">
        <v>2219</v>
      </c>
      <c r="G4629" t="s">
        <v>1164</v>
      </c>
      <c r="H4629" t="s">
        <v>1164</v>
      </c>
      <c r="I4629" t="s">
        <v>2220</v>
      </c>
    </row>
    <row r="4630" spans="1:9" x14ac:dyDescent="0.25">
      <c r="A4630" s="1" t="str">
        <f t="shared" ref="A4630:A4635" si="43">HYPERLINK("https://lynxcrm-apac--c.eu19.visual.force.com/0011i000001xo4BAAQ","Soon, Kar Nee Dinna")</f>
        <v>Soon, Kar Nee Dinna</v>
      </c>
      <c r="B4630" t="s">
        <v>8802</v>
      </c>
      <c r="C4630" t="s">
        <v>28</v>
      </c>
      <c r="D4630" t="s">
        <v>501</v>
      </c>
      <c r="E4630" t="s">
        <v>8</v>
      </c>
      <c r="F4630" t="s">
        <v>501</v>
      </c>
      <c r="G4630" t="s">
        <v>502</v>
      </c>
      <c r="H4630" t="s">
        <v>502</v>
      </c>
      <c r="I4630" t="s">
        <v>506</v>
      </c>
    </row>
    <row r="4631" spans="1:9" x14ac:dyDescent="0.25">
      <c r="A4631" s="1" t="str">
        <f t="shared" si="43"/>
        <v>Soon, Kar Nee Dinna</v>
      </c>
      <c r="B4631" t="s">
        <v>8802</v>
      </c>
      <c r="C4631" t="s">
        <v>28</v>
      </c>
      <c r="D4631" t="s">
        <v>501</v>
      </c>
      <c r="E4631" t="s">
        <v>8</v>
      </c>
      <c r="F4631" t="s">
        <v>502</v>
      </c>
      <c r="G4631" t="s">
        <v>502</v>
      </c>
      <c r="H4631" t="s">
        <v>503</v>
      </c>
      <c r="I4631" t="s">
        <v>504</v>
      </c>
    </row>
    <row r="4632" spans="1:9" x14ac:dyDescent="0.25">
      <c r="A4632" s="1" t="str">
        <f t="shared" si="43"/>
        <v>Soon, Kar Nee Dinna</v>
      </c>
      <c r="B4632" t="s">
        <v>8802</v>
      </c>
      <c r="C4632" t="s">
        <v>28</v>
      </c>
      <c r="D4632" t="s">
        <v>501</v>
      </c>
      <c r="E4632" t="s">
        <v>8</v>
      </c>
      <c r="F4632" t="s">
        <v>246</v>
      </c>
      <c r="G4632" t="s">
        <v>502</v>
      </c>
      <c r="H4632" t="s">
        <v>503</v>
      </c>
      <c r="I4632" t="s">
        <v>504</v>
      </c>
    </row>
    <row r="4633" spans="1:9" x14ac:dyDescent="0.25">
      <c r="A4633" s="1" t="str">
        <f t="shared" si="43"/>
        <v>Soon, Kar Nee Dinna</v>
      </c>
      <c r="B4633" t="s">
        <v>8802</v>
      </c>
      <c r="C4633" t="s">
        <v>28</v>
      </c>
      <c r="D4633" t="s">
        <v>501</v>
      </c>
      <c r="E4633" t="s">
        <v>8</v>
      </c>
      <c r="F4633" t="s">
        <v>246</v>
      </c>
      <c r="G4633" t="s">
        <v>502</v>
      </c>
      <c r="H4633" t="s">
        <v>503</v>
      </c>
      <c r="I4633" t="s">
        <v>505</v>
      </c>
    </row>
    <row r="4634" spans="1:9" x14ac:dyDescent="0.25">
      <c r="A4634" s="1" t="str">
        <f t="shared" si="43"/>
        <v>Soon, Kar Nee Dinna</v>
      </c>
      <c r="B4634" t="s">
        <v>8802</v>
      </c>
      <c r="C4634" t="s">
        <v>28</v>
      </c>
      <c r="D4634" t="s">
        <v>501</v>
      </c>
      <c r="E4634" t="s">
        <v>8</v>
      </c>
      <c r="F4634" t="s">
        <v>234</v>
      </c>
      <c r="G4634" t="s">
        <v>502</v>
      </c>
      <c r="H4634" t="s">
        <v>503</v>
      </c>
      <c r="I4634" t="s">
        <v>504</v>
      </c>
    </row>
    <row r="4635" spans="1:9" x14ac:dyDescent="0.25">
      <c r="A4635" s="1" t="str">
        <f t="shared" si="43"/>
        <v>Soon, Kar Nee Dinna</v>
      </c>
      <c r="B4635" t="s">
        <v>8802</v>
      </c>
      <c r="C4635" t="s">
        <v>28</v>
      </c>
      <c r="D4635" t="s">
        <v>501</v>
      </c>
      <c r="E4635" t="s">
        <v>8</v>
      </c>
      <c r="F4635" t="s">
        <v>359</v>
      </c>
      <c r="G4635" t="s">
        <v>502</v>
      </c>
      <c r="H4635" t="s">
        <v>503</v>
      </c>
      <c r="I4635" t="s">
        <v>506</v>
      </c>
    </row>
    <row r="4636" spans="1:9" x14ac:dyDescent="0.25">
      <c r="A4636" s="1" t="str">
        <f>HYPERLINK("https://lynxcrm-apac--c.eu19.visual.force.com/0011i000001xoH5AAI","Soon, Puay Cheow")</f>
        <v>Soon, Puay Cheow</v>
      </c>
      <c r="B4636" t="s">
        <v>8803</v>
      </c>
      <c r="C4636" t="s">
        <v>28</v>
      </c>
      <c r="D4636" t="s">
        <v>8804</v>
      </c>
      <c r="E4636" t="s">
        <v>8</v>
      </c>
      <c r="F4636" t="s">
        <v>417</v>
      </c>
      <c r="G4636" t="s">
        <v>8805</v>
      </c>
      <c r="H4636" t="s">
        <v>8806</v>
      </c>
      <c r="I4636" t="s">
        <v>887</v>
      </c>
    </row>
    <row r="4637" spans="1:9" x14ac:dyDescent="0.25">
      <c r="A4637" s="1" t="str">
        <f>HYPERLINK("https://lynxcrm-apac--c.eu19.visual.force.com/0011i000001xo20AAA","Soon, Shok Wen Winnie")</f>
        <v>Soon, Shok Wen Winnie</v>
      </c>
      <c r="B4637" t="s">
        <v>8807</v>
      </c>
      <c r="C4637" t="s">
        <v>28</v>
      </c>
      <c r="D4637" t="s">
        <v>1661</v>
      </c>
      <c r="E4637" t="s">
        <v>8</v>
      </c>
      <c r="F4637" t="s">
        <v>622</v>
      </c>
      <c r="G4637" t="s">
        <v>623</v>
      </c>
      <c r="H4637" t="s">
        <v>623</v>
      </c>
      <c r="I4637" t="s">
        <v>624</v>
      </c>
    </row>
    <row r="4638" spans="1:9" x14ac:dyDescent="0.25">
      <c r="A4638" s="1" t="str">
        <f>HYPERLINK("https://lynxcrm-apac--c.eu19.visual.force.com/0011i00000w07YNAAY","Soon, Thai Choong")</f>
        <v>Soon, Thai Choong</v>
      </c>
      <c r="B4638" t="s">
        <v>8808</v>
      </c>
      <c r="C4638" t="s">
        <v>28</v>
      </c>
      <c r="D4638" t="s">
        <v>8</v>
      </c>
      <c r="E4638" t="s">
        <v>8</v>
      </c>
      <c r="F4638" t="s">
        <v>710</v>
      </c>
      <c r="G4638" t="s">
        <v>710</v>
      </c>
      <c r="H4638" t="s">
        <v>1474</v>
      </c>
      <c r="I4638" t="s">
        <v>711</v>
      </c>
    </row>
    <row r="4639" spans="1:9" x14ac:dyDescent="0.25">
      <c r="A4639" s="1" t="str">
        <f>HYPERLINK("https://lynxcrm-apac--c.eu19.visual.force.com/0011i000001xnsnAAA","Soon, Yee Hoong Michael")</f>
        <v>Soon, Yee Hoong Michael</v>
      </c>
      <c r="B4639" t="s">
        <v>8809</v>
      </c>
      <c r="C4639" t="s">
        <v>28</v>
      </c>
      <c r="D4639" t="s">
        <v>1757</v>
      </c>
      <c r="E4639" t="s">
        <v>8</v>
      </c>
      <c r="F4639" t="s">
        <v>1099</v>
      </c>
      <c r="G4639" t="s">
        <v>121</v>
      </c>
      <c r="H4639" t="s">
        <v>1100</v>
      </c>
      <c r="I4639" t="s">
        <v>123</v>
      </c>
    </row>
    <row r="4640" spans="1:9" x14ac:dyDescent="0.25">
      <c r="A4640" s="1" t="str">
        <f>HYPERLINK("https://lynxcrm-apac--c.eu19.visual.force.com/0011i000001xodYAAQ","Soondal, Koomar Surrun")</f>
        <v>Soondal, Koomar Surrun</v>
      </c>
      <c r="B4640" t="s">
        <v>8810</v>
      </c>
      <c r="C4640" t="s">
        <v>28</v>
      </c>
      <c r="D4640" t="s">
        <v>251</v>
      </c>
      <c r="E4640" t="s">
        <v>8</v>
      </c>
      <c r="F4640" t="s">
        <v>651</v>
      </c>
      <c r="G4640" t="s">
        <v>252</v>
      </c>
      <c r="H4640" t="s">
        <v>858</v>
      </c>
      <c r="I4640" t="s">
        <v>253</v>
      </c>
    </row>
    <row r="4641" spans="1:9" x14ac:dyDescent="0.25">
      <c r="A4641" s="1" t="str">
        <f>HYPERLINK("https://lynxcrm-apac--c.eu19.visual.force.com/0011i000001xmlRAAQ","Soon Diabetes Thyroid And Endocrinology")</f>
        <v>Soon Diabetes Thyroid And Endocrinology</v>
      </c>
      <c r="B4641" t="s">
        <v>8811</v>
      </c>
      <c r="C4641" t="s">
        <v>10</v>
      </c>
      <c r="D4641" t="s">
        <v>8</v>
      </c>
      <c r="E4641" t="s">
        <v>8</v>
      </c>
      <c r="F4641" t="s">
        <v>417</v>
      </c>
      <c r="G4641" t="s">
        <v>8805</v>
      </c>
      <c r="H4641" t="s">
        <v>8806</v>
      </c>
      <c r="I4641" t="s">
        <v>887</v>
      </c>
    </row>
    <row r="4642" spans="1:9" x14ac:dyDescent="0.25">
      <c r="A4642" s="1" t="str">
        <f>HYPERLINK("https://lynxcrm-apac--c.eu19.visual.force.com/0011i000001xnr0AAA","Soong, Chuon Vui Jovian")</f>
        <v>Soong, Chuon Vui Jovian</v>
      </c>
      <c r="B4642" t="s">
        <v>8812</v>
      </c>
      <c r="C4642" t="s">
        <v>28</v>
      </c>
      <c r="D4642" t="s">
        <v>8813</v>
      </c>
      <c r="E4642" t="s">
        <v>8</v>
      </c>
      <c r="F4642" t="s">
        <v>8814</v>
      </c>
      <c r="G4642" t="s">
        <v>4096</v>
      </c>
      <c r="H4642" t="s">
        <v>8815</v>
      </c>
      <c r="I4642" t="s">
        <v>3265</v>
      </c>
    </row>
    <row r="4643" spans="1:9" x14ac:dyDescent="0.25">
      <c r="A4643" s="1" t="str">
        <f>HYPERLINK("https://lynxcrm-apac--c.eu19.visual.force.com/0011i00000Q2V8DAAV","Soong, John")</f>
        <v>Soong, John</v>
      </c>
      <c r="B4643" t="s">
        <v>8816</v>
      </c>
      <c r="C4643" t="s">
        <v>28</v>
      </c>
      <c r="D4643" t="s">
        <v>8</v>
      </c>
      <c r="E4643" t="s">
        <v>8</v>
      </c>
      <c r="F4643" t="s">
        <v>2128</v>
      </c>
      <c r="G4643" t="s">
        <v>428</v>
      </c>
      <c r="H4643" t="s">
        <v>1320</v>
      </c>
      <c r="I4643" t="s">
        <v>430</v>
      </c>
    </row>
    <row r="4644" spans="1:9" x14ac:dyDescent="0.25">
      <c r="A4644" s="1" t="str">
        <f>HYPERLINK("https://lynxcrm-apac--c.eu19.visual.force.com/0011i00000Q2V8DAAV","Soong, John")</f>
        <v>Soong, John</v>
      </c>
      <c r="B4644" t="s">
        <v>8816</v>
      </c>
      <c r="C4644" t="s">
        <v>28</v>
      </c>
      <c r="D4644" t="s">
        <v>429</v>
      </c>
      <c r="E4644" t="s">
        <v>8</v>
      </c>
      <c r="F4644" t="s">
        <v>2128</v>
      </c>
      <c r="G4644" t="s">
        <v>428</v>
      </c>
      <c r="H4644" t="s">
        <v>1320</v>
      </c>
      <c r="I4644" t="s">
        <v>430</v>
      </c>
    </row>
    <row r="4645" spans="1:9" x14ac:dyDescent="0.25">
      <c r="A4645" s="1" t="str">
        <f>HYPERLINK("https://lynxcrm-apac--c.eu19.visual.force.com/0011i000001xokoAAA","Soong, Sau Leng")</f>
        <v>Soong, Sau Leng</v>
      </c>
      <c r="B4645" t="s">
        <v>8817</v>
      </c>
      <c r="C4645" t="s">
        <v>28</v>
      </c>
      <c r="D4645" t="s">
        <v>550</v>
      </c>
      <c r="E4645" t="s">
        <v>8</v>
      </c>
      <c r="F4645" t="s">
        <v>551</v>
      </c>
      <c r="G4645" t="s">
        <v>552</v>
      </c>
      <c r="H4645" t="s">
        <v>553</v>
      </c>
      <c r="I4645" t="s">
        <v>554</v>
      </c>
    </row>
    <row r="4646" spans="1:9" x14ac:dyDescent="0.25">
      <c r="A4646" s="1" t="str">
        <f>HYPERLINK("https://lynxcrm-apac--c.eu19.visual.force.com/0011i000001xoMmAAI","Soong, Yuen Mun Yvonne")</f>
        <v>Soong, Yuen Mun Yvonne</v>
      </c>
      <c r="B4646" t="s">
        <v>8818</v>
      </c>
      <c r="C4646" t="s">
        <v>28</v>
      </c>
      <c r="D4646" t="s">
        <v>8819</v>
      </c>
      <c r="E4646" t="s">
        <v>8</v>
      </c>
      <c r="F4646" t="s">
        <v>263</v>
      </c>
      <c r="G4646" t="s">
        <v>8820</v>
      </c>
      <c r="H4646" t="s">
        <v>8821</v>
      </c>
      <c r="I4646" t="s">
        <v>8822</v>
      </c>
    </row>
    <row r="4647" spans="1:9" x14ac:dyDescent="0.25">
      <c r="A4647" s="1" t="str">
        <f>HYPERLINK("https://lynxcrm-apac--c.eu19.visual.force.com/0011i000001xoNsAAI","Sophian Hadi, bin Ibrahi")</f>
        <v>Sophian Hadi, bin Ibrahi</v>
      </c>
      <c r="B4647" t="s">
        <v>8823</v>
      </c>
      <c r="C4647" t="s">
        <v>28</v>
      </c>
      <c r="D4647" t="s">
        <v>701</v>
      </c>
      <c r="E4647" t="s">
        <v>8</v>
      </c>
      <c r="F4647" t="s">
        <v>1123</v>
      </c>
      <c r="G4647" t="s">
        <v>1123</v>
      </c>
      <c r="H4647" t="s">
        <v>1124</v>
      </c>
      <c r="I4647" t="s">
        <v>703</v>
      </c>
    </row>
    <row r="4648" spans="1:9" x14ac:dyDescent="0.25">
      <c r="A4648" s="1" t="str">
        <f>HYPERLINK("https://lynxcrm-apac--c.eu19.visual.force.com/0011i000001xoNsAAI","Sophian Hadi, bin Ibrahi")</f>
        <v>Sophian Hadi, bin Ibrahi</v>
      </c>
      <c r="B4648" t="s">
        <v>8823</v>
      </c>
      <c r="C4648" t="s">
        <v>28</v>
      </c>
      <c r="D4648" t="s">
        <v>701</v>
      </c>
      <c r="E4648" t="s">
        <v>8</v>
      </c>
      <c r="F4648" t="s">
        <v>1123</v>
      </c>
      <c r="G4648" t="s">
        <v>1123</v>
      </c>
      <c r="H4648" t="s">
        <v>8</v>
      </c>
      <c r="I4648" t="s">
        <v>703</v>
      </c>
    </row>
    <row r="4649" spans="1:9" x14ac:dyDescent="0.25">
      <c r="A4649" s="1" t="str">
        <f>HYPERLINK("https://lynxcrm-apac--c.eu19.visual.force.com/0011i000001xnKbAAI","Sozo Cardiology")</f>
        <v>Sozo Cardiology</v>
      </c>
      <c r="B4649" t="s">
        <v>8824</v>
      </c>
      <c r="C4649" t="s">
        <v>10</v>
      </c>
      <c r="D4649" t="s">
        <v>8</v>
      </c>
      <c r="E4649" t="s">
        <v>8</v>
      </c>
      <c r="F4649" t="s">
        <v>7489</v>
      </c>
      <c r="G4649" t="s">
        <v>569</v>
      </c>
      <c r="H4649" t="s">
        <v>569</v>
      </c>
      <c r="I4649" t="s">
        <v>344</v>
      </c>
    </row>
    <row r="4650" spans="1:9" x14ac:dyDescent="0.25">
      <c r="A4650" s="1" t="str">
        <f>HYPERLINK("https://lynxcrm-apac--c.eu19.visual.force.com/0011i000001xn3RAAQ","Specialist Women's Medical Centre")</f>
        <v>Specialist Women's Medical Centre</v>
      </c>
      <c r="B4650" t="s">
        <v>8825</v>
      </c>
      <c r="C4650" t="s">
        <v>10</v>
      </c>
      <c r="D4650" t="s">
        <v>8</v>
      </c>
      <c r="E4650" t="s">
        <v>8</v>
      </c>
      <c r="F4650" t="s">
        <v>8826</v>
      </c>
      <c r="G4650" t="s">
        <v>6547</v>
      </c>
      <c r="H4650" t="s">
        <v>8827</v>
      </c>
      <c r="I4650" t="s">
        <v>8828</v>
      </c>
    </row>
    <row r="4651" spans="1:9" x14ac:dyDescent="0.25">
      <c r="A4651" s="1" t="str">
        <f>HYPERLINK("https://lynxcrm-apac--c.eu19.visual.force.com/0011i000001xnyDAAQ","Sreedharan, s/o Sechachalam")</f>
        <v>Sreedharan, s/o Sechachalam</v>
      </c>
      <c r="B4651" t="s">
        <v>8829</v>
      </c>
      <c r="C4651" t="s">
        <v>28</v>
      </c>
      <c r="D4651" t="s">
        <v>261</v>
      </c>
      <c r="E4651" t="s">
        <v>8</v>
      </c>
      <c r="F4651" t="s">
        <v>427</v>
      </c>
      <c r="G4651" t="s">
        <v>258</v>
      </c>
      <c r="H4651" t="s">
        <v>259</v>
      </c>
      <c r="I4651" t="s">
        <v>260</v>
      </c>
    </row>
    <row r="4652" spans="1:9" x14ac:dyDescent="0.25">
      <c r="A4652" s="1" t="str">
        <f>HYPERLINK("https://lynxcrm-apac--c.eu19.visual.force.com/0011i000001xorrAAA","Sreekanth, Koduri")</f>
        <v>Sreekanth, Koduri</v>
      </c>
      <c r="B4652" t="s">
        <v>8830</v>
      </c>
      <c r="C4652" t="s">
        <v>28</v>
      </c>
      <c r="D4652" t="s">
        <v>583</v>
      </c>
      <c r="E4652" t="s">
        <v>8</v>
      </c>
      <c r="F4652" t="s">
        <v>583</v>
      </c>
      <c r="G4652" t="s">
        <v>584</v>
      </c>
      <c r="H4652" t="s">
        <v>584</v>
      </c>
      <c r="I4652" t="s">
        <v>585</v>
      </c>
    </row>
    <row r="4653" spans="1:9" x14ac:dyDescent="0.25">
      <c r="A4653" s="1" t="str">
        <f>HYPERLINK("https://lynxcrm-apac--c.eu19.visual.force.com/0011i000001xorQAAQ","Srinovas, Subramaniam")</f>
        <v>Srinovas, Subramaniam</v>
      </c>
      <c r="B4653" t="s">
        <v>8831</v>
      </c>
      <c r="C4653" t="s">
        <v>28</v>
      </c>
      <c r="D4653" t="s">
        <v>429</v>
      </c>
      <c r="E4653" t="s">
        <v>8</v>
      </c>
      <c r="F4653" t="s">
        <v>429</v>
      </c>
      <c r="G4653" t="s">
        <v>428</v>
      </c>
      <c r="H4653" t="s">
        <v>428</v>
      </c>
      <c r="I4653" t="s">
        <v>430</v>
      </c>
    </row>
    <row r="4654" spans="1:9" x14ac:dyDescent="0.25">
      <c r="A4654" s="1" t="str">
        <f>HYPERLINK("https://lynxcrm-apac--c.eu19.visual.force.com/0011i000001xorQAAQ","Srinovas, Subramaniam")</f>
        <v>Srinovas, Subramaniam</v>
      </c>
      <c r="B4654" t="s">
        <v>8831</v>
      </c>
      <c r="C4654" t="s">
        <v>28</v>
      </c>
      <c r="D4654" t="s">
        <v>429</v>
      </c>
      <c r="E4654" t="s">
        <v>8</v>
      </c>
      <c r="F4654" t="s">
        <v>444</v>
      </c>
      <c r="G4654" t="s">
        <v>444</v>
      </c>
      <c r="H4654" t="s">
        <v>8</v>
      </c>
      <c r="I4654" t="s">
        <v>430</v>
      </c>
    </row>
    <row r="4655" spans="1:9" x14ac:dyDescent="0.25">
      <c r="A4655" s="1" t="str">
        <f>HYPERLINK("https://lynxcrm-apac--c.eu19.visual.force.com/0011i000001xorQAAQ","Srinovas, Subramaniam")</f>
        <v>Srinovas, Subramaniam</v>
      </c>
      <c r="B4655" t="s">
        <v>8831</v>
      </c>
      <c r="C4655" t="s">
        <v>28</v>
      </c>
      <c r="D4655" t="s">
        <v>429</v>
      </c>
      <c r="E4655" t="s">
        <v>8</v>
      </c>
      <c r="F4655" t="s">
        <v>445</v>
      </c>
      <c r="G4655" t="s">
        <v>428</v>
      </c>
      <c r="H4655" t="s">
        <v>428</v>
      </c>
      <c r="I4655" t="s">
        <v>430</v>
      </c>
    </row>
    <row r="4656" spans="1:9" x14ac:dyDescent="0.25">
      <c r="A4656" s="1" t="str">
        <f>HYPERLINK("https://lynxcrm-apac--c.eu19.visual.force.com/0011i000001xorQAAQ","Srinovas, Subramaniam")</f>
        <v>Srinovas, Subramaniam</v>
      </c>
      <c r="B4656" t="s">
        <v>8831</v>
      </c>
      <c r="C4656" t="s">
        <v>28</v>
      </c>
      <c r="D4656" t="s">
        <v>429</v>
      </c>
      <c r="E4656" t="s">
        <v>8</v>
      </c>
      <c r="F4656" t="s">
        <v>444</v>
      </c>
      <c r="G4656" t="s">
        <v>444</v>
      </c>
      <c r="H4656" t="s">
        <v>8</v>
      </c>
      <c r="I4656" t="s">
        <v>8</v>
      </c>
    </row>
    <row r="4657" spans="1:9" x14ac:dyDescent="0.25">
      <c r="A4657" s="1" t="str">
        <f>HYPERLINK("https://lynxcrm-apac--c.eu19.visual.force.com/0011i000001xmyXAAQ","Stalwyn Medical Services Pte Ltd")</f>
        <v>Stalwyn Medical Services Pte Ltd</v>
      </c>
      <c r="B4657" t="s">
        <v>8832</v>
      </c>
      <c r="C4657" t="s">
        <v>10</v>
      </c>
      <c r="D4657" t="s">
        <v>8</v>
      </c>
      <c r="E4657" t="s">
        <v>8</v>
      </c>
      <c r="F4657" t="s">
        <v>69</v>
      </c>
      <c r="G4657" t="s">
        <v>398</v>
      </c>
      <c r="H4657" t="s">
        <v>3595</v>
      </c>
      <c r="I4657" t="s">
        <v>67</v>
      </c>
    </row>
    <row r="4658" spans="1:9" x14ac:dyDescent="0.25">
      <c r="A4658" s="1" t="str">
        <f>HYPERLINK("https://lynxcrm-apac--c.eu19.visual.force.com/0011i000001xn8bAAA","Stamford Medical Group Pte Ltd")</f>
        <v>Stamford Medical Group Pte Ltd</v>
      </c>
      <c r="B4658" t="s">
        <v>8833</v>
      </c>
      <c r="C4658" t="s">
        <v>10</v>
      </c>
      <c r="D4658" t="s">
        <v>8</v>
      </c>
      <c r="E4658" t="s">
        <v>8</v>
      </c>
      <c r="F4658" t="s">
        <v>6427</v>
      </c>
      <c r="G4658" t="s">
        <v>6428</v>
      </c>
      <c r="H4658" t="s">
        <v>6429</v>
      </c>
      <c r="I4658" t="s">
        <v>2936</v>
      </c>
    </row>
    <row r="4659" spans="1:9" x14ac:dyDescent="0.25">
      <c r="A4659" s="1" t="str">
        <f>HYPERLINK("https://lynxcrm-apac--c.eu19.visual.force.com/0011i000001xnNZAAY","St Andrew's Community Hospital")</f>
        <v>St Andrew's Community Hospital</v>
      </c>
      <c r="B4659" t="s">
        <v>8834</v>
      </c>
      <c r="C4659" t="s">
        <v>10</v>
      </c>
      <c r="D4659" t="s">
        <v>8</v>
      </c>
      <c r="E4659" t="s">
        <v>8</v>
      </c>
      <c r="F4659" t="s">
        <v>8835</v>
      </c>
      <c r="G4659" t="s">
        <v>8835</v>
      </c>
      <c r="H4659" t="s">
        <v>8</v>
      </c>
      <c r="I4659" t="s">
        <v>8836</v>
      </c>
    </row>
    <row r="4660" spans="1:9" x14ac:dyDescent="0.25">
      <c r="A4660" s="1" t="str">
        <f>HYPERLINK("https://lynxcrm-apac--c.eu19.visual.force.com/0011i000001xnVnAAI","Stanford Medical Clinic &amp; Surgery")</f>
        <v>Stanford Medical Clinic &amp; Surgery</v>
      </c>
      <c r="B4660" t="s">
        <v>8837</v>
      </c>
      <c r="C4660" t="s">
        <v>10</v>
      </c>
      <c r="D4660" t="s">
        <v>8</v>
      </c>
      <c r="E4660" t="s">
        <v>8</v>
      </c>
      <c r="F4660" t="s">
        <v>491</v>
      </c>
      <c r="G4660" t="s">
        <v>492</v>
      </c>
      <c r="H4660" t="s">
        <v>493</v>
      </c>
      <c r="I4660" t="s">
        <v>494</v>
      </c>
    </row>
    <row r="4661" spans="1:9" x14ac:dyDescent="0.25">
      <c r="A4661" s="1" t="str">
        <f>HYPERLINK("https://lynxcrm-apac--c.eu19.visual.force.com/0011i000001xnr5AAA","Stanley, Ralph Ernest")</f>
        <v>Stanley, Ralph Ernest</v>
      </c>
      <c r="B4661" t="s">
        <v>8838</v>
      </c>
      <c r="C4661" t="s">
        <v>28</v>
      </c>
      <c r="D4661" t="s">
        <v>8839</v>
      </c>
      <c r="E4661" t="s">
        <v>8</v>
      </c>
      <c r="F4661" t="s">
        <v>69</v>
      </c>
      <c r="G4661" t="s">
        <v>8840</v>
      </c>
      <c r="H4661" t="s">
        <v>8841</v>
      </c>
      <c r="I4661" t="s">
        <v>67</v>
      </c>
    </row>
    <row r="4662" spans="1:9" x14ac:dyDescent="0.25">
      <c r="A4662" s="1" t="str">
        <f>HYPERLINK("https://lynxcrm-apac--c.eu19.visual.force.com/0011i000001xmnLAAQ","Starcare Clinic &amp; Surgery")</f>
        <v>Starcare Clinic &amp; Surgery</v>
      </c>
      <c r="B4662" t="s">
        <v>8842</v>
      </c>
      <c r="C4662" t="s">
        <v>10</v>
      </c>
      <c r="D4662" t="s">
        <v>8</v>
      </c>
      <c r="E4662" t="s">
        <v>8</v>
      </c>
      <c r="F4662" t="s">
        <v>984</v>
      </c>
      <c r="G4662" t="s">
        <v>8843</v>
      </c>
      <c r="H4662" t="s">
        <v>8843</v>
      </c>
      <c r="I4662" t="s">
        <v>987</v>
      </c>
    </row>
    <row r="4663" spans="1:9" x14ac:dyDescent="0.25">
      <c r="A4663" s="1" t="str">
        <f>HYPERLINK("https://lynxcrm-apac--c.eu19.visual.force.com/0011i000001xnDqAAI","Starlight Clinic")</f>
        <v>Starlight Clinic</v>
      </c>
      <c r="B4663" t="s">
        <v>8844</v>
      </c>
      <c r="C4663" t="s">
        <v>10</v>
      </c>
      <c r="D4663" t="s">
        <v>8</v>
      </c>
      <c r="E4663" t="s">
        <v>8</v>
      </c>
      <c r="F4663" t="s">
        <v>8845</v>
      </c>
      <c r="G4663" t="s">
        <v>8845</v>
      </c>
      <c r="H4663" t="s">
        <v>8846</v>
      </c>
      <c r="I4663" t="s">
        <v>8847</v>
      </c>
    </row>
    <row r="4664" spans="1:9" x14ac:dyDescent="0.25">
      <c r="A4664" s="1" t="str">
        <f>HYPERLINK("https://lynxcrm-apac--c.eu19.visual.force.com/0011i000007EVH6AAO","StarMed Specialist centre")</f>
        <v>StarMed Specialist centre</v>
      </c>
      <c r="B4664" t="s">
        <v>8848</v>
      </c>
      <c r="C4664" t="s">
        <v>10</v>
      </c>
      <c r="D4664" t="s">
        <v>8</v>
      </c>
      <c r="E4664" t="s">
        <v>8</v>
      </c>
      <c r="F4664" t="s">
        <v>786</v>
      </c>
      <c r="G4664" t="s">
        <v>1928</v>
      </c>
      <c r="H4664" t="s">
        <v>8</v>
      </c>
      <c r="I4664" t="s">
        <v>788</v>
      </c>
    </row>
    <row r="4665" spans="1:9" x14ac:dyDescent="0.25">
      <c r="A4665" s="1" t="str">
        <f>HYPERLINK("https://lynxcrm-apac--c.eu19.visual.force.com/0011i000001xn01AAA","STAT Medical Clinic @ Hougang")</f>
        <v>STAT Medical Clinic @ Hougang</v>
      </c>
      <c r="B4665" t="s">
        <v>8849</v>
      </c>
      <c r="C4665" t="s">
        <v>10</v>
      </c>
      <c r="D4665" t="s">
        <v>8</v>
      </c>
      <c r="E4665" t="s">
        <v>8</v>
      </c>
      <c r="F4665" t="s">
        <v>8850</v>
      </c>
      <c r="G4665" t="s">
        <v>8851</v>
      </c>
      <c r="H4665" t="s">
        <v>8851</v>
      </c>
      <c r="I4665" t="s">
        <v>8852</v>
      </c>
    </row>
    <row r="4666" spans="1:9" x14ac:dyDescent="0.25">
      <c r="A4666" s="1" t="str">
        <f>HYPERLINK("https://lynxcrm-apac--c.eu19.visual.force.com/0011i000001xnAUAAY","S T Chan Cl &amp; Surg for Women")</f>
        <v>S T Chan Cl &amp; Surg for Women</v>
      </c>
      <c r="B4666" t="s">
        <v>8853</v>
      </c>
      <c r="C4666" t="s">
        <v>10</v>
      </c>
      <c r="D4666" t="s">
        <v>8</v>
      </c>
      <c r="E4666" t="s">
        <v>8</v>
      </c>
      <c r="F4666" t="s">
        <v>8854</v>
      </c>
      <c r="G4666" t="s">
        <v>8855</v>
      </c>
      <c r="H4666" t="s">
        <v>8855</v>
      </c>
      <c r="I4666" t="s">
        <v>8486</v>
      </c>
    </row>
    <row r="4667" spans="1:9" x14ac:dyDescent="0.25">
      <c r="A4667" s="1" t="str">
        <f>HYPERLINK("https://lynxcrm-apac--c.eu19.visual.force.com/0011i000001xnr6AAA","Stebbings, Amy Elaine Lyn")</f>
        <v>Stebbings, Amy Elaine Lyn</v>
      </c>
      <c r="B4667" t="s">
        <v>8856</v>
      </c>
      <c r="C4667" t="s">
        <v>28</v>
      </c>
      <c r="D4667" t="s">
        <v>8857</v>
      </c>
      <c r="E4667" t="s">
        <v>8</v>
      </c>
      <c r="F4667" t="s">
        <v>2021</v>
      </c>
      <c r="G4667" t="s">
        <v>8858</v>
      </c>
      <c r="H4667" t="s">
        <v>8858</v>
      </c>
      <c r="I4667" t="s">
        <v>344</v>
      </c>
    </row>
    <row r="4668" spans="1:9" x14ac:dyDescent="0.25">
      <c r="A4668" s="1" t="str">
        <f>HYPERLINK("https://lynxcrm-apac--c.eu19.visual.force.com/0011i000001xnJ2AAI","Stephen Chew Centre for Kidney Disease")</f>
        <v>Stephen Chew Centre for Kidney Disease</v>
      </c>
      <c r="B4668" t="s">
        <v>8859</v>
      </c>
      <c r="C4668" t="s">
        <v>10</v>
      </c>
      <c r="D4668" t="s">
        <v>8</v>
      </c>
      <c r="E4668" t="s">
        <v>8</v>
      </c>
      <c r="F4668" t="s">
        <v>8860</v>
      </c>
      <c r="G4668" t="s">
        <v>198</v>
      </c>
      <c r="H4668" t="s">
        <v>198</v>
      </c>
      <c r="I4668" t="s">
        <v>200</v>
      </c>
    </row>
    <row r="4669" spans="1:9" x14ac:dyDescent="0.25">
      <c r="A4669" s="1" t="str">
        <f>HYPERLINK("https://lynxcrm-apac--c.eu19.visual.force.com/0011i000001xmn6AAA","Sterling Clinic &amp; Surgery")</f>
        <v>Sterling Clinic &amp; Surgery</v>
      </c>
      <c r="B4669" t="s">
        <v>8861</v>
      </c>
      <c r="C4669" t="s">
        <v>10</v>
      </c>
      <c r="D4669" t="s">
        <v>8</v>
      </c>
      <c r="E4669" t="s">
        <v>8</v>
      </c>
      <c r="F4669" t="s">
        <v>8862</v>
      </c>
      <c r="G4669" t="s">
        <v>7201</v>
      </c>
      <c r="H4669" t="s">
        <v>8863</v>
      </c>
      <c r="I4669" t="s">
        <v>8864</v>
      </c>
    </row>
    <row r="4670" spans="1:9" x14ac:dyDescent="0.25">
      <c r="A4670" s="1" t="str">
        <f>HYPERLINK("https://lynxcrm-apac--c.eu19.visual.force.com/0011i000001xndNAAQ","Sterling Family Clinic")</f>
        <v>Sterling Family Clinic</v>
      </c>
      <c r="B4670" t="s">
        <v>8865</v>
      </c>
      <c r="C4670" t="s">
        <v>10</v>
      </c>
      <c r="D4670" t="s">
        <v>8</v>
      </c>
      <c r="E4670" t="s">
        <v>8</v>
      </c>
      <c r="F4670" t="s">
        <v>5627</v>
      </c>
      <c r="G4670" t="s">
        <v>2191</v>
      </c>
      <c r="H4670" t="s">
        <v>5628</v>
      </c>
      <c r="I4670" t="s">
        <v>5629</v>
      </c>
    </row>
    <row r="4671" spans="1:9" x14ac:dyDescent="0.25">
      <c r="A4671" s="1" t="str">
        <f>HYPERLINK("https://lynxcrm-apac--c.eu19.visual.force.com/0011i000001xmp1AAA","Sterling Family Clinic")</f>
        <v>Sterling Family Clinic</v>
      </c>
      <c r="B4671" t="s">
        <v>8866</v>
      </c>
      <c r="C4671" t="s">
        <v>10</v>
      </c>
      <c r="D4671" t="s">
        <v>8</v>
      </c>
      <c r="E4671" t="s">
        <v>8</v>
      </c>
      <c r="F4671" t="s">
        <v>5627</v>
      </c>
      <c r="G4671" t="s">
        <v>2191</v>
      </c>
      <c r="H4671" t="s">
        <v>5628</v>
      </c>
      <c r="I4671" t="s">
        <v>5629</v>
      </c>
    </row>
    <row r="4672" spans="1:9" x14ac:dyDescent="0.25">
      <c r="A4672" s="1" t="str">
        <f>HYPERLINK("https://lynxcrm-apac--c.eu19.visual.force.com/0011i000001xnBIAAY","St George's Clinic &amp; Surgery")</f>
        <v>St George's Clinic &amp; Surgery</v>
      </c>
      <c r="B4672" t="s">
        <v>8867</v>
      </c>
      <c r="C4672" t="s">
        <v>10</v>
      </c>
      <c r="D4672" t="s">
        <v>8</v>
      </c>
      <c r="E4672" t="s">
        <v>8</v>
      </c>
      <c r="F4672" t="s">
        <v>5499</v>
      </c>
      <c r="G4672" t="s">
        <v>5500</v>
      </c>
      <c r="H4672" t="s">
        <v>5500</v>
      </c>
      <c r="I4672" t="s">
        <v>5501</v>
      </c>
    </row>
    <row r="4673" spans="1:9" x14ac:dyDescent="0.25">
      <c r="A4673" s="1" t="str">
        <f>HYPERLINK("https://lynxcrm-apac--c.eu19.visual.force.com/0011i000001xnFMAAY","ST Medical Services Pte Ltd")</f>
        <v>ST Medical Services Pte Ltd</v>
      </c>
      <c r="B4673" t="s">
        <v>8868</v>
      </c>
      <c r="C4673" t="s">
        <v>10</v>
      </c>
      <c r="D4673" t="s">
        <v>8</v>
      </c>
      <c r="E4673" t="s">
        <v>8</v>
      </c>
      <c r="F4673" t="s">
        <v>1200</v>
      </c>
      <c r="G4673" t="s">
        <v>1201</v>
      </c>
      <c r="H4673" t="s">
        <v>1201</v>
      </c>
      <c r="I4673" t="s">
        <v>1202</v>
      </c>
    </row>
    <row r="4674" spans="1:9" x14ac:dyDescent="0.25">
      <c r="A4674" s="1" t="str">
        <f>HYPERLINK("https://lynxcrm-apac--c.eu19.visual.force.com/0011i000001xnTwAAI","ST Medical Services Pte Ltd")</f>
        <v>ST Medical Services Pte Ltd</v>
      </c>
      <c r="B4674" t="s">
        <v>8869</v>
      </c>
      <c r="C4674" t="s">
        <v>10</v>
      </c>
      <c r="D4674" t="s">
        <v>8</v>
      </c>
      <c r="E4674" t="s">
        <v>8</v>
      </c>
      <c r="F4674" t="s">
        <v>7939</v>
      </c>
      <c r="G4674" t="s">
        <v>439</v>
      </c>
      <c r="H4674" t="s">
        <v>439</v>
      </c>
      <c r="I4674" t="s">
        <v>7940</v>
      </c>
    </row>
    <row r="4675" spans="1:9" x14ac:dyDescent="0.25">
      <c r="A4675" s="1" t="str">
        <f>HYPERLINK("https://lynxcrm-apac--c.eu19.visual.force.com/0011i000001xmjBAAQ","ST Medical Services Pte Ltd")</f>
        <v>ST Medical Services Pte Ltd</v>
      </c>
      <c r="B4675" t="s">
        <v>8870</v>
      </c>
      <c r="C4675" t="s">
        <v>10</v>
      </c>
      <c r="D4675" t="s">
        <v>8</v>
      </c>
      <c r="E4675" t="s">
        <v>8</v>
      </c>
      <c r="F4675" t="s">
        <v>1200</v>
      </c>
      <c r="G4675" t="s">
        <v>1201</v>
      </c>
      <c r="H4675" t="s">
        <v>1201</v>
      </c>
      <c r="I4675" t="s">
        <v>1202</v>
      </c>
    </row>
    <row r="4676" spans="1:9" x14ac:dyDescent="0.25">
      <c r="A4676" s="1" t="str">
        <f>HYPERLINK("https://lynxcrm-apac--c.eu19.visual.force.com/0011i000001xnCrAAI","Straits Clinic")</f>
        <v>Straits Clinic</v>
      </c>
      <c r="B4676" t="s">
        <v>8871</v>
      </c>
      <c r="C4676" t="s">
        <v>10</v>
      </c>
      <c r="D4676" t="s">
        <v>8</v>
      </c>
      <c r="E4676" t="s">
        <v>8</v>
      </c>
      <c r="F4676" t="s">
        <v>8149</v>
      </c>
      <c r="G4676" t="s">
        <v>8149</v>
      </c>
      <c r="H4676" t="s">
        <v>8150</v>
      </c>
      <c r="I4676" t="s">
        <v>8151</v>
      </c>
    </row>
    <row r="4677" spans="1:9" x14ac:dyDescent="0.25">
      <c r="A4677" s="1" t="str">
        <f>HYPERLINK("https://lynxcrm-apac--c.eu19.visual.force.com/0011i000001xn9EAAQ","Straits Medical")</f>
        <v>Straits Medical</v>
      </c>
      <c r="B4677" t="s">
        <v>8872</v>
      </c>
      <c r="C4677" t="s">
        <v>10</v>
      </c>
      <c r="D4677" t="s">
        <v>8</v>
      </c>
      <c r="E4677" t="s">
        <v>8</v>
      </c>
      <c r="F4677" t="s">
        <v>8873</v>
      </c>
      <c r="G4677" t="s">
        <v>8874</v>
      </c>
      <c r="H4677" t="s">
        <v>8874</v>
      </c>
      <c r="I4677" t="s">
        <v>8875</v>
      </c>
    </row>
    <row r="4678" spans="1:9" x14ac:dyDescent="0.25">
      <c r="A4678" s="1" t="str">
        <f>HYPERLINK("https://lynxcrm-apac--c.eu19.visual.force.com/0011i000001xmfDAAQ","Street 11 Clinic")</f>
        <v>Street 11 Clinic</v>
      </c>
      <c r="B4678" t="s">
        <v>8876</v>
      </c>
      <c r="C4678" t="s">
        <v>10</v>
      </c>
      <c r="D4678" t="s">
        <v>8</v>
      </c>
      <c r="E4678" t="s">
        <v>8</v>
      </c>
      <c r="F4678" t="s">
        <v>8877</v>
      </c>
      <c r="G4678" t="s">
        <v>8878</v>
      </c>
      <c r="H4678" t="s">
        <v>8879</v>
      </c>
      <c r="I4678" t="s">
        <v>2153</v>
      </c>
    </row>
    <row r="4679" spans="1:9" x14ac:dyDescent="0.25">
      <c r="A4679" s="1" t="str">
        <f>HYPERLINK("https://lynxcrm-apac--c.eu19.visual.force.com/0011i000001xn6zAAA","Street 21 Clinic (Tampines)")</f>
        <v>Street 21 Clinic (Tampines)</v>
      </c>
      <c r="B4679" t="s">
        <v>8880</v>
      </c>
      <c r="C4679" t="s">
        <v>10</v>
      </c>
      <c r="D4679" t="s">
        <v>8</v>
      </c>
      <c r="E4679" t="s">
        <v>8</v>
      </c>
      <c r="F4679" t="s">
        <v>5272</v>
      </c>
      <c r="G4679" t="s">
        <v>5273</v>
      </c>
      <c r="H4679" t="s">
        <v>5273</v>
      </c>
      <c r="I4679" t="s">
        <v>4278</v>
      </c>
    </row>
    <row r="4680" spans="1:9" x14ac:dyDescent="0.25">
      <c r="A4680" s="1" t="str">
        <f>HYPERLINK("https://lynxcrm-apac--c.eu19.visual.force.com/0011i000001xof1AAA","Su, Hsien Ching David")</f>
        <v>Su, Hsien Ching David</v>
      </c>
      <c r="B4680" t="s">
        <v>8881</v>
      </c>
      <c r="C4680" t="s">
        <v>28</v>
      </c>
      <c r="D4680" t="s">
        <v>1940</v>
      </c>
      <c r="E4680" t="s">
        <v>8</v>
      </c>
      <c r="F4680" t="s">
        <v>1941</v>
      </c>
      <c r="G4680" t="s">
        <v>1922</v>
      </c>
      <c r="H4680" t="s">
        <v>1922</v>
      </c>
      <c r="I4680" t="s">
        <v>344</v>
      </c>
    </row>
    <row r="4681" spans="1:9" x14ac:dyDescent="0.25">
      <c r="A4681" s="1" t="str">
        <f>HYPERLINK("https://lynxcrm-apac--c.eu19.visual.force.com/0011i000001xnkeAAA","Su, John")</f>
        <v>Su, John</v>
      </c>
      <c r="B4681" t="s">
        <v>8882</v>
      </c>
      <c r="C4681" t="s">
        <v>28</v>
      </c>
      <c r="D4681" t="s">
        <v>1194</v>
      </c>
      <c r="E4681" t="s">
        <v>8</v>
      </c>
      <c r="F4681" t="s">
        <v>8883</v>
      </c>
      <c r="G4681" t="s">
        <v>1196</v>
      </c>
      <c r="H4681" t="s">
        <v>1196</v>
      </c>
      <c r="I4681" t="s">
        <v>8</v>
      </c>
    </row>
    <row r="4682" spans="1:9" x14ac:dyDescent="0.25">
      <c r="A4682" s="1" t="str">
        <f t="shared" ref="A4682:A4687" si="44">HYPERLINK("https://lynxcrm-apac--c.eu19.visual.force.com/0011i000001xnrAAAQ","Subramaniam, Tavintharan")</f>
        <v>Subramaniam, Tavintharan</v>
      </c>
      <c r="B4682" t="s">
        <v>8884</v>
      </c>
      <c r="C4682" t="s">
        <v>28</v>
      </c>
      <c r="D4682" t="s">
        <v>501</v>
      </c>
      <c r="E4682" t="s">
        <v>8</v>
      </c>
      <c r="F4682" t="s">
        <v>246</v>
      </c>
      <c r="G4682" t="s">
        <v>502</v>
      </c>
      <c r="H4682" t="s">
        <v>503</v>
      </c>
      <c r="I4682" t="s">
        <v>505</v>
      </c>
    </row>
    <row r="4683" spans="1:9" x14ac:dyDescent="0.25">
      <c r="A4683" s="1" t="str">
        <f t="shared" si="44"/>
        <v>Subramaniam, Tavintharan</v>
      </c>
      <c r="B4683" t="s">
        <v>8884</v>
      </c>
      <c r="C4683" t="s">
        <v>28</v>
      </c>
      <c r="D4683" t="s">
        <v>501</v>
      </c>
      <c r="E4683" t="s">
        <v>8</v>
      </c>
      <c r="F4683" t="s">
        <v>502</v>
      </c>
      <c r="G4683" t="s">
        <v>502</v>
      </c>
      <c r="H4683" t="s">
        <v>503</v>
      </c>
      <c r="I4683" t="s">
        <v>504</v>
      </c>
    </row>
    <row r="4684" spans="1:9" x14ac:dyDescent="0.25">
      <c r="A4684" s="1" t="str">
        <f t="shared" si="44"/>
        <v>Subramaniam, Tavintharan</v>
      </c>
      <c r="B4684" t="s">
        <v>8884</v>
      </c>
      <c r="C4684" t="s">
        <v>28</v>
      </c>
      <c r="D4684" t="s">
        <v>501</v>
      </c>
      <c r="E4684" t="s">
        <v>8</v>
      </c>
      <c r="F4684" t="s">
        <v>246</v>
      </c>
      <c r="G4684" t="s">
        <v>502</v>
      </c>
      <c r="H4684" t="s">
        <v>503</v>
      </c>
      <c r="I4684" t="s">
        <v>504</v>
      </c>
    </row>
    <row r="4685" spans="1:9" x14ac:dyDescent="0.25">
      <c r="A4685" s="1" t="str">
        <f t="shared" si="44"/>
        <v>Subramaniam, Tavintharan</v>
      </c>
      <c r="B4685" t="s">
        <v>8884</v>
      </c>
      <c r="C4685" t="s">
        <v>28</v>
      </c>
      <c r="D4685" t="s">
        <v>501</v>
      </c>
      <c r="E4685" t="s">
        <v>8</v>
      </c>
      <c r="F4685" t="s">
        <v>501</v>
      </c>
      <c r="G4685" t="s">
        <v>502</v>
      </c>
      <c r="H4685" t="s">
        <v>502</v>
      </c>
      <c r="I4685" t="s">
        <v>506</v>
      </c>
    </row>
    <row r="4686" spans="1:9" x14ac:dyDescent="0.25">
      <c r="A4686" s="1" t="str">
        <f t="shared" si="44"/>
        <v>Subramaniam, Tavintharan</v>
      </c>
      <c r="B4686" t="s">
        <v>8884</v>
      </c>
      <c r="C4686" t="s">
        <v>28</v>
      </c>
      <c r="D4686" t="s">
        <v>501</v>
      </c>
      <c r="E4686" t="s">
        <v>8</v>
      </c>
      <c r="F4686" t="s">
        <v>234</v>
      </c>
      <c r="G4686" t="s">
        <v>502</v>
      </c>
      <c r="H4686" t="s">
        <v>503</v>
      </c>
      <c r="I4686" t="s">
        <v>504</v>
      </c>
    </row>
    <row r="4687" spans="1:9" x14ac:dyDescent="0.25">
      <c r="A4687" s="1" t="str">
        <f t="shared" si="44"/>
        <v>Subramaniam, Tavintharan</v>
      </c>
      <c r="B4687" t="s">
        <v>8884</v>
      </c>
      <c r="C4687" t="s">
        <v>28</v>
      </c>
      <c r="D4687" t="s">
        <v>501</v>
      </c>
      <c r="E4687" t="s">
        <v>8</v>
      </c>
      <c r="F4687" t="s">
        <v>359</v>
      </c>
      <c r="G4687" t="s">
        <v>502</v>
      </c>
      <c r="H4687" t="s">
        <v>503</v>
      </c>
      <c r="I4687" t="s">
        <v>506</v>
      </c>
    </row>
    <row r="4688" spans="1:9" x14ac:dyDescent="0.25">
      <c r="A4688" s="1" t="str">
        <f>HYPERLINK("https://lynxcrm-apac--c.eu19.visual.force.com/0011i000006VWXxAAO","Sue Fern Dawn Lee")</f>
        <v>Sue Fern Dawn Lee</v>
      </c>
      <c r="B4688" t="s">
        <v>8885</v>
      </c>
      <c r="C4688" t="s">
        <v>10</v>
      </c>
      <c r="D4688" t="s">
        <v>815</v>
      </c>
      <c r="E4688" t="s">
        <v>8</v>
      </c>
      <c r="F4688" t="s">
        <v>1887</v>
      </c>
      <c r="G4688" t="s">
        <v>816</v>
      </c>
      <c r="H4688" t="s">
        <v>816</v>
      </c>
      <c r="I4688" t="s">
        <v>817</v>
      </c>
    </row>
    <row r="4689" spans="1:9" x14ac:dyDescent="0.25">
      <c r="A4689" s="1" t="str">
        <f>HYPERLINK("https://lynxcrm-apac--c.eu19.visual.force.com/0011i000001xoEaAAI","Suhail, Sufi Muhammad")</f>
        <v>Suhail, Sufi Muhammad</v>
      </c>
      <c r="B4689" t="s">
        <v>8886</v>
      </c>
      <c r="C4689" t="s">
        <v>28</v>
      </c>
      <c r="D4689" t="s">
        <v>251</v>
      </c>
      <c r="E4689" t="s">
        <v>8</v>
      </c>
      <c r="F4689" t="s">
        <v>241</v>
      </c>
      <c r="G4689" t="s">
        <v>252</v>
      </c>
      <c r="H4689" t="s">
        <v>252</v>
      </c>
      <c r="I4689" t="s">
        <v>253</v>
      </c>
    </row>
    <row r="4690" spans="1:9" x14ac:dyDescent="0.25">
      <c r="A4690" s="1" t="str">
        <f t="shared" ref="A4690:A4695" si="45">HYPERLINK("https://lynxcrm-apac--c.eu19.visual.force.com/0011i000001xnr7AAA","Sum, Chee Fang")</f>
        <v>Sum, Chee Fang</v>
      </c>
      <c r="B4690" t="s">
        <v>8887</v>
      </c>
      <c r="C4690" t="s">
        <v>28</v>
      </c>
      <c r="D4690" t="s">
        <v>501</v>
      </c>
      <c r="E4690" t="s">
        <v>8</v>
      </c>
      <c r="F4690" t="s">
        <v>246</v>
      </c>
      <c r="G4690" t="s">
        <v>502</v>
      </c>
      <c r="H4690" t="s">
        <v>503</v>
      </c>
      <c r="I4690" t="s">
        <v>504</v>
      </c>
    </row>
    <row r="4691" spans="1:9" x14ac:dyDescent="0.25">
      <c r="A4691" s="1" t="str">
        <f t="shared" si="45"/>
        <v>Sum, Chee Fang</v>
      </c>
      <c r="B4691" t="s">
        <v>8887</v>
      </c>
      <c r="C4691" t="s">
        <v>28</v>
      </c>
      <c r="D4691" t="s">
        <v>501</v>
      </c>
      <c r="E4691" t="s">
        <v>8</v>
      </c>
      <c r="F4691" t="s">
        <v>502</v>
      </c>
      <c r="G4691" t="s">
        <v>502</v>
      </c>
      <c r="H4691" t="s">
        <v>503</v>
      </c>
      <c r="I4691" t="s">
        <v>504</v>
      </c>
    </row>
    <row r="4692" spans="1:9" x14ac:dyDescent="0.25">
      <c r="A4692" s="1" t="str">
        <f t="shared" si="45"/>
        <v>Sum, Chee Fang</v>
      </c>
      <c r="B4692" t="s">
        <v>8887</v>
      </c>
      <c r="C4692" t="s">
        <v>28</v>
      </c>
      <c r="D4692" t="s">
        <v>501</v>
      </c>
      <c r="E4692" t="s">
        <v>8</v>
      </c>
      <c r="F4692" t="s">
        <v>246</v>
      </c>
      <c r="G4692" t="s">
        <v>502</v>
      </c>
      <c r="H4692" t="s">
        <v>503</v>
      </c>
      <c r="I4692" t="s">
        <v>505</v>
      </c>
    </row>
    <row r="4693" spans="1:9" x14ac:dyDescent="0.25">
      <c r="A4693" s="1" t="str">
        <f t="shared" si="45"/>
        <v>Sum, Chee Fang</v>
      </c>
      <c r="B4693" t="s">
        <v>8887</v>
      </c>
      <c r="C4693" t="s">
        <v>28</v>
      </c>
      <c r="D4693" t="s">
        <v>501</v>
      </c>
      <c r="E4693" t="s">
        <v>8</v>
      </c>
      <c r="F4693" t="s">
        <v>501</v>
      </c>
      <c r="G4693" t="s">
        <v>502</v>
      </c>
      <c r="H4693" t="s">
        <v>502</v>
      </c>
      <c r="I4693" t="s">
        <v>506</v>
      </c>
    </row>
    <row r="4694" spans="1:9" x14ac:dyDescent="0.25">
      <c r="A4694" s="1" t="str">
        <f t="shared" si="45"/>
        <v>Sum, Chee Fang</v>
      </c>
      <c r="B4694" t="s">
        <v>8887</v>
      </c>
      <c r="C4694" t="s">
        <v>28</v>
      </c>
      <c r="D4694" t="s">
        <v>501</v>
      </c>
      <c r="E4694" t="s">
        <v>8</v>
      </c>
      <c r="F4694" t="s">
        <v>234</v>
      </c>
      <c r="G4694" t="s">
        <v>502</v>
      </c>
      <c r="H4694" t="s">
        <v>503</v>
      </c>
      <c r="I4694" t="s">
        <v>504</v>
      </c>
    </row>
    <row r="4695" spans="1:9" x14ac:dyDescent="0.25">
      <c r="A4695" s="1" t="str">
        <f t="shared" si="45"/>
        <v>Sum, Chee Fang</v>
      </c>
      <c r="B4695" t="s">
        <v>8887</v>
      </c>
      <c r="C4695" t="s">
        <v>28</v>
      </c>
      <c r="D4695" t="s">
        <v>501</v>
      </c>
      <c r="E4695" t="s">
        <v>8</v>
      </c>
      <c r="F4695" t="s">
        <v>359</v>
      </c>
      <c r="G4695" t="s">
        <v>502</v>
      </c>
      <c r="H4695" t="s">
        <v>503</v>
      </c>
      <c r="I4695" t="s">
        <v>506</v>
      </c>
    </row>
    <row r="4696" spans="1:9" x14ac:dyDescent="0.25">
      <c r="A4696" s="1" t="str">
        <f>HYPERLINK("https://lynxcrm-apac--c.eu19.visual.force.com/0011i000001xnHDAAY","Summit Medical Clinic")</f>
        <v>Summit Medical Clinic</v>
      </c>
      <c r="B4696" t="s">
        <v>8888</v>
      </c>
      <c r="C4696" t="s">
        <v>10</v>
      </c>
      <c r="D4696" t="s">
        <v>8</v>
      </c>
      <c r="E4696" t="s">
        <v>8</v>
      </c>
      <c r="F4696" t="s">
        <v>4310</v>
      </c>
      <c r="G4696" t="s">
        <v>4311</v>
      </c>
      <c r="H4696" t="s">
        <v>4312</v>
      </c>
      <c r="I4696" t="s">
        <v>4313</v>
      </c>
    </row>
    <row r="4697" spans="1:9" x14ac:dyDescent="0.25">
      <c r="A4697" s="1" t="str">
        <f>HYPERLINK("https://lynxcrm-apac--c.eu19.visual.force.com/0011i000001xnY4AAI","Summit Medical Clinic")</f>
        <v>Summit Medical Clinic</v>
      </c>
      <c r="B4697" t="s">
        <v>8889</v>
      </c>
      <c r="C4697" t="s">
        <v>10</v>
      </c>
      <c r="D4697" t="s">
        <v>8</v>
      </c>
      <c r="E4697" t="s">
        <v>8</v>
      </c>
      <c r="F4697" t="s">
        <v>3392</v>
      </c>
      <c r="G4697" t="s">
        <v>187</v>
      </c>
      <c r="H4697" t="s">
        <v>8890</v>
      </c>
      <c r="I4697" t="s">
        <v>189</v>
      </c>
    </row>
    <row r="4698" spans="1:9" x14ac:dyDescent="0.25">
      <c r="A4698" s="1" t="str">
        <f>HYPERLINK("https://lynxcrm-apac--c.eu19.visual.force.com/0011i00000raTiXAAU","Sun, Jingfeng")</f>
        <v>Sun, Jingfeng</v>
      </c>
      <c r="B4698" t="s">
        <v>8891</v>
      </c>
      <c r="C4698" t="s">
        <v>28</v>
      </c>
      <c r="D4698" t="s">
        <v>589</v>
      </c>
      <c r="E4698" t="s">
        <v>8</v>
      </c>
      <c r="F4698" t="s">
        <v>590</v>
      </c>
      <c r="G4698" t="s">
        <v>591</v>
      </c>
      <c r="H4698" t="s">
        <v>8</v>
      </c>
      <c r="I4698" t="s">
        <v>592</v>
      </c>
    </row>
    <row r="4699" spans="1:9" x14ac:dyDescent="0.25">
      <c r="A4699" s="1" t="str">
        <f>HYPERLINK("https://lynxcrm-apac--c.eu19.visual.force.com/0011i000001xnlbAAA","Sun, Wenxin")</f>
        <v>Sun, Wenxin</v>
      </c>
      <c r="B4699" t="s">
        <v>8892</v>
      </c>
      <c r="C4699" t="s">
        <v>28</v>
      </c>
      <c r="D4699" t="s">
        <v>701</v>
      </c>
      <c r="E4699" t="s">
        <v>8</v>
      </c>
      <c r="F4699" t="s">
        <v>1123</v>
      </c>
      <c r="G4699" t="s">
        <v>1123</v>
      </c>
      <c r="H4699" t="s">
        <v>8</v>
      </c>
      <c r="I4699" t="s">
        <v>703</v>
      </c>
    </row>
    <row r="4700" spans="1:9" x14ac:dyDescent="0.25">
      <c r="A4700" s="1" t="str">
        <f>HYPERLINK("https://lynxcrm-apac--c.eu19.visual.force.com/0011i000001xoGpAAI","Sundram, Meena")</f>
        <v>Sundram, Meena</v>
      </c>
      <c r="B4700" t="s">
        <v>8893</v>
      </c>
      <c r="C4700" t="s">
        <v>28</v>
      </c>
      <c r="D4700" t="s">
        <v>709</v>
      </c>
      <c r="E4700" t="s">
        <v>8</v>
      </c>
      <c r="F4700" t="s">
        <v>710</v>
      </c>
      <c r="G4700" t="s">
        <v>135</v>
      </c>
      <c r="H4700" t="s">
        <v>135</v>
      </c>
      <c r="I4700" t="s">
        <v>711</v>
      </c>
    </row>
    <row r="4701" spans="1:9" x14ac:dyDescent="0.25">
      <c r="A4701" s="1" t="str">
        <f>HYPERLINK("https://lynxcrm-apac--c.eu19.visual.force.com/0011i000001xnW1AAI","Sung Surgery")</f>
        <v>Sung Surgery</v>
      </c>
      <c r="B4701" t="s">
        <v>8894</v>
      </c>
      <c r="C4701" t="s">
        <v>10</v>
      </c>
      <c r="D4701" t="s">
        <v>8</v>
      </c>
      <c r="E4701" t="s">
        <v>8</v>
      </c>
      <c r="F4701" t="s">
        <v>121</v>
      </c>
      <c r="G4701" t="s">
        <v>8895</v>
      </c>
      <c r="H4701" t="s">
        <v>8895</v>
      </c>
      <c r="I4701" t="s">
        <v>123</v>
      </c>
    </row>
    <row r="4702" spans="1:9" x14ac:dyDescent="0.25">
      <c r="A4702" s="1" t="str">
        <f>HYPERLINK("https://lynxcrm-apac--c.eu19.visual.force.com/0011i00000vyumwAAA","Sunrise General Medical and Heart Services")</f>
        <v>Sunrise General Medical and Heart Services</v>
      </c>
      <c r="B4702" t="s">
        <v>8896</v>
      </c>
      <c r="C4702" t="s">
        <v>10</v>
      </c>
      <c r="D4702" t="s">
        <v>8</v>
      </c>
      <c r="E4702" t="s">
        <v>8</v>
      </c>
      <c r="F4702" t="s">
        <v>8897</v>
      </c>
      <c r="G4702" t="s">
        <v>564</v>
      </c>
      <c r="H4702" t="s">
        <v>8</v>
      </c>
      <c r="I4702" t="s">
        <v>8898</v>
      </c>
    </row>
    <row r="4703" spans="1:9" x14ac:dyDescent="0.25">
      <c r="A4703" s="1" t="str">
        <f>HYPERLINK("https://lynxcrm-apac--c.eu19.visual.force.com/0011i000001xnXnAAI","Sunshine Clinic")</f>
        <v>Sunshine Clinic</v>
      </c>
      <c r="B4703" t="s">
        <v>8899</v>
      </c>
      <c r="C4703" t="s">
        <v>10</v>
      </c>
      <c r="D4703" t="s">
        <v>8</v>
      </c>
      <c r="E4703" t="s">
        <v>8</v>
      </c>
      <c r="F4703" t="s">
        <v>7151</v>
      </c>
      <c r="G4703" t="s">
        <v>564</v>
      </c>
      <c r="H4703" t="s">
        <v>7152</v>
      </c>
      <c r="I4703" t="s">
        <v>7153</v>
      </c>
    </row>
    <row r="4704" spans="1:9" x14ac:dyDescent="0.25">
      <c r="A4704" s="1" t="str">
        <f>HYPERLINK("https://lynxcrm-apac--c.eu19.visual.force.com/0011i000001xmegAAA","Sunshine Family Clinic")</f>
        <v>Sunshine Family Clinic</v>
      </c>
      <c r="B4704" t="s">
        <v>8900</v>
      </c>
      <c r="C4704" t="s">
        <v>10</v>
      </c>
      <c r="D4704" t="s">
        <v>8</v>
      </c>
      <c r="E4704" t="s">
        <v>8</v>
      </c>
      <c r="F4704" t="s">
        <v>1786</v>
      </c>
      <c r="G4704" t="s">
        <v>1787</v>
      </c>
      <c r="H4704" t="s">
        <v>1788</v>
      </c>
      <c r="I4704" t="s">
        <v>1789</v>
      </c>
    </row>
    <row r="4705" spans="1:9" x14ac:dyDescent="0.25">
      <c r="A4705" s="1" t="str">
        <f>HYPERLINK("https://lynxcrm-apac--c.eu19.visual.force.com/0011i000001xn5CAAQ","Supreme Clinic For Women Pte Ltd")</f>
        <v>Supreme Clinic For Women Pte Ltd</v>
      </c>
      <c r="B4705" t="s">
        <v>8901</v>
      </c>
      <c r="C4705" t="s">
        <v>10</v>
      </c>
      <c r="D4705" t="s">
        <v>8</v>
      </c>
      <c r="E4705" t="s">
        <v>8</v>
      </c>
      <c r="F4705" t="s">
        <v>768</v>
      </c>
      <c r="G4705" t="s">
        <v>769</v>
      </c>
      <c r="H4705" t="s">
        <v>769</v>
      </c>
      <c r="I4705" t="s">
        <v>200</v>
      </c>
    </row>
    <row r="4706" spans="1:9" x14ac:dyDescent="0.25">
      <c r="A4706" s="1" t="str">
        <f>HYPERLINK("https://lynxcrm-apac--c.eu19.visual.force.com/0011i000001xoJCAAY","Suraidah, Ahmat")</f>
        <v>Suraidah, Ahmat</v>
      </c>
      <c r="B4706" t="s">
        <v>8902</v>
      </c>
      <c r="C4706" t="s">
        <v>28</v>
      </c>
      <c r="D4706" t="s">
        <v>8903</v>
      </c>
      <c r="E4706" t="s">
        <v>8</v>
      </c>
      <c r="F4706" t="s">
        <v>6634</v>
      </c>
      <c r="G4706" t="s">
        <v>2226</v>
      </c>
      <c r="H4706" t="s">
        <v>6635</v>
      </c>
      <c r="I4706" t="s">
        <v>6636</v>
      </c>
    </row>
    <row r="4707" spans="1:9" x14ac:dyDescent="0.25">
      <c r="A4707" s="1" t="str">
        <f>HYPERLINK("https://lynxcrm-apac--c.eu19.visual.force.com/0011i000001xoRxAAI","Suraj S, Kumar")</f>
        <v>Suraj S, Kumar</v>
      </c>
      <c r="B4707" t="s">
        <v>8904</v>
      </c>
      <c r="C4707" t="s">
        <v>28</v>
      </c>
      <c r="D4707" t="s">
        <v>3194</v>
      </c>
      <c r="E4707" t="s">
        <v>8</v>
      </c>
      <c r="F4707" t="s">
        <v>2847</v>
      </c>
      <c r="G4707" t="s">
        <v>2848</v>
      </c>
      <c r="H4707" t="s">
        <v>2843</v>
      </c>
      <c r="I4707" t="s">
        <v>2840</v>
      </c>
    </row>
    <row r="4708" spans="1:9" x14ac:dyDescent="0.25">
      <c r="A4708" s="1" t="str">
        <f>HYPERLINK("https://lynxcrm-apac--c.eu19.visual.force.com/0011i000001xoRxAAI","Suraj S, Kumar")</f>
        <v>Suraj S, Kumar</v>
      </c>
      <c r="B4708" t="s">
        <v>8904</v>
      </c>
      <c r="C4708" t="s">
        <v>28</v>
      </c>
      <c r="D4708" t="s">
        <v>3194</v>
      </c>
      <c r="E4708" t="s">
        <v>8</v>
      </c>
      <c r="F4708" t="s">
        <v>2837</v>
      </c>
      <c r="G4708" t="s">
        <v>2842</v>
      </c>
      <c r="H4708" t="s">
        <v>2843</v>
      </c>
      <c r="I4708" t="s">
        <v>2840</v>
      </c>
    </row>
    <row r="4709" spans="1:9" x14ac:dyDescent="0.25">
      <c r="A4709" s="1" t="str">
        <f>HYPERLINK("https://lynxcrm-apac--c.eu19.visual.force.com/0011i000001xoRxAAI","Suraj S, Kumar")</f>
        <v>Suraj S, Kumar</v>
      </c>
      <c r="B4709" t="s">
        <v>8904</v>
      </c>
      <c r="C4709" t="s">
        <v>28</v>
      </c>
      <c r="D4709" t="s">
        <v>3194</v>
      </c>
      <c r="E4709" t="s">
        <v>8</v>
      </c>
      <c r="F4709" t="s">
        <v>2844</v>
      </c>
      <c r="G4709" t="s">
        <v>2845</v>
      </c>
      <c r="H4709" t="s">
        <v>2845</v>
      </c>
      <c r="I4709" t="s">
        <v>2840</v>
      </c>
    </row>
    <row r="4710" spans="1:9" x14ac:dyDescent="0.25">
      <c r="A4710" s="1" t="str">
        <f>HYPERLINK("https://lynxcrm-apac--c.eu19.visual.force.com/0011i000001xoRxAAI","Suraj S, Kumar")</f>
        <v>Suraj S, Kumar</v>
      </c>
      <c r="B4710" t="s">
        <v>8904</v>
      </c>
      <c r="C4710" t="s">
        <v>28</v>
      </c>
      <c r="D4710" t="s">
        <v>3194</v>
      </c>
      <c r="E4710" t="s">
        <v>8</v>
      </c>
      <c r="F4710" t="s">
        <v>2837</v>
      </c>
      <c r="G4710" t="s">
        <v>2846</v>
      </c>
      <c r="H4710" t="s">
        <v>2846</v>
      </c>
      <c r="I4710" t="s">
        <v>2840</v>
      </c>
    </row>
    <row r="4711" spans="1:9" x14ac:dyDescent="0.25">
      <c r="A4711" s="1" t="str">
        <f t="shared" ref="A4711:A4716" si="46">HYPERLINK("https://lynxcrm-apac--c.eu19.visual.force.com/0011i000001xolJAAQ","Surej, John")</f>
        <v>Surej, John</v>
      </c>
      <c r="B4711" t="s">
        <v>8905</v>
      </c>
      <c r="C4711" t="s">
        <v>28</v>
      </c>
      <c r="D4711" t="s">
        <v>501</v>
      </c>
      <c r="E4711" t="s">
        <v>8</v>
      </c>
      <c r="F4711" t="s">
        <v>501</v>
      </c>
      <c r="G4711" t="s">
        <v>502</v>
      </c>
      <c r="H4711" t="s">
        <v>502</v>
      </c>
      <c r="I4711" t="s">
        <v>506</v>
      </c>
    </row>
    <row r="4712" spans="1:9" x14ac:dyDescent="0.25">
      <c r="A4712" s="1" t="str">
        <f t="shared" si="46"/>
        <v>Surej, John</v>
      </c>
      <c r="B4712" t="s">
        <v>8905</v>
      </c>
      <c r="C4712" t="s">
        <v>28</v>
      </c>
      <c r="D4712" t="s">
        <v>501</v>
      </c>
      <c r="E4712" t="s">
        <v>8</v>
      </c>
      <c r="F4712" t="s">
        <v>502</v>
      </c>
      <c r="G4712" t="s">
        <v>502</v>
      </c>
      <c r="H4712" t="s">
        <v>503</v>
      </c>
      <c r="I4712" t="s">
        <v>504</v>
      </c>
    </row>
    <row r="4713" spans="1:9" x14ac:dyDescent="0.25">
      <c r="A4713" s="1" t="str">
        <f t="shared" si="46"/>
        <v>Surej, John</v>
      </c>
      <c r="B4713" t="s">
        <v>8905</v>
      </c>
      <c r="C4713" t="s">
        <v>28</v>
      </c>
      <c r="D4713" t="s">
        <v>501</v>
      </c>
      <c r="E4713" t="s">
        <v>8</v>
      </c>
      <c r="F4713" t="s">
        <v>246</v>
      </c>
      <c r="G4713" t="s">
        <v>502</v>
      </c>
      <c r="H4713" t="s">
        <v>503</v>
      </c>
      <c r="I4713" t="s">
        <v>504</v>
      </c>
    </row>
    <row r="4714" spans="1:9" x14ac:dyDescent="0.25">
      <c r="A4714" s="1" t="str">
        <f t="shared" si="46"/>
        <v>Surej, John</v>
      </c>
      <c r="B4714" t="s">
        <v>8905</v>
      </c>
      <c r="C4714" t="s">
        <v>28</v>
      </c>
      <c r="D4714" t="s">
        <v>501</v>
      </c>
      <c r="E4714" t="s">
        <v>8</v>
      </c>
      <c r="F4714" t="s">
        <v>246</v>
      </c>
      <c r="G4714" t="s">
        <v>502</v>
      </c>
      <c r="H4714" t="s">
        <v>503</v>
      </c>
      <c r="I4714" t="s">
        <v>505</v>
      </c>
    </row>
    <row r="4715" spans="1:9" x14ac:dyDescent="0.25">
      <c r="A4715" s="1" t="str">
        <f t="shared" si="46"/>
        <v>Surej, John</v>
      </c>
      <c r="B4715" t="s">
        <v>8905</v>
      </c>
      <c r="C4715" t="s">
        <v>28</v>
      </c>
      <c r="D4715" t="s">
        <v>501</v>
      </c>
      <c r="E4715" t="s">
        <v>8</v>
      </c>
      <c r="F4715" t="s">
        <v>234</v>
      </c>
      <c r="G4715" t="s">
        <v>502</v>
      </c>
      <c r="H4715" t="s">
        <v>503</v>
      </c>
      <c r="I4715" t="s">
        <v>504</v>
      </c>
    </row>
    <row r="4716" spans="1:9" x14ac:dyDescent="0.25">
      <c r="A4716" s="1" t="str">
        <f t="shared" si="46"/>
        <v>Surej, John</v>
      </c>
      <c r="B4716" t="s">
        <v>8905</v>
      </c>
      <c r="C4716" t="s">
        <v>28</v>
      </c>
      <c r="D4716" t="s">
        <v>501</v>
      </c>
      <c r="E4716" t="s">
        <v>8</v>
      </c>
      <c r="F4716" t="s">
        <v>359</v>
      </c>
      <c r="G4716" t="s">
        <v>502</v>
      </c>
      <c r="H4716" t="s">
        <v>503</v>
      </c>
      <c r="I4716" t="s">
        <v>506</v>
      </c>
    </row>
    <row r="4717" spans="1:9" x14ac:dyDescent="0.25">
      <c r="A4717" s="1" t="str">
        <f>HYPERLINK("https://lynxcrm-apac--c.eu19.visual.force.com/0011i000001xnrEAAQ","Suresh, Ramchand Mahtani")</f>
        <v>Suresh, Ramchand Mahtani</v>
      </c>
      <c r="B4717" t="s">
        <v>8906</v>
      </c>
      <c r="C4717" t="s">
        <v>28</v>
      </c>
      <c r="D4717" t="s">
        <v>8907</v>
      </c>
      <c r="E4717" t="s">
        <v>8</v>
      </c>
      <c r="F4717" t="s">
        <v>8386</v>
      </c>
      <c r="G4717" t="s">
        <v>8386</v>
      </c>
      <c r="H4717" t="s">
        <v>8</v>
      </c>
      <c r="I4717" t="s">
        <v>8387</v>
      </c>
    </row>
    <row r="4718" spans="1:9" x14ac:dyDescent="0.25">
      <c r="A4718" s="1" t="str">
        <f>HYPERLINK("https://lynxcrm-apac--c.eu19.visual.force.com/0011i000001xo5lAAA","Suresh, Sahadevan")</f>
        <v>Suresh, Sahadevan</v>
      </c>
      <c r="B4718" t="s">
        <v>8908</v>
      </c>
      <c r="C4718" t="s">
        <v>28</v>
      </c>
      <c r="D4718" t="s">
        <v>261</v>
      </c>
      <c r="E4718" t="s">
        <v>8</v>
      </c>
      <c r="F4718" t="s">
        <v>248</v>
      </c>
      <c r="G4718" t="s">
        <v>258</v>
      </c>
      <c r="H4718" t="s">
        <v>259</v>
      </c>
      <c r="I4718" t="s">
        <v>260</v>
      </c>
    </row>
    <row r="4719" spans="1:9" x14ac:dyDescent="0.25">
      <c r="A4719" s="1" t="str">
        <f>HYPERLINK("https://lynxcrm-apac--c.eu19.visual.force.com/0011i000001xmtxAAA","Surgery A")</f>
        <v>Surgery A</v>
      </c>
      <c r="B4719" t="s">
        <v>8909</v>
      </c>
      <c r="C4719" t="s">
        <v>10</v>
      </c>
      <c r="D4719" t="s">
        <v>8</v>
      </c>
      <c r="E4719" t="s">
        <v>8</v>
      </c>
      <c r="F4719" t="s">
        <v>377</v>
      </c>
      <c r="G4719" t="s">
        <v>8910</v>
      </c>
      <c r="H4719" t="s">
        <v>8910</v>
      </c>
      <c r="I4719" t="s">
        <v>123</v>
      </c>
    </row>
    <row r="4720" spans="1:9" x14ac:dyDescent="0.25">
      <c r="A4720" s="1" t="str">
        <f>HYPERLINK("https://lynxcrm-apac--c.eu19.visual.force.com/0011i00000X9Nc2AAF","Surgical Associates")</f>
        <v>Surgical Associates</v>
      </c>
      <c r="B4720" t="s">
        <v>8911</v>
      </c>
      <c r="C4720" t="s">
        <v>10</v>
      </c>
      <c r="D4720" t="s">
        <v>8</v>
      </c>
      <c r="E4720" t="s">
        <v>8</v>
      </c>
      <c r="F4720" t="s">
        <v>5483</v>
      </c>
      <c r="G4720" t="s">
        <v>377</v>
      </c>
      <c r="H4720" t="s">
        <v>8</v>
      </c>
      <c r="I4720" t="s">
        <v>123</v>
      </c>
    </row>
    <row r="4721" spans="1:9" x14ac:dyDescent="0.25">
      <c r="A4721" s="1" t="str">
        <f>HYPERLINK("https://lynxcrm-apac--c.eu19.visual.force.com/0011i000001xolZAAQ","Surinder, Kaur Basra")</f>
        <v>Surinder, Kaur Basra</v>
      </c>
      <c r="B4721" t="s">
        <v>8912</v>
      </c>
      <c r="C4721" t="s">
        <v>28</v>
      </c>
      <c r="D4721" t="s">
        <v>8913</v>
      </c>
      <c r="E4721" t="s">
        <v>8</v>
      </c>
      <c r="F4721" t="s">
        <v>709</v>
      </c>
      <c r="G4721" t="s">
        <v>710</v>
      </c>
      <c r="H4721" t="s">
        <v>710</v>
      </c>
      <c r="I4721" t="s">
        <v>711</v>
      </c>
    </row>
    <row r="4722" spans="1:9" x14ac:dyDescent="0.25">
      <c r="A4722" s="1" t="str">
        <f>HYPERLINK("https://lynxcrm-apac--c.eu19.visual.force.com/0011i000001xorfAAA","Susan, Zachariah")</f>
        <v>Susan, Zachariah</v>
      </c>
      <c r="B4722" t="s">
        <v>8914</v>
      </c>
      <c r="C4722" t="s">
        <v>28</v>
      </c>
      <c r="D4722" t="s">
        <v>815</v>
      </c>
      <c r="E4722" t="s">
        <v>8</v>
      </c>
      <c r="F4722" t="s">
        <v>816</v>
      </c>
      <c r="G4722" t="s">
        <v>815</v>
      </c>
      <c r="H4722" t="s">
        <v>815</v>
      </c>
      <c r="I4722" t="s">
        <v>817</v>
      </c>
    </row>
    <row r="4723" spans="1:9" x14ac:dyDescent="0.25">
      <c r="A4723" s="1" t="str">
        <f>HYPERLINK("https://lynxcrm-apac--c.eu19.visual.force.com/0011i000001xmsAAAQ","Susan Lim Surgery Pte Ltd")</f>
        <v>Susan Lim Surgery Pte Ltd</v>
      </c>
      <c r="B4723" t="s">
        <v>8915</v>
      </c>
      <c r="C4723" t="s">
        <v>10</v>
      </c>
      <c r="D4723" t="s">
        <v>8</v>
      </c>
      <c r="E4723" t="s">
        <v>8</v>
      </c>
      <c r="F4723" t="s">
        <v>69</v>
      </c>
      <c r="G4723" t="s">
        <v>5129</v>
      </c>
      <c r="H4723" t="s">
        <v>5130</v>
      </c>
      <c r="I4723" t="s">
        <v>67</v>
      </c>
    </row>
    <row r="4724" spans="1:9" x14ac:dyDescent="0.25">
      <c r="A4724" s="1" t="str">
        <f>HYPERLINK("https://lynxcrm-apac--c.eu19.visual.force.com/0011i000001xmhlAAA","Susan Lim Surgery Pte Ltd")</f>
        <v>Susan Lim Surgery Pte Ltd</v>
      </c>
      <c r="B4724" t="s">
        <v>8916</v>
      </c>
      <c r="C4724" t="s">
        <v>10</v>
      </c>
      <c r="D4724" t="s">
        <v>8</v>
      </c>
      <c r="E4724" t="s">
        <v>8</v>
      </c>
      <c r="F4724" t="s">
        <v>69</v>
      </c>
      <c r="G4724" t="s">
        <v>5129</v>
      </c>
      <c r="H4724" t="s">
        <v>5130</v>
      </c>
      <c r="I4724" t="s">
        <v>67</v>
      </c>
    </row>
    <row r="4725" spans="1:9" x14ac:dyDescent="0.25">
      <c r="A4725" s="1" t="str">
        <f>HYPERLINK("https://lynxcrm-apac--c.eu19.visual.force.com/0011i000001xnCpAAI","Susan Quek Heart Care Clinic")</f>
        <v>Susan Quek Heart Care Clinic</v>
      </c>
      <c r="B4725" t="s">
        <v>8917</v>
      </c>
      <c r="C4725" t="s">
        <v>10</v>
      </c>
      <c r="D4725" t="s">
        <v>8</v>
      </c>
      <c r="E4725" t="s">
        <v>8</v>
      </c>
      <c r="F4725" t="s">
        <v>377</v>
      </c>
      <c r="G4725" t="s">
        <v>8078</v>
      </c>
      <c r="H4725" t="s">
        <v>8079</v>
      </c>
      <c r="I4725" t="s">
        <v>123</v>
      </c>
    </row>
    <row r="4726" spans="1:9" x14ac:dyDescent="0.25">
      <c r="A4726" s="1" t="str">
        <f>HYPERLINK("https://lynxcrm-apac--c.eu19.visual.force.com/0011i000001xmfKAAQ","Suwandi-Ko Surgery")</f>
        <v>Suwandi-Ko Surgery</v>
      </c>
      <c r="B4726" t="s">
        <v>8918</v>
      </c>
      <c r="C4726" t="s">
        <v>10</v>
      </c>
      <c r="D4726" t="s">
        <v>8</v>
      </c>
      <c r="E4726" t="s">
        <v>8</v>
      </c>
      <c r="F4726" t="s">
        <v>377</v>
      </c>
      <c r="G4726" t="s">
        <v>8919</v>
      </c>
      <c r="H4726" t="s">
        <v>8920</v>
      </c>
      <c r="I4726" t="s">
        <v>123</v>
      </c>
    </row>
    <row r="4727" spans="1:9" x14ac:dyDescent="0.25">
      <c r="A4727" s="1" t="str">
        <f>HYPERLINK("https://lynxcrm-apac--c.eu19.visual.force.com/0011i000001xnrGAAQ","Swaminathan, Ikshuvanam")</f>
        <v>Swaminathan, Ikshuvanam</v>
      </c>
      <c r="B4727" t="s">
        <v>8921</v>
      </c>
      <c r="C4727" t="s">
        <v>28</v>
      </c>
      <c r="D4727" t="s">
        <v>8922</v>
      </c>
      <c r="E4727" t="s">
        <v>8</v>
      </c>
      <c r="F4727" t="s">
        <v>8923</v>
      </c>
      <c r="G4727" t="s">
        <v>65</v>
      </c>
      <c r="H4727" t="s">
        <v>65</v>
      </c>
      <c r="I4727" t="s">
        <v>67</v>
      </c>
    </row>
    <row r="4728" spans="1:9" x14ac:dyDescent="0.25">
      <c r="A4728" s="1" t="str">
        <f>HYPERLINK("https://lynxcrm-apac--c.eu19.visual.force.com/0011i000001xnHtAAI","Swami Surgery Pte Ltd")</f>
        <v>Swami Surgery Pte Ltd</v>
      </c>
      <c r="B4728" t="s">
        <v>8924</v>
      </c>
      <c r="C4728" t="s">
        <v>10</v>
      </c>
      <c r="D4728" t="s">
        <v>8</v>
      </c>
      <c r="E4728" t="s">
        <v>8</v>
      </c>
      <c r="F4728" t="s">
        <v>8923</v>
      </c>
      <c r="G4728" t="s">
        <v>65</v>
      </c>
      <c r="H4728" t="s">
        <v>65</v>
      </c>
      <c r="I4728" t="s">
        <v>67</v>
      </c>
    </row>
    <row r="4729" spans="1:9" x14ac:dyDescent="0.25">
      <c r="A4729" s="1" t="str">
        <f>HYPERLINK("https://lynxcrm-apac--c.eu19.visual.force.com/0011i000001xnoxAAA","Swee, Yong Peng")</f>
        <v>Swee, Yong Peng</v>
      </c>
      <c r="B4729" t="s">
        <v>8925</v>
      </c>
      <c r="C4729" t="s">
        <v>28</v>
      </c>
      <c r="D4729" t="s">
        <v>1187</v>
      </c>
      <c r="E4729" t="s">
        <v>8</v>
      </c>
      <c r="F4729" t="s">
        <v>7653</v>
      </c>
      <c r="G4729" t="s">
        <v>7654</v>
      </c>
      <c r="H4729" t="s">
        <v>7654</v>
      </c>
      <c r="I4729" t="s">
        <v>7655</v>
      </c>
    </row>
    <row r="4730" spans="1:9" x14ac:dyDescent="0.25">
      <c r="A4730" s="1" t="str">
        <f>HYPERLINK("https://lynxcrm-apac--c.eu19.visual.force.com/0011i000001xn7IAAQ","S W Medical Centre")</f>
        <v>S W Medical Centre</v>
      </c>
      <c r="B4730" t="s">
        <v>8926</v>
      </c>
      <c r="C4730" t="s">
        <v>10</v>
      </c>
      <c r="D4730" t="s">
        <v>8</v>
      </c>
      <c r="E4730" t="s">
        <v>8</v>
      </c>
      <c r="F4730" t="s">
        <v>5232</v>
      </c>
      <c r="G4730" t="s">
        <v>8927</v>
      </c>
      <c r="H4730" t="s">
        <v>8928</v>
      </c>
      <c r="I4730" t="s">
        <v>5234</v>
      </c>
    </row>
    <row r="4731" spans="1:9" x14ac:dyDescent="0.25">
      <c r="A4731" s="1" t="str">
        <f>HYPERLINK("https://lynxcrm-apac--c.eu19.visual.force.com/0011i000001xmfbAAA","T &amp; T Family Health Clinic &amp; Surgery")</f>
        <v>T &amp; T Family Health Clinic &amp; Surgery</v>
      </c>
      <c r="B4731" t="s">
        <v>8929</v>
      </c>
      <c r="C4731" t="s">
        <v>10</v>
      </c>
      <c r="D4731" t="s">
        <v>8</v>
      </c>
      <c r="E4731" t="s">
        <v>8</v>
      </c>
      <c r="F4731" t="s">
        <v>8930</v>
      </c>
      <c r="G4731" t="s">
        <v>8931</v>
      </c>
      <c r="H4731" t="s">
        <v>8932</v>
      </c>
      <c r="I4731" t="s">
        <v>8933</v>
      </c>
    </row>
    <row r="4732" spans="1:9" x14ac:dyDescent="0.25">
      <c r="A4732" s="1" t="str">
        <f>HYPERLINK("https://lynxcrm-apac--c.eu19.visual.force.com/0011i00000Q8ckeAAB","T&amp;T Medical Group Pte Ltd")</f>
        <v>T&amp;T Medical Group Pte Ltd</v>
      </c>
      <c r="B4732" t="s">
        <v>8934</v>
      </c>
      <c r="C4732" t="s">
        <v>10</v>
      </c>
      <c r="D4732" t="s">
        <v>8</v>
      </c>
      <c r="E4732" t="s">
        <v>8</v>
      </c>
      <c r="F4732" t="s">
        <v>8935</v>
      </c>
      <c r="G4732" t="s">
        <v>8936</v>
      </c>
      <c r="H4732" t="s">
        <v>8</v>
      </c>
      <c r="I4732" t="s">
        <v>8933</v>
      </c>
    </row>
    <row r="4733" spans="1:9" x14ac:dyDescent="0.25">
      <c r="A4733" s="1" t="str">
        <f>HYPERLINK("https://lynxcrm-apac--c.eu19.visual.force.com/0011i000001xo9xAAA","Tai, Ee Shyong")</f>
        <v>Tai, Ee Shyong</v>
      </c>
      <c r="B4733" t="s">
        <v>8937</v>
      </c>
      <c r="C4733" t="s">
        <v>28</v>
      </c>
      <c r="D4733" t="s">
        <v>429</v>
      </c>
      <c r="E4733" t="s">
        <v>8</v>
      </c>
      <c r="F4733" t="s">
        <v>246</v>
      </c>
      <c r="G4733" t="s">
        <v>428</v>
      </c>
      <c r="H4733" t="s">
        <v>428</v>
      </c>
      <c r="I4733" t="s">
        <v>430</v>
      </c>
    </row>
    <row r="4734" spans="1:9" x14ac:dyDescent="0.25">
      <c r="A4734" s="1" t="str">
        <f>HYPERLINK("https://lynxcrm-apac--c.eu19.visual.force.com/0011i000001xo9xAAA","Tai, Ee Shyong")</f>
        <v>Tai, Ee Shyong</v>
      </c>
      <c r="B4734" t="s">
        <v>8937</v>
      </c>
      <c r="C4734" t="s">
        <v>28</v>
      </c>
      <c r="D4734" t="s">
        <v>429</v>
      </c>
      <c r="E4734" t="s">
        <v>8</v>
      </c>
      <c r="F4734" t="s">
        <v>429</v>
      </c>
      <c r="G4734" t="s">
        <v>428</v>
      </c>
      <c r="H4734" t="s">
        <v>428</v>
      </c>
      <c r="I4734" t="s">
        <v>430</v>
      </c>
    </row>
    <row r="4735" spans="1:9" x14ac:dyDescent="0.25">
      <c r="A4735" s="1" t="str">
        <f>HYPERLINK("https://lynxcrm-apac--c.eu19.visual.force.com/0011i000001xo5mAAA","Tai, Yeng Huoa Dessmon")</f>
        <v>Tai, Yeng Huoa Dessmon</v>
      </c>
      <c r="B4735" t="s">
        <v>8938</v>
      </c>
      <c r="C4735" t="s">
        <v>28</v>
      </c>
      <c r="D4735" t="s">
        <v>261</v>
      </c>
      <c r="E4735" t="s">
        <v>8</v>
      </c>
      <c r="F4735" t="s">
        <v>257</v>
      </c>
      <c r="G4735" t="s">
        <v>258</v>
      </c>
      <c r="H4735" t="s">
        <v>259</v>
      </c>
      <c r="I4735" t="s">
        <v>260</v>
      </c>
    </row>
    <row r="4736" spans="1:9" x14ac:dyDescent="0.25">
      <c r="A4736" s="1" t="str">
        <f>HYPERLINK("https://lynxcrm-apac--c.eu19.visual.force.com/0011i000001xo5mAAA","Tai, Yeng Huoa Dessmon")</f>
        <v>Tai, Yeng Huoa Dessmon</v>
      </c>
      <c r="B4736" t="s">
        <v>8938</v>
      </c>
      <c r="C4736" t="s">
        <v>28</v>
      </c>
      <c r="D4736" t="s">
        <v>261</v>
      </c>
      <c r="E4736" t="s">
        <v>8</v>
      </c>
      <c r="F4736" t="s">
        <v>261</v>
      </c>
      <c r="G4736" t="s">
        <v>347</v>
      </c>
      <c r="H4736" t="s">
        <v>347</v>
      </c>
      <c r="I4736" t="s">
        <v>260</v>
      </c>
    </row>
    <row r="4737" spans="1:9" x14ac:dyDescent="0.25">
      <c r="A4737" s="1" t="str">
        <f>HYPERLINK("https://lynxcrm-apac--c.eu19.visual.force.com/0011i000002IdAAAA0","Tai, Zu Huang")</f>
        <v>Tai, Zu Huang</v>
      </c>
      <c r="B4737" t="s">
        <v>8939</v>
      </c>
      <c r="C4737" t="s">
        <v>28</v>
      </c>
      <c r="D4737" t="s">
        <v>12</v>
      </c>
      <c r="E4737" t="s">
        <v>8</v>
      </c>
      <c r="F4737" t="s">
        <v>11</v>
      </c>
      <c r="G4737" t="s">
        <v>11</v>
      </c>
      <c r="H4737" t="s">
        <v>8</v>
      </c>
      <c r="I4737" t="s">
        <v>13</v>
      </c>
    </row>
    <row r="4738" spans="1:9" x14ac:dyDescent="0.25">
      <c r="A4738" s="1" t="str">
        <f>HYPERLINK("https://lynxcrm-apac--c.eu19.visual.force.com/0011i00000S3HI4AAN","Taiju, Rangpa")</f>
        <v>Taiju, Rangpa</v>
      </c>
      <c r="B4738" t="s">
        <v>8940</v>
      </c>
      <c r="C4738" t="s">
        <v>28</v>
      </c>
      <c r="D4738" t="s">
        <v>147</v>
      </c>
      <c r="E4738" t="s">
        <v>8</v>
      </c>
      <c r="F4738" t="s">
        <v>147</v>
      </c>
      <c r="G4738" t="s">
        <v>148</v>
      </c>
      <c r="H4738" t="s">
        <v>148</v>
      </c>
      <c r="I4738" t="s">
        <v>149</v>
      </c>
    </row>
    <row r="4739" spans="1:9" x14ac:dyDescent="0.25">
      <c r="A4739" s="1" t="str">
        <f>HYPERLINK("https://lynxcrm-apac--c.eu19.visual.force.com/0011i000001xoetAAA","Taiju, Rangpa")</f>
        <v>Taiju, Rangpa</v>
      </c>
      <c r="B4739" t="s">
        <v>8941</v>
      </c>
      <c r="C4739" t="s">
        <v>28</v>
      </c>
      <c r="D4739" t="s">
        <v>148</v>
      </c>
      <c r="E4739" t="s">
        <v>8</v>
      </c>
      <c r="F4739" t="s">
        <v>736</v>
      </c>
      <c r="G4739" t="s">
        <v>736</v>
      </c>
      <c r="H4739" t="s">
        <v>8</v>
      </c>
      <c r="I4739" t="s">
        <v>149</v>
      </c>
    </row>
    <row r="4740" spans="1:9" x14ac:dyDescent="0.25">
      <c r="A4740" s="1" t="str">
        <f>HYPERLINK("https://lynxcrm-apac--c.eu19.visual.force.com/0011i00000tWNCKAA4","Takamitsu, Shirai")</f>
        <v>Takamitsu, Shirai</v>
      </c>
      <c r="B4740" t="s">
        <v>8942</v>
      </c>
      <c r="C4740" t="s">
        <v>28</v>
      </c>
      <c r="D4740" t="s">
        <v>8943</v>
      </c>
      <c r="E4740" t="s">
        <v>8</v>
      </c>
      <c r="F4740" t="s">
        <v>8944</v>
      </c>
      <c r="G4740" t="s">
        <v>8944</v>
      </c>
      <c r="H4740" t="s">
        <v>8</v>
      </c>
      <c r="I4740" t="s">
        <v>8945</v>
      </c>
    </row>
    <row r="4741" spans="1:9" x14ac:dyDescent="0.25">
      <c r="A4741" s="1" t="str">
        <f>HYPERLINK("https://lynxcrm-apac--c.eu19.visual.force.com/0011i000001xo9yAAA","Tam, Kok Leong")</f>
        <v>Tam, Kok Leong</v>
      </c>
      <c r="B4741" t="s">
        <v>8946</v>
      </c>
      <c r="C4741" t="s">
        <v>28</v>
      </c>
      <c r="D4741" t="s">
        <v>8947</v>
      </c>
      <c r="E4741" t="s">
        <v>8</v>
      </c>
      <c r="F4741" t="s">
        <v>8948</v>
      </c>
      <c r="G4741" t="s">
        <v>8949</v>
      </c>
      <c r="H4741" t="s">
        <v>8949</v>
      </c>
      <c r="I4741" t="s">
        <v>1080</v>
      </c>
    </row>
    <row r="4742" spans="1:9" x14ac:dyDescent="0.25">
      <c r="A4742" s="1" t="str">
        <f>HYPERLINK("https://lynxcrm-apac--c.eu19.visual.force.com/0011i000001xoHPAAY","Tam, Tak Chuen Elias")</f>
        <v>Tam, Tak Chuen Elias</v>
      </c>
      <c r="B4742" t="s">
        <v>8950</v>
      </c>
      <c r="C4742" t="s">
        <v>28</v>
      </c>
      <c r="D4742" t="s">
        <v>4786</v>
      </c>
      <c r="E4742" t="s">
        <v>8</v>
      </c>
      <c r="F4742" t="s">
        <v>2972</v>
      </c>
      <c r="G4742" t="s">
        <v>2973</v>
      </c>
      <c r="H4742" t="s">
        <v>2973</v>
      </c>
      <c r="I4742" t="s">
        <v>2974</v>
      </c>
    </row>
    <row r="4743" spans="1:9" x14ac:dyDescent="0.25">
      <c r="A4743" s="1" t="str">
        <f>HYPERLINK("https://lynxcrm-apac--c.eu19.visual.force.com/0011i000001xnrHAAQ","Tam, Wing Foon Esther")</f>
        <v>Tam, Wing Foon Esther</v>
      </c>
      <c r="B4743" t="s">
        <v>8951</v>
      </c>
      <c r="C4743" t="s">
        <v>28</v>
      </c>
      <c r="D4743" t="s">
        <v>8952</v>
      </c>
      <c r="E4743" t="s">
        <v>8</v>
      </c>
      <c r="F4743" t="s">
        <v>5243</v>
      </c>
      <c r="G4743" t="s">
        <v>5244</v>
      </c>
      <c r="H4743" t="s">
        <v>5245</v>
      </c>
      <c r="I4743" t="s">
        <v>2810</v>
      </c>
    </row>
    <row r="4744" spans="1:9" x14ac:dyDescent="0.25">
      <c r="A4744" s="1" t="str">
        <f>HYPERLINK("https://lynxcrm-apac--c.eu19.visual.force.com/0011i000001xnrJAAQ","Tambyraja, Claire Manonman")</f>
        <v>Tambyraja, Claire Manonman</v>
      </c>
      <c r="B4744" t="s">
        <v>8953</v>
      </c>
      <c r="C4744" t="s">
        <v>28</v>
      </c>
      <c r="D4744" t="s">
        <v>8954</v>
      </c>
      <c r="E4744" t="s">
        <v>8</v>
      </c>
      <c r="F4744" t="s">
        <v>6493</v>
      </c>
      <c r="G4744" t="s">
        <v>6494</v>
      </c>
      <c r="H4744" t="s">
        <v>8955</v>
      </c>
      <c r="I4744" t="s">
        <v>6496</v>
      </c>
    </row>
    <row r="4745" spans="1:9" x14ac:dyDescent="0.25">
      <c r="A4745" s="1" t="str">
        <f>HYPERLINK("https://lynxcrm-apac--c.eu19.visual.force.com/0011i000001xn2EAAQ","Tampines 24hr Family Clinic")</f>
        <v>Tampines 24hr Family Clinic</v>
      </c>
      <c r="B4745" t="s">
        <v>8956</v>
      </c>
      <c r="C4745" t="s">
        <v>10</v>
      </c>
      <c r="D4745" t="s">
        <v>8</v>
      </c>
      <c r="E4745" t="s">
        <v>8</v>
      </c>
      <c r="F4745" t="s">
        <v>759</v>
      </c>
      <c r="G4745" t="s">
        <v>760</v>
      </c>
      <c r="H4745" t="s">
        <v>760</v>
      </c>
      <c r="I4745" t="s">
        <v>762</v>
      </c>
    </row>
    <row r="4746" spans="1:9" x14ac:dyDescent="0.25">
      <c r="A4746" s="1" t="str">
        <f>HYPERLINK("https://lynxcrm-apac--c.eu19.visual.force.com/0011i000001xmmtAAA","Tampines 24hrs Family Clinic Pte Ltd")</f>
        <v>Tampines 24hrs Family Clinic Pte Ltd</v>
      </c>
      <c r="B4746" t="s">
        <v>8957</v>
      </c>
      <c r="C4746" t="s">
        <v>10</v>
      </c>
      <c r="D4746" t="s">
        <v>8</v>
      </c>
      <c r="E4746" t="s">
        <v>8</v>
      </c>
      <c r="F4746" t="s">
        <v>759</v>
      </c>
      <c r="G4746" t="s">
        <v>760</v>
      </c>
      <c r="H4746" t="s">
        <v>761</v>
      </c>
      <c r="I4746" t="s">
        <v>762</v>
      </c>
    </row>
    <row r="4747" spans="1:9" x14ac:dyDescent="0.25">
      <c r="A4747" s="1" t="str">
        <f>HYPERLINK("https://lynxcrm-apac--c.eu19.visual.force.com/0011i000001xnD3AAI","Tampines Clinic &amp; Surgery Pte Ltd")</f>
        <v>Tampines Clinic &amp; Surgery Pte Ltd</v>
      </c>
      <c r="B4747" t="s">
        <v>8958</v>
      </c>
      <c r="C4747" t="s">
        <v>10</v>
      </c>
      <c r="D4747" t="s">
        <v>8</v>
      </c>
      <c r="E4747" t="s">
        <v>8</v>
      </c>
      <c r="F4747" t="s">
        <v>2150</v>
      </c>
      <c r="G4747" t="s">
        <v>1642</v>
      </c>
      <c r="H4747" t="s">
        <v>8959</v>
      </c>
      <c r="I4747" t="s">
        <v>2153</v>
      </c>
    </row>
    <row r="4748" spans="1:9" x14ac:dyDescent="0.25">
      <c r="A4748" s="1" t="str">
        <f>HYPERLINK("https://lynxcrm-apac--c.eu19.visual.force.com/0011i000001xnWDAAY","Tampines Medilife Clinic")</f>
        <v>Tampines Medilife Clinic</v>
      </c>
      <c r="B4748" t="s">
        <v>8960</v>
      </c>
      <c r="C4748" t="s">
        <v>10</v>
      </c>
      <c r="D4748" t="s">
        <v>8</v>
      </c>
      <c r="E4748" t="s">
        <v>8</v>
      </c>
      <c r="F4748" t="s">
        <v>8961</v>
      </c>
      <c r="G4748" t="s">
        <v>8962</v>
      </c>
      <c r="H4748" t="s">
        <v>8963</v>
      </c>
      <c r="I4748" t="s">
        <v>2928</v>
      </c>
    </row>
    <row r="4749" spans="1:9" x14ac:dyDescent="0.25">
      <c r="A4749" s="1" t="str">
        <f>HYPERLINK("https://lynxcrm-apac--c.eu19.visual.force.com/0011i000001xn5tAAA","Tampines Polyclinic")</f>
        <v>Tampines Polyclinic</v>
      </c>
      <c r="B4749" t="s">
        <v>8964</v>
      </c>
      <c r="C4749" t="s">
        <v>10</v>
      </c>
      <c r="D4749" t="s">
        <v>8</v>
      </c>
      <c r="E4749" t="s">
        <v>8</v>
      </c>
      <c r="F4749" t="s">
        <v>1123</v>
      </c>
      <c r="G4749" t="s">
        <v>1123</v>
      </c>
      <c r="H4749" t="s">
        <v>1124</v>
      </c>
      <c r="I4749" t="s">
        <v>703</v>
      </c>
    </row>
    <row r="4750" spans="1:9" x14ac:dyDescent="0.25">
      <c r="A4750" s="1" t="str">
        <f>HYPERLINK("https://lynxcrm-apac--c.eu19.visual.force.com/0011i000001xnR7AAI","Tampines Polyclinic")</f>
        <v>Tampines Polyclinic</v>
      </c>
      <c r="B4750" t="s">
        <v>8965</v>
      </c>
      <c r="C4750" t="s">
        <v>10</v>
      </c>
      <c r="D4750" t="s">
        <v>8</v>
      </c>
      <c r="E4750" t="s">
        <v>8</v>
      </c>
      <c r="F4750" t="s">
        <v>1123</v>
      </c>
      <c r="G4750" t="s">
        <v>1123</v>
      </c>
      <c r="H4750" t="s">
        <v>1124</v>
      </c>
      <c r="I4750" t="s">
        <v>703</v>
      </c>
    </row>
    <row r="4751" spans="1:9" x14ac:dyDescent="0.25">
      <c r="A4751" s="1" t="str">
        <f>HYPERLINK("https://lynxcrm-apac--c.eu19.visual.force.com/0011i000001xnaIAAQ","Tampines Polyclinic")</f>
        <v>Tampines Polyclinic</v>
      </c>
      <c r="B4751" t="s">
        <v>8966</v>
      </c>
      <c r="C4751" t="s">
        <v>10</v>
      </c>
      <c r="D4751" t="s">
        <v>8</v>
      </c>
      <c r="E4751" t="s">
        <v>8</v>
      </c>
      <c r="F4751" t="s">
        <v>1123</v>
      </c>
      <c r="G4751" t="s">
        <v>1123</v>
      </c>
      <c r="H4751" t="s">
        <v>1124</v>
      </c>
      <c r="I4751" t="s">
        <v>703</v>
      </c>
    </row>
    <row r="4752" spans="1:9" x14ac:dyDescent="0.25">
      <c r="A4752" s="1" t="str">
        <f>HYPERLINK("https://lynxcrm-apac--c.eu19.visual.force.com/0011i000001xnJBAAY","Tampines Polyclinic")</f>
        <v>Tampines Polyclinic</v>
      </c>
      <c r="B4752" t="s">
        <v>8967</v>
      </c>
      <c r="C4752" t="s">
        <v>10</v>
      </c>
      <c r="D4752" t="s">
        <v>8</v>
      </c>
      <c r="E4752" t="s">
        <v>8</v>
      </c>
      <c r="F4752" t="s">
        <v>1123</v>
      </c>
      <c r="G4752" t="s">
        <v>1123</v>
      </c>
      <c r="H4752" t="s">
        <v>1124</v>
      </c>
      <c r="I4752" t="s">
        <v>703</v>
      </c>
    </row>
    <row r="4753" spans="1:9" x14ac:dyDescent="0.25">
      <c r="A4753" s="1" t="str">
        <f>HYPERLINK("https://lynxcrm-apac--c.eu19.visual.force.com/0011i000001xmpzAAA","Tampines Polyclinic")</f>
        <v>Tampines Polyclinic</v>
      </c>
      <c r="B4753" t="s">
        <v>8968</v>
      </c>
      <c r="C4753" t="s">
        <v>10</v>
      </c>
      <c r="D4753" t="s">
        <v>8</v>
      </c>
      <c r="E4753" t="s">
        <v>8</v>
      </c>
      <c r="F4753" t="s">
        <v>1123</v>
      </c>
      <c r="G4753" t="s">
        <v>1123</v>
      </c>
      <c r="H4753" t="s">
        <v>1124</v>
      </c>
      <c r="I4753" t="s">
        <v>703</v>
      </c>
    </row>
    <row r="4754" spans="1:9" x14ac:dyDescent="0.25">
      <c r="A4754" s="1" t="str">
        <f>HYPERLINK("https://lynxcrm-apac--c.eu19.visual.force.com/0011i000001xmziAAA","Tampines Polyclinic")</f>
        <v>Tampines Polyclinic</v>
      </c>
      <c r="B4754" t="s">
        <v>8969</v>
      </c>
      <c r="C4754" t="s">
        <v>10</v>
      </c>
      <c r="D4754" t="s">
        <v>8</v>
      </c>
      <c r="E4754" t="s">
        <v>8</v>
      </c>
      <c r="F4754" t="s">
        <v>1123</v>
      </c>
      <c r="G4754" t="s">
        <v>1123</v>
      </c>
      <c r="H4754" t="s">
        <v>1124</v>
      </c>
      <c r="I4754" t="s">
        <v>703</v>
      </c>
    </row>
    <row r="4755" spans="1:9" x14ac:dyDescent="0.25">
      <c r="A4755" s="1" t="str">
        <f>HYPERLINK("https://lynxcrm-apac--c.eu19.visual.force.com/0011i000001xn3BAAQ","Tampines Polyclinic")</f>
        <v>Tampines Polyclinic</v>
      </c>
      <c r="B4755" t="s">
        <v>8970</v>
      </c>
      <c r="C4755" t="s">
        <v>10</v>
      </c>
      <c r="D4755" t="s">
        <v>8</v>
      </c>
      <c r="E4755" t="s">
        <v>8</v>
      </c>
      <c r="F4755" t="s">
        <v>1123</v>
      </c>
      <c r="G4755" t="s">
        <v>1123</v>
      </c>
      <c r="H4755" t="s">
        <v>1124</v>
      </c>
      <c r="I4755" t="s">
        <v>703</v>
      </c>
    </row>
    <row r="4756" spans="1:9" x14ac:dyDescent="0.25">
      <c r="A4756" s="1" t="str">
        <f>HYPERLINK("https://lynxcrm-apac--c.eu19.visual.force.com/0011i000001xn5yAAA","Tampines Polyclinic")</f>
        <v>Tampines Polyclinic</v>
      </c>
      <c r="B4756" t="s">
        <v>8971</v>
      </c>
      <c r="C4756" t="s">
        <v>10</v>
      </c>
      <c r="D4756" t="s">
        <v>8</v>
      </c>
      <c r="E4756" t="s">
        <v>8</v>
      </c>
      <c r="F4756" t="s">
        <v>1123</v>
      </c>
      <c r="G4756" t="s">
        <v>1123</v>
      </c>
      <c r="H4756" t="s">
        <v>1124</v>
      </c>
      <c r="I4756" t="s">
        <v>703</v>
      </c>
    </row>
    <row r="4757" spans="1:9" x14ac:dyDescent="0.25">
      <c r="A4757" s="1" t="str">
        <f>HYPERLINK("https://lynxcrm-apac--c.eu19.visual.force.com/0011i000001xnYuAAI","Tampines Polyclinic")</f>
        <v>Tampines Polyclinic</v>
      </c>
      <c r="B4757" t="s">
        <v>8972</v>
      </c>
      <c r="C4757" t="s">
        <v>10</v>
      </c>
      <c r="D4757" t="s">
        <v>8</v>
      </c>
      <c r="E4757" t="s">
        <v>8</v>
      </c>
      <c r="F4757" t="s">
        <v>1123</v>
      </c>
      <c r="G4757" t="s">
        <v>1123</v>
      </c>
      <c r="H4757" t="s">
        <v>1124</v>
      </c>
      <c r="I4757" t="s">
        <v>703</v>
      </c>
    </row>
    <row r="4758" spans="1:9" x14ac:dyDescent="0.25">
      <c r="A4758" s="1" t="str">
        <f>HYPERLINK("https://lynxcrm-apac--c.eu19.visual.force.com/0011i000001xo5kAAA","Tan, Adrian")</f>
        <v>Tan, Adrian</v>
      </c>
      <c r="B4758" t="s">
        <v>8973</v>
      </c>
      <c r="C4758" t="s">
        <v>28</v>
      </c>
      <c r="D4758" t="s">
        <v>501</v>
      </c>
      <c r="E4758" t="s">
        <v>8</v>
      </c>
      <c r="F4758" t="s">
        <v>427</v>
      </c>
      <c r="G4758" t="s">
        <v>502</v>
      </c>
      <c r="H4758" t="s">
        <v>503</v>
      </c>
      <c r="I4758" t="s">
        <v>506</v>
      </c>
    </row>
    <row r="4759" spans="1:9" x14ac:dyDescent="0.25">
      <c r="A4759" s="1" t="str">
        <f>HYPERLINK("https://lynxcrm-apac--c.eu19.visual.force.com/0011i000001xobqAAA","Tan, Agnes")</f>
        <v>Tan, Agnes</v>
      </c>
      <c r="B4759" t="s">
        <v>8974</v>
      </c>
      <c r="C4759" t="s">
        <v>28</v>
      </c>
      <c r="D4759" t="s">
        <v>8975</v>
      </c>
      <c r="E4759" t="s">
        <v>8</v>
      </c>
      <c r="F4759" t="s">
        <v>143</v>
      </c>
      <c r="G4759" t="s">
        <v>144</v>
      </c>
      <c r="H4759" t="s">
        <v>144</v>
      </c>
      <c r="I4759" t="s">
        <v>145</v>
      </c>
    </row>
    <row r="4760" spans="1:9" x14ac:dyDescent="0.25">
      <c r="A4760" s="1" t="str">
        <f>HYPERLINK("https://lynxcrm-apac--c.eu19.visual.force.com/0011i000001xnwEAAQ","Tan, Aik Lim Calvin")</f>
        <v>Tan, Aik Lim Calvin</v>
      </c>
      <c r="B4760" t="s">
        <v>8976</v>
      </c>
      <c r="C4760" t="s">
        <v>28</v>
      </c>
      <c r="D4760" t="s">
        <v>8977</v>
      </c>
      <c r="E4760" t="s">
        <v>8</v>
      </c>
      <c r="F4760" t="s">
        <v>8978</v>
      </c>
      <c r="G4760" t="s">
        <v>8979</v>
      </c>
      <c r="H4760" t="s">
        <v>8979</v>
      </c>
      <c r="I4760" t="s">
        <v>8980</v>
      </c>
    </row>
    <row r="4761" spans="1:9" x14ac:dyDescent="0.25">
      <c r="A4761" s="1" t="str">
        <f>HYPERLINK("https://lynxcrm-apac--c.eu19.visual.force.com/0011i000001xnm7AAA","Tan, Alan")</f>
        <v>Tan, Alan</v>
      </c>
      <c r="B4761" t="s">
        <v>8981</v>
      </c>
      <c r="C4761" t="s">
        <v>28</v>
      </c>
      <c r="D4761" t="s">
        <v>1126</v>
      </c>
      <c r="E4761" t="s">
        <v>8</v>
      </c>
      <c r="F4761" t="s">
        <v>1127</v>
      </c>
      <c r="G4761" t="s">
        <v>1128</v>
      </c>
      <c r="H4761" t="s">
        <v>1128</v>
      </c>
      <c r="I4761" t="s">
        <v>996</v>
      </c>
    </row>
    <row r="4762" spans="1:9" x14ac:dyDescent="0.25">
      <c r="A4762" s="1" t="str">
        <f>HYPERLINK("https://lynxcrm-apac--c.eu19.visual.force.com/0011i000001xniAAAQ","Tan, Andre")</f>
        <v>Tan, Andre</v>
      </c>
      <c r="B4762" t="s">
        <v>8982</v>
      </c>
      <c r="C4762" t="s">
        <v>28</v>
      </c>
      <c r="D4762" t="s">
        <v>429</v>
      </c>
      <c r="E4762" t="s">
        <v>8</v>
      </c>
      <c r="F4762" t="s">
        <v>429</v>
      </c>
      <c r="G4762" t="s">
        <v>428</v>
      </c>
      <c r="H4762" t="s">
        <v>428</v>
      </c>
      <c r="I4762" t="s">
        <v>430</v>
      </c>
    </row>
    <row r="4763" spans="1:9" x14ac:dyDescent="0.25">
      <c r="A4763" s="1" t="str">
        <f>HYPERLINK("https://lynxcrm-apac--c.eu19.visual.force.com/0011i000001xniAAAQ","Tan, Andre")</f>
        <v>Tan, Andre</v>
      </c>
      <c r="B4763" t="s">
        <v>8982</v>
      </c>
      <c r="C4763" t="s">
        <v>28</v>
      </c>
      <c r="D4763" t="s">
        <v>429</v>
      </c>
      <c r="E4763" t="s">
        <v>8</v>
      </c>
      <c r="F4763" t="s">
        <v>444</v>
      </c>
      <c r="G4763" t="s">
        <v>444</v>
      </c>
      <c r="H4763" t="s">
        <v>8</v>
      </c>
      <c r="I4763" t="s">
        <v>430</v>
      </c>
    </row>
    <row r="4764" spans="1:9" x14ac:dyDescent="0.25">
      <c r="A4764" s="1" t="str">
        <f>HYPERLINK("https://lynxcrm-apac--c.eu19.visual.force.com/0011i000001xniAAAQ","Tan, Andre")</f>
        <v>Tan, Andre</v>
      </c>
      <c r="B4764" t="s">
        <v>8982</v>
      </c>
      <c r="C4764" t="s">
        <v>28</v>
      </c>
      <c r="D4764" t="s">
        <v>429</v>
      </c>
      <c r="E4764" t="s">
        <v>8</v>
      </c>
      <c r="F4764" t="s">
        <v>445</v>
      </c>
      <c r="G4764" t="s">
        <v>428</v>
      </c>
      <c r="H4764" t="s">
        <v>428</v>
      </c>
      <c r="I4764" t="s">
        <v>430</v>
      </c>
    </row>
    <row r="4765" spans="1:9" x14ac:dyDescent="0.25">
      <c r="A4765" s="1" t="str">
        <f>HYPERLINK("https://lynxcrm-apac--c.eu19.visual.force.com/0011i000001xniAAAQ","Tan, Andre")</f>
        <v>Tan, Andre</v>
      </c>
      <c r="B4765" t="s">
        <v>8982</v>
      </c>
      <c r="C4765" t="s">
        <v>28</v>
      </c>
      <c r="D4765" t="s">
        <v>429</v>
      </c>
      <c r="E4765" t="s">
        <v>8</v>
      </c>
      <c r="F4765" t="s">
        <v>444</v>
      </c>
      <c r="G4765" t="s">
        <v>444</v>
      </c>
      <c r="H4765" t="s">
        <v>8</v>
      </c>
      <c r="I4765" t="s">
        <v>8</v>
      </c>
    </row>
    <row r="4766" spans="1:9" x14ac:dyDescent="0.25">
      <c r="A4766" s="1" t="str">
        <f>HYPERLINK("https://lynxcrm-apac--c.eu19.visual.force.com/0011i00000vHmPwAAK","Tan, Andrew")</f>
        <v>Tan, Andrew</v>
      </c>
      <c r="B4766" t="s">
        <v>8983</v>
      </c>
      <c r="C4766" t="s">
        <v>28</v>
      </c>
      <c r="D4766" t="s">
        <v>21</v>
      </c>
      <c r="E4766" t="s">
        <v>8</v>
      </c>
      <c r="F4766" t="s">
        <v>699</v>
      </c>
      <c r="G4766" t="s">
        <v>699</v>
      </c>
      <c r="H4766" t="s">
        <v>8</v>
      </c>
      <c r="I4766" t="s">
        <v>22</v>
      </c>
    </row>
    <row r="4767" spans="1:9" x14ac:dyDescent="0.25">
      <c r="A4767" s="1" t="str">
        <f>HYPERLINK("https://lynxcrm-apac--c.eu19.visual.force.com/0011i000001xoSnAAI","Tan, Angela")</f>
        <v>Tan, Angela</v>
      </c>
      <c r="B4767" t="s">
        <v>8984</v>
      </c>
      <c r="C4767" t="s">
        <v>28</v>
      </c>
      <c r="D4767" t="s">
        <v>8985</v>
      </c>
      <c r="E4767" t="s">
        <v>8</v>
      </c>
      <c r="F4767" t="s">
        <v>7664</v>
      </c>
      <c r="G4767" t="s">
        <v>7665</v>
      </c>
      <c r="H4767" t="s">
        <v>7665</v>
      </c>
      <c r="I4767" t="s">
        <v>7667</v>
      </c>
    </row>
    <row r="4768" spans="1:9" x14ac:dyDescent="0.25">
      <c r="A4768" s="1" t="str">
        <f>HYPERLINK("https://lynxcrm-apac--c.eu19.visual.force.com/0011i000001xoGxAAI","Tan, Audrey")</f>
        <v>Tan, Audrey</v>
      </c>
      <c r="B4768" t="s">
        <v>8986</v>
      </c>
      <c r="C4768" t="s">
        <v>28</v>
      </c>
      <c r="D4768" t="s">
        <v>251</v>
      </c>
      <c r="E4768" t="s">
        <v>8</v>
      </c>
      <c r="F4768" t="s">
        <v>251</v>
      </c>
      <c r="G4768" t="s">
        <v>252</v>
      </c>
      <c r="H4768" t="s">
        <v>252</v>
      </c>
      <c r="I4768" t="s">
        <v>253</v>
      </c>
    </row>
    <row r="4769" spans="1:9" x14ac:dyDescent="0.25">
      <c r="A4769" s="1" t="str">
        <f>HYPERLINK("https://lynxcrm-apac--c.eu19.visual.force.com/0011i000001xoaUAAQ","Tan, Ban Hock")</f>
        <v>Tan, Ban Hock</v>
      </c>
      <c r="B4769" t="s">
        <v>8987</v>
      </c>
      <c r="C4769" t="s">
        <v>28</v>
      </c>
      <c r="D4769" t="s">
        <v>251</v>
      </c>
      <c r="E4769" t="s">
        <v>8</v>
      </c>
      <c r="F4769" t="s">
        <v>651</v>
      </c>
      <c r="G4769" t="s">
        <v>252</v>
      </c>
      <c r="H4769" t="s">
        <v>252</v>
      </c>
      <c r="I4769" t="s">
        <v>253</v>
      </c>
    </row>
    <row r="4770" spans="1:9" x14ac:dyDescent="0.25">
      <c r="A4770" s="1" t="str">
        <f>HYPERLINK("https://lynxcrm-apac--c.eu19.visual.force.com/0011i000001xnrKAAQ","Tan, Ban Hock Billy")</f>
        <v>Tan, Ban Hock Billy</v>
      </c>
      <c r="B4770" t="s">
        <v>8988</v>
      </c>
      <c r="C4770" t="s">
        <v>28</v>
      </c>
      <c r="D4770" t="s">
        <v>8989</v>
      </c>
      <c r="E4770" t="s">
        <v>8</v>
      </c>
      <c r="F4770" t="s">
        <v>69</v>
      </c>
      <c r="G4770" t="s">
        <v>8990</v>
      </c>
      <c r="H4770" t="s">
        <v>8991</v>
      </c>
      <c r="I4770" t="s">
        <v>67</v>
      </c>
    </row>
    <row r="4771" spans="1:9" x14ac:dyDescent="0.25">
      <c r="A4771" s="1" t="str">
        <f>HYPERLINK("https://lynxcrm-apac--c.eu19.visual.force.com/0011i000001xnrQAAQ","Tan, Ban Kok")</f>
        <v>Tan, Ban Kok</v>
      </c>
      <c r="B4771" t="s">
        <v>8992</v>
      </c>
      <c r="C4771" t="s">
        <v>28</v>
      </c>
      <c r="D4771" t="s">
        <v>8993</v>
      </c>
      <c r="E4771" t="s">
        <v>8</v>
      </c>
      <c r="F4771" t="s">
        <v>802</v>
      </c>
      <c r="G4771" t="s">
        <v>803</v>
      </c>
      <c r="H4771" t="s">
        <v>803</v>
      </c>
      <c r="I4771" t="s">
        <v>804</v>
      </c>
    </row>
    <row r="4772" spans="1:9" x14ac:dyDescent="0.25">
      <c r="A4772" s="1" t="str">
        <f>HYPERLINK("https://lynxcrm-apac--c.eu19.visual.force.com/0011i00000S3HFFAA3","Tan, Barry")</f>
        <v>Tan, Barry</v>
      </c>
      <c r="B4772" t="s">
        <v>8994</v>
      </c>
      <c r="C4772" t="s">
        <v>28</v>
      </c>
      <c r="D4772" t="s">
        <v>148</v>
      </c>
      <c r="E4772" t="s">
        <v>8</v>
      </c>
      <c r="F4772" t="s">
        <v>736</v>
      </c>
      <c r="G4772" t="s">
        <v>736</v>
      </c>
      <c r="H4772" t="s">
        <v>8</v>
      </c>
      <c r="I4772" t="s">
        <v>149</v>
      </c>
    </row>
    <row r="4773" spans="1:9" x14ac:dyDescent="0.25">
      <c r="A4773" s="1" t="str">
        <f>HYPERLINK("https://lynxcrm-apac--c.eu19.visual.force.com/0011i000001xnrRAAQ","Tan, Bee Lee Philip")</f>
        <v>Tan, Bee Lee Philip</v>
      </c>
      <c r="B4773" t="s">
        <v>8995</v>
      </c>
      <c r="C4773" t="s">
        <v>28</v>
      </c>
      <c r="D4773" t="s">
        <v>8996</v>
      </c>
      <c r="E4773" t="s">
        <v>8</v>
      </c>
      <c r="F4773" t="s">
        <v>4643</v>
      </c>
      <c r="G4773" t="s">
        <v>2326</v>
      </c>
      <c r="H4773" t="s">
        <v>2326</v>
      </c>
      <c r="I4773" t="s">
        <v>4644</v>
      </c>
    </row>
    <row r="4774" spans="1:9" x14ac:dyDescent="0.25">
      <c r="A4774" s="1" t="str">
        <f>HYPERLINK("https://lynxcrm-apac--c.eu19.visual.force.com/0011i000001xnrTAAQ","Tan, Beng Teck")</f>
        <v>Tan, Beng Teck</v>
      </c>
      <c r="B4774" t="s">
        <v>8997</v>
      </c>
      <c r="C4774" t="s">
        <v>28</v>
      </c>
      <c r="D4774" t="s">
        <v>8998</v>
      </c>
      <c r="E4774" t="s">
        <v>8</v>
      </c>
      <c r="F4774" t="s">
        <v>8999</v>
      </c>
      <c r="G4774" t="s">
        <v>830</v>
      </c>
      <c r="H4774" t="s">
        <v>9000</v>
      </c>
      <c r="I4774" t="s">
        <v>4002</v>
      </c>
    </row>
    <row r="4775" spans="1:9" x14ac:dyDescent="0.25">
      <c r="A4775" s="1" t="str">
        <f>HYPERLINK("https://lynxcrm-apac--c.eu19.visual.force.com/0011i000001xoLAAAY","Tan, Bien Peng")</f>
        <v>Tan, Bien Peng</v>
      </c>
      <c r="B4775" t="s">
        <v>9001</v>
      </c>
      <c r="C4775" t="s">
        <v>28</v>
      </c>
      <c r="D4775" t="s">
        <v>58</v>
      </c>
      <c r="E4775" t="s">
        <v>8</v>
      </c>
      <c r="F4775" t="s">
        <v>57</v>
      </c>
      <c r="G4775" t="s">
        <v>57</v>
      </c>
      <c r="H4775" t="s">
        <v>8</v>
      </c>
      <c r="I4775" t="s">
        <v>59</v>
      </c>
    </row>
    <row r="4776" spans="1:9" x14ac:dyDescent="0.25">
      <c r="A4776" s="1" t="str">
        <f>HYPERLINK("https://lynxcrm-apac--c.eu19.visual.force.com/0011i000001xoLAAAY","Tan, Bien Peng")</f>
        <v>Tan, Bien Peng</v>
      </c>
      <c r="B4776" t="s">
        <v>9001</v>
      </c>
      <c r="C4776" t="s">
        <v>28</v>
      </c>
      <c r="D4776" t="s">
        <v>57</v>
      </c>
      <c r="E4776" t="s">
        <v>8</v>
      </c>
      <c r="F4776" t="s">
        <v>57</v>
      </c>
      <c r="G4776" t="s">
        <v>58</v>
      </c>
      <c r="H4776" t="s">
        <v>58</v>
      </c>
      <c r="I4776" t="s">
        <v>59</v>
      </c>
    </row>
    <row r="4777" spans="1:9" x14ac:dyDescent="0.25">
      <c r="A4777" s="1" t="str">
        <f>HYPERLINK("https://lynxcrm-apac--c.eu19.visual.force.com/0011i000001xnrUAAQ","Tan, Boon Chee David")</f>
        <v>Tan, Boon Chee David</v>
      </c>
      <c r="B4777" t="s">
        <v>9002</v>
      </c>
      <c r="C4777" t="s">
        <v>28</v>
      </c>
      <c r="D4777" t="s">
        <v>9003</v>
      </c>
      <c r="E4777" t="s">
        <v>8</v>
      </c>
      <c r="F4777" t="s">
        <v>4091</v>
      </c>
      <c r="G4777" t="s">
        <v>4092</v>
      </c>
      <c r="H4777" t="s">
        <v>4092</v>
      </c>
      <c r="I4777" t="s">
        <v>4093</v>
      </c>
    </row>
    <row r="4778" spans="1:9" x14ac:dyDescent="0.25">
      <c r="A4778" s="1" t="str">
        <f>HYPERLINK("https://lynxcrm-apac--c.eu19.visual.force.com/0011i000001xoHRAAY","Tan, Boon Chwee Colin")</f>
        <v>Tan, Boon Chwee Colin</v>
      </c>
      <c r="B4778" t="s">
        <v>9004</v>
      </c>
      <c r="C4778" t="s">
        <v>28</v>
      </c>
      <c r="D4778" t="s">
        <v>21</v>
      </c>
      <c r="E4778" t="s">
        <v>8</v>
      </c>
      <c r="F4778" t="s">
        <v>699</v>
      </c>
      <c r="G4778" t="s">
        <v>699</v>
      </c>
      <c r="H4778" t="s">
        <v>8</v>
      </c>
      <c r="I4778" t="s">
        <v>22</v>
      </c>
    </row>
    <row r="4779" spans="1:9" x14ac:dyDescent="0.25">
      <c r="A4779" s="1" t="str">
        <f>HYPERLINK("https://lynxcrm-apac--c.eu19.visual.force.com/0011i000001xoHRAAY","Tan, Boon Chwee Colin")</f>
        <v>Tan, Boon Chwee Colin</v>
      </c>
      <c r="B4779" t="s">
        <v>9004</v>
      </c>
      <c r="C4779" t="s">
        <v>28</v>
      </c>
      <c r="D4779" t="s">
        <v>21</v>
      </c>
      <c r="E4779" t="s">
        <v>8</v>
      </c>
      <c r="F4779" t="s">
        <v>5446</v>
      </c>
      <c r="G4779" t="s">
        <v>5446</v>
      </c>
      <c r="H4779" t="s">
        <v>5447</v>
      </c>
      <c r="I4779" t="s">
        <v>22</v>
      </c>
    </row>
    <row r="4780" spans="1:9" x14ac:dyDescent="0.25">
      <c r="A4780" s="1" t="str">
        <f>HYPERLINK("https://lynxcrm-apac--c.eu19.visual.force.com/0011i000001xnrYAAQ","Tan, Buay Imm")</f>
        <v>Tan, Buay Imm</v>
      </c>
      <c r="B4780" t="s">
        <v>9005</v>
      </c>
      <c r="C4780" t="s">
        <v>28</v>
      </c>
      <c r="D4780" t="s">
        <v>9006</v>
      </c>
      <c r="E4780" t="s">
        <v>8</v>
      </c>
      <c r="F4780" t="s">
        <v>8583</v>
      </c>
      <c r="G4780" t="s">
        <v>8584</v>
      </c>
      <c r="H4780" t="s">
        <v>8584</v>
      </c>
      <c r="I4780" t="s">
        <v>8585</v>
      </c>
    </row>
    <row r="4781" spans="1:9" x14ac:dyDescent="0.25">
      <c r="A4781" s="1" t="str">
        <f>HYPERLINK("https://lynxcrm-apac--c.eu19.visual.force.com/0011i000001xo5oAAA","Tan, Chai Beng")</f>
        <v>Tan, Chai Beng</v>
      </c>
      <c r="B4781" t="s">
        <v>9007</v>
      </c>
      <c r="C4781" t="s">
        <v>28</v>
      </c>
      <c r="D4781" t="s">
        <v>9008</v>
      </c>
      <c r="E4781" t="s">
        <v>8</v>
      </c>
      <c r="F4781" t="s">
        <v>463</v>
      </c>
      <c r="G4781" t="s">
        <v>6991</v>
      </c>
      <c r="H4781" t="s">
        <v>6992</v>
      </c>
      <c r="I4781" t="s">
        <v>466</v>
      </c>
    </row>
    <row r="4782" spans="1:9" x14ac:dyDescent="0.25">
      <c r="A4782" s="1" t="str">
        <f>HYPERLINK("https://lynxcrm-apac--c.eu19.visual.force.com/0011i000001xnrZAAQ","Tan, Chai Lee @ Choi Lee")</f>
        <v>Tan, Chai Lee @ Choi Lee</v>
      </c>
      <c r="B4782" t="s">
        <v>9009</v>
      </c>
      <c r="C4782" t="s">
        <v>28</v>
      </c>
      <c r="D4782" t="s">
        <v>9010</v>
      </c>
      <c r="E4782" t="s">
        <v>8</v>
      </c>
      <c r="F4782" t="s">
        <v>34</v>
      </c>
      <c r="G4782" t="s">
        <v>9011</v>
      </c>
      <c r="H4782" t="s">
        <v>9012</v>
      </c>
      <c r="I4782" t="s">
        <v>36</v>
      </c>
    </row>
    <row r="4783" spans="1:9" x14ac:dyDescent="0.25">
      <c r="A4783" s="1" t="str">
        <f>HYPERLINK("https://lynxcrm-apac--c.eu19.visual.force.com/0011i000001xoKYAAY","Tan, Charlene")</f>
        <v>Tan, Charlene</v>
      </c>
      <c r="B4783" t="s">
        <v>9013</v>
      </c>
      <c r="C4783" t="s">
        <v>28</v>
      </c>
      <c r="D4783" t="s">
        <v>516</v>
      </c>
      <c r="E4783" t="s">
        <v>8</v>
      </c>
      <c r="F4783" t="s">
        <v>517</v>
      </c>
      <c r="G4783" t="s">
        <v>517</v>
      </c>
      <c r="H4783" t="s">
        <v>8</v>
      </c>
      <c r="I4783" t="s">
        <v>518</v>
      </c>
    </row>
    <row r="4784" spans="1:9" x14ac:dyDescent="0.25">
      <c r="A4784" s="1" t="str">
        <f>HYPERLINK("https://lynxcrm-apac--c.eu19.visual.force.com/0011i000001xnrbAAA","Tan, Chay Koon Serene")</f>
        <v>Tan, Chay Koon Serene</v>
      </c>
      <c r="B4784" t="s">
        <v>9014</v>
      </c>
      <c r="C4784" t="s">
        <v>28</v>
      </c>
      <c r="D4784" t="s">
        <v>9015</v>
      </c>
      <c r="E4784" t="s">
        <v>8</v>
      </c>
      <c r="F4784" t="s">
        <v>2425</v>
      </c>
      <c r="G4784" t="s">
        <v>2426</v>
      </c>
      <c r="H4784" t="s">
        <v>2427</v>
      </c>
      <c r="I4784" t="s">
        <v>1235</v>
      </c>
    </row>
    <row r="4785" spans="1:9" x14ac:dyDescent="0.25">
      <c r="A4785" s="1" t="str">
        <f>HYPERLINK("https://lynxcrm-apac--c.eu19.visual.force.com/0011i000001xnupAAA","Tan, Chee Beng")</f>
        <v>Tan, Chee Beng</v>
      </c>
      <c r="B4785" t="s">
        <v>9016</v>
      </c>
      <c r="C4785" t="s">
        <v>28</v>
      </c>
      <c r="D4785" t="s">
        <v>58</v>
      </c>
      <c r="E4785" t="s">
        <v>8</v>
      </c>
      <c r="F4785" t="s">
        <v>57</v>
      </c>
      <c r="G4785" t="s">
        <v>57</v>
      </c>
      <c r="H4785" t="s">
        <v>8</v>
      </c>
      <c r="I4785" t="s">
        <v>59</v>
      </c>
    </row>
    <row r="4786" spans="1:9" x14ac:dyDescent="0.25">
      <c r="A4786" s="1" t="str">
        <f>HYPERLINK("https://lynxcrm-apac--c.eu19.visual.force.com/0011i000001xoF3AAI","Tan, Chee Keong")</f>
        <v>Tan, Chee Keong</v>
      </c>
      <c r="B4786" t="s">
        <v>9017</v>
      </c>
      <c r="C4786" t="s">
        <v>28</v>
      </c>
      <c r="D4786" t="s">
        <v>9018</v>
      </c>
      <c r="E4786" t="s">
        <v>8</v>
      </c>
      <c r="F4786" t="s">
        <v>355</v>
      </c>
      <c r="G4786" t="s">
        <v>356</v>
      </c>
      <c r="H4786" t="s">
        <v>356</v>
      </c>
      <c r="I4786" t="s">
        <v>357</v>
      </c>
    </row>
    <row r="4787" spans="1:9" x14ac:dyDescent="0.25">
      <c r="A4787" s="1" t="str">
        <f>HYPERLINK("https://lynxcrm-apac--c.eu19.visual.force.com/0011i000001xo5rAAA","Tan, Chee Kiat")</f>
        <v>Tan, Chee Kiat</v>
      </c>
      <c r="B4787" t="s">
        <v>9019</v>
      </c>
      <c r="C4787" t="s">
        <v>28</v>
      </c>
      <c r="D4787" t="s">
        <v>251</v>
      </c>
      <c r="E4787" t="s">
        <v>8</v>
      </c>
      <c r="F4787" t="s">
        <v>251</v>
      </c>
      <c r="G4787" t="s">
        <v>252</v>
      </c>
      <c r="H4787" t="s">
        <v>252</v>
      </c>
      <c r="I4787" t="s">
        <v>253</v>
      </c>
    </row>
    <row r="4788" spans="1:9" x14ac:dyDescent="0.25">
      <c r="A4788" s="1" t="str">
        <f>HYPERLINK("https://lynxcrm-apac--c.eu19.visual.force.com/0011i000001xo5rAAA","Tan, Chee Kiat")</f>
        <v>Tan, Chee Kiat</v>
      </c>
      <c r="B4788" t="s">
        <v>9019</v>
      </c>
      <c r="C4788" t="s">
        <v>28</v>
      </c>
      <c r="D4788" t="s">
        <v>251</v>
      </c>
      <c r="E4788" t="s">
        <v>8</v>
      </c>
      <c r="F4788" t="s">
        <v>7074</v>
      </c>
      <c r="G4788" t="s">
        <v>252</v>
      </c>
      <c r="H4788" t="s">
        <v>252</v>
      </c>
      <c r="I4788" t="s">
        <v>253</v>
      </c>
    </row>
    <row r="4789" spans="1:9" x14ac:dyDescent="0.25">
      <c r="A4789" s="1" t="str">
        <f>HYPERLINK("https://lynxcrm-apac--c.eu19.visual.force.com/0011i00000Xf1IWAAZ","Tan, Chee Seng")</f>
        <v>Tan, Chee Seng</v>
      </c>
      <c r="B4789" t="s">
        <v>9020</v>
      </c>
      <c r="C4789" t="s">
        <v>28</v>
      </c>
      <c r="D4789" t="s">
        <v>5867</v>
      </c>
      <c r="E4789" t="s">
        <v>8</v>
      </c>
      <c r="F4789" t="s">
        <v>5868</v>
      </c>
      <c r="G4789" t="s">
        <v>569</v>
      </c>
      <c r="H4789" t="s">
        <v>8</v>
      </c>
      <c r="I4789" t="s">
        <v>344</v>
      </c>
    </row>
    <row r="4790" spans="1:9" x14ac:dyDescent="0.25">
      <c r="A4790" s="1" t="str">
        <f>HYPERLINK("https://lynxcrm-apac--c.eu19.visual.force.com/0011i000001xnrcAAA","Tan, Cheow Wee")</f>
        <v>Tan, Cheow Wee</v>
      </c>
      <c r="B4790" t="s">
        <v>9021</v>
      </c>
      <c r="C4790" t="s">
        <v>28</v>
      </c>
      <c r="D4790" t="s">
        <v>6863</v>
      </c>
      <c r="E4790" t="s">
        <v>8</v>
      </c>
      <c r="F4790" t="s">
        <v>64</v>
      </c>
      <c r="G4790" t="s">
        <v>65</v>
      </c>
      <c r="H4790" t="s">
        <v>66</v>
      </c>
      <c r="I4790" t="s">
        <v>67</v>
      </c>
    </row>
    <row r="4791" spans="1:9" x14ac:dyDescent="0.25">
      <c r="A4791" s="1" t="str">
        <f>HYPERLINK("https://lynxcrm-apac--c.eu19.visual.force.com/0011i000001xoFJAAY","Tan, Chew Seng Louis")</f>
        <v>Tan, Chew Seng Louis</v>
      </c>
      <c r="B4791" t="s">
        <v>9022</v>
      </c>
      <c r="C4791" t="s">
        <v>28</v>
      </c>
      <c r="D4791" t="s">
        <v>474</v>
      </c>
      <c r="E4791" t="s">
        <v>8</v>
      </c>
      <c r="F4791" t="s">
        <v>1263</v>
      </c>
      <c r="G4791" t="s">
        <v>258</v>
      </c>
      <c r="H4791" t="s">
        <v>259</v>
      </c>
      <c r="I4791" t="s">
        <v>260</v>
      </c>
    </row>
    <row r="4792" spans="1:9" x14ac:dyDescent="0.25">
      <c r="A4792" s="1" t="str">
        <f>HYPERLINK("https://lynxcrm-apac--c.eu19.visual.force.com/0011i000001xnvIAAQ","Tan, Chieh Suai")</f>
        <v>Tan, Chieh Suai</v>
      </c>
      <c r="B4792" t="s">
        <v>9023</v>
      </c>
      <c r="C4792" t="s">
        <v>28</v>
      </c>
      <c r="D4792" t="s">
        <v>251</v>
      </c>
      <c r="E4792" t="s">
        <v>8</v>
      </c>
      <c r="F4792" t="s">
        <v>241</v>
      </c>
      <c r="G4792" t="s">
        <v>252</v>
      </c>
      <c r="H4792" t="s">
        <v>252</v>
      </c>
      <c r="I4792" t="s">
        <v>253</v>
      </c>
    </row>
    <row r="4793" spans="1:9" x14ac:dyDescent="0.25">
      <c r="A4793" s="1" t="str">
        <f>HYPERLINK("https://lynxcrm-apac--c.eu19.visual.force.com/0011i000001xodnAAA","Tan, Chi-Loong Bernard")</f>
        <v>Tan, Chi-Loong Bernard</v>
      </c>
      <c r="B4793" t="s">
        <v>9024</v>
      </c>
      <c r="C4793" t="s">
        <v>28</v>
      </c>
      <c r="D4793" t="s">
        <v>583</v>
      </c>
      <c r="E4793" t="s">
        <v>8</v>
      </c>
      <c r="F4793" t="s">
        <v>9025</v>
      </c>
      <c r="G4793" t="s">
        <v>584</v>
      </c>
      <c r="H4793" t="s">
        <v>1386</v>
      </c>
      <c r="I4793" t="s">
        <v>585</v>
      </c>
    </row>
    <row r="4794" spans="1:9" x14ac:dyDescent="0.25">
      <c r="A4794" s="1" t="str">
        <f>HYPERLINK("https://lynxcrm-apac--c.eu19.visual.force.com/0011i000001xobBAAQ","Tan, Chin Beng Melvyn")</f>
        <v>Tan, Chin Beng Melvyn</v>
      </c>
      <c r="B4794" t="s">
        <v>9026</v>
      </c>
      <c r="C4794" t="s">
        <v>28</v>
      </c>
      <c r="D4794" t="s">
        <v>9027</v>
      </c>
      <c r="E4794" t="s">
        <v>8</v>
      </c>
      <c r="F4794" t="s">
        <v>432</v>
      </c>
      <c r="G4794" t="s">
        <v>433</v>
      </c>
      <c r="H4794" t="s">
        <v>433</v>
      </c>
      <c r="I4794" t="s">
        <v>434</v>
      </c>
    </row>
    <row r="4795" spans="1:9" x14ac:dyDescent="0.25">
      <c r="A4795" s="1" t="str">
        <f>HYPERLINK("https://lynxcrm-apac--c.eu19.visual.force.com/0011i000001xoCeAAI","Tan, Ching Ching Elaine")</f>
        <v>Tan, Ching Ching Elaine</v>
      </c>
      <c r="B4795" t="s">
        <v>9028</v>
      </c>
      <c r="C4795" t="s">
        <v>28</v>
      </c>
      <c r="D4795" t="s">
        <v>54</v>
      </c>
      <c r="E4795" t="s">
        <v>8</v>
      </c>
      <c r="F4795" t="s">
        <v>1225</v>
      </c>
      <c r="G4795" t="s">
        <v>1225</v>
      </c>
      <c r="H4795" t="s">
        <v>8</v>
      </c>
      <c r="I4795" t="s">
        <v>55</v>
      </c>
    </row>
    <row r="4796" spans="1:9" x14ac:dyDescent="0.25">
      <c r="A4796" s="1" t="str">
        <f>HYPERLINK("https://lynxcrm-apac--c.eu19.visual.force.com/0011i000001xo6GAAQ","Tan, Chin Kwok")</f>
        <v>Tan, Chin Kwok</v>
      </c>
      <c r="B4796" t="s">
        <v>9029</v>
      </c>
      <c r="C4796" t="s">
        <v>28</v>
      </c>
      <c r="D4796" t="s">
        <v>1486</v>
      </c>
      <c r="E4796" t="s">
        <v>8</v>
      </c>
      <c r="F4796" t="s">
        <v>1486</v>
      </c>
      <c r="G4796" t="s">
        <v>1487</v>
      </c>
      <c r="H4796" t="s">
        <v>1487</v>
      </c>
      <c r="I4796" t="s">
        <v>1488</v>
      </c>
    </row>
    <row r="4797" spans="1:9" x14ac:dyDescent="0.25">
      <c r="A4797" s="1" t="str">
        <f>HYPERLINK("https://lynxcrm-apac--c.eu19.visual.force.com/0011i000001xnrgAAA","Tan, Chin Leong")</f>
        <v>Tan, Chin Leong</v>
      </c>
      <c r="B4797" t="s">
        <v>9030</v>
      </c>
      <c r="C4797" t="s">
        <v>28</v>
      </c>
      <c r="D4797" t="s">
        <v>9031</v>
      </c>
      <c r="E4797" t="s">
        <v>8</v>
      </c>
      <c r="F4797" t="s">
        <v>1962</v>
      </c>
      <c r="G4797" t="s">
        <v>1963</v>
      </c>
      <c r="H4797" t="s">
        <v>1963</v>
      </c>
      <c r="I4797" t="s">
        <v>1964</v>
      </c>
    </row>
    <row r="4798" spans="1:9" x14ac:dyDescent="0.25">
      <c r="A4798" s="1" t="str">
        <f>HYPERLINK("https://lynxcrm-apac--c.eu19.visual.force.com/0011i000001xoFbAAI","Tan, Chong Bin")</f>
        <v>Tan, Chong Bin</v>
      </c>
      <c r="B4798" t="s">
        <v>9032</v>
      </c>
      <c r="C4798" t="s">
        <v>28</v>
      </c>
      <c r="D4798" t="s">
        <v>9033</v>
      </c>
      <c r="E4798" t="s">
        <v>8</v>
      </c>
      <c r="F4798" t="s">
        <v>1962</v>
      </c>
      <c r="G4798" t="s">
        <v>9034</v>
      </c>
      <c r="H4798" t="s">
        <v>9035</v>
      </c>
      <c r="I4798" t="s">
        <v>1964</v>
      </c>
    </row>
    <row r="4799" spans="1:9" x14ac:dyDescent="0.25">
      <c r="A4799" s="1" t="str">
        <f>HYPERLINK("https://lynxcrm-apac--c.eu19.visual.force.com/0011i000001xoFjAAI","Tan, Chong Hiok")</f>
        <v>Tan, Chong Hiok</v>
      </c>
      <c r="B4799" t="s">
        <v>9036</v>
      </c>
      <c r="C4799" t="s">
        <v>28</v>
      </c>
      <c r="D4799" t="s">
        <v>1834</v>
      </c>
      <c r="E4799" t="s">
        <v>8</v>
      </c>
      <c r="F4799" t="s">
        <v>686</v>
      </c>
      <c r="G4799" t="s">
        <v>691</v>
      </c>
      <c r="H4799" t="s">
        <v>691</v>
      </c>
      <c r="I4799" t="s">
        <v>692</v>
      </c>
    </row>
    <row r="4800" spans="1:9" x14ac:dyDescent="0.25">
      <c r="A4800" s="1" t="str">
        <f>HYPERLINK("https://lynxcrm-apac--c.eu19.visual.force.com/0011i000001xnjgAAA","Tan, Chong Keat")</f>
        <v>Tan, Chong Keat</v>
      </c>
      <c r="B4800" t="s">
        <v>9037</v>
      </c>
      <c r="C4800" t="s">
        <v>28</v>
      </c>
      <c r="D4800" t="s">
        <v>261</v>
      </c>
      <c r="E4800" t="s">
        <v>8</v>
      </c>
      <c r="F4800" t="s">
        <v>261</v>
      </c>
      <c r="G4800" t="s">
        <v>347</v>
      </c>
      <c r="H4800" t="s">
        <v>347</v>
      </c>
      <c r="I4800" t="s">
        <v>260</v>
      </c>
    </row>
    <row r="4801" spans="1:9" x14ac:dyDescent="0.25">
      <c r="A4801" s="1" t="str">
        <f>HYPERLINK("https://lynxcrm-apac--c.eu19.visual.force.com/0011i000001xoQHAAY","Tan, Choon Chieh")</f>
        <v>Tan, Choon Chieh</v>
      </c>
      <c r="B4801" t="s">
        <v>9038</v>
      </c>
      <c r="C4801" t="s">
        <v>28</v>
      </c>
      <c r="D4801" t="s">
        <v>1242</v>
      </c>
      <c r="E4801" t="s">
        <v>8</v>
      </c>
      <c r="F4801" t="s">
        <v>584</v>
      </c>
      <c r="G4801" t="s">
        <v>583</v>
      </c>
      <c r="H4801" t="s">
        <v>583</v>
      </c>
      <c r="I4801" t="s">
        <v>585</v>
      </c>
    </row>
    <row r="4802" spans="1:9" x14ac:dyDescent="0.25">
      <c r="A4802" s="1" t="str">
        <f>HYPERLINK("https://lynxcrm-apac--c.eu19.visual.force.com/0011i000001xoQHAAY","Tan, Choon Chieh")</f>
        <v>Tan, Choon Chieh</v>
      </c>
      <c r="B4802" t="s">
        <v>9038</v>
      </c>
      <c r="C4802" t="s">
        <v>28</v>
      </c>
      <c r="D4802" t="s">
        <v>583</v>
      </c>
      <c r="E4802" t="s">
        <v>8</v>
      </c>
      <c r="F4802" t="s">
        <v>583</v>
      </c>
      <c r="G4802" t="s">
        <v>584</v>
      </c>
      <c r="H4802" t="s">
        <v>584</v>
      </c>
      <c r="I4802" t="s">
        <v>585</v>
      </c>
    </row>
    <row r="4803" spans="1:9" x14ac:dyDescent="0.25">
      <c r="A4803" s="1" t="str">
        <f>HYPERLINK("https://lynxcrm-apac--c.eu19.visual.force.com/0011i000001xo5uAAA","Tan, Choon Heng John")</f>
        <v>Tan, Choon Heng John</v>
      </c>
      <c r="B4803" t="s">
        <v>9039</v>
      </c>
      <c r="C4803" t="s">
        <v>28</v>
      </c>
      <c r="D4803" t="s">
        <v>9040</v>
      </c>
      <c r="E4803" t="s">
        <v>8</v>
      </c>
      <c r="F4803" t="s">
        <v>317</v>
      </c>
      <c r="G4803" t="s">
        <v>9041</v>
      </c>
      <c r="H4803" t="s">
        <v>9042</v>
      </c>
      <c r="I4803" t="s">
        <v>85</v>
      </c>
    </row>
    <row r="4804" spans="1:9" x14ac:dyDescent="0.25">
      <c r="A4804" s="1" t="str">
        <f>HYPERLINK("https://lynxcrm-apac--c.eu19.visual.force.com/0011i000001xnvnAAA","Tan, Choon Hian Roger")</f>
        <v>Tan, Choon Hian Roger</v>
      </c>
      <c r="B4804" t="s">
        <v>9043</v>
      </c>
      <c r="C4804" t="s">
        <v>28</v>
      </c>
      <c r="D4804" t="s">
        <v>9044</v>
      </c>
      <c r="E4804" t="s">
        <v>8</v>
      </c>
      <c r="F4804" t="s">
        <v>69</v>
      </c>
      <c r="G4804" t="s">
        <v>8205</v>
      </c>
      <c r="H4804" t="s">
        <v>8206</v>
      </c>
      <c r="I4804" t="s">
        <v>67</v>
      </c>
    </row>
    <row r="4805" spans="1:9" x14ac:dyDescent="0.25">
      <c r="A4805" s="1" t="str">
        <f>HYPERLINK("https://lynxcrm-apac--c.eu19.visual.force.com/0011i000001xoFqAAI","Tan, Choon Kiat Nigel")</f>
        <v>Tan, Choon Kiat Nigel</v>
      </c>
      <c r="B4805" t="s">
        <v>9045</v>
      </c>
      <c r="C4805" t="s">
        <v>28</v>
      </c>
      <c r="D4805" t="s">
        <v>474</v>
      </c>
      <c r="E4805" t="s">
        <v>8</v>
      </c>
      <c r="F4805" t="s">
        <v>1263</v>
      </c>
      <c r="G4805" t="s">
        <v>258</v>
      </c>
      <c r="H4805" t="s">
        <v>259</v>
      </c>
      <c r="I4805" t="s">
        <v>260</v>
      </c>
    </row>
    <row r="4806" spans="1:9" x14ac:dyDescent="0.25">
      <c r="A4806" s="1" t="str">
        <f>HYPERLINK("https://lynxcrm-apac--c.eu19.visual.force.com/0011i000001xoQLAAY","Tan, Choon Seng Gilbert")</f>
        <v>Tan, Choon Seng Gilbert</v>
      </c>
      <c r="B4806" t="s">
        <v>9046</v>
      </c>
      <c r="C4806" t="s">
        <v>28</v>
      </c>
      <c r="D4806" t="s">
        <v>1126</v>
      </c>
      <c r="E4806" t="s">
        <v>8</v>
      </c>
      <c r="F4806" t="s">
        <v>1127</v>
      </c>
      <c r="G4806" t="s">
        <v>1128</v>
      </c>
      <c r="H4806" t="s">
        <v>1128</v>
      </c>
      <c r="I4806" t="s">
        <v>996</v>
      </c>
    </row>
    <row r="4807" spans="1:9" x14ac:dyDescent="0.25">
      <c r="A4807" s="1" t="str">
        <f>HYPERLINK("https://lynxcrm-apac--c.eu19.visual.force.com/0011i000001xo5vAAA","Tan, Chorh Chuan")</f>
        <v>Tan, Chorh Chuan</v>
      </c>
      <c r="B4807" t="s">
        <v>9047</v>
      </c>
      <c r="C4807" t="s">
        <v>28</v>
      </c>
      <c r="D4807" t="s">
        <v>3201</v>
      </c>
      <c r="E4807" t="s">
        <v>8</v>
      </c>
      <c r="F4807" t="s">
        <v>6933</v>
      </c>
      <c r="G4807" t="s">
        <v>6934</v>
      </c>
      <c r="H4807" t="s">
        <v>6935</v>
      </c>
      <c r="I4807" t="s">
        <v>6936</v>
      </c>
    </row>
    <row r="4808" spans="1:9" x14ac:dyDescent="0.25">
      <c r="A4808" s="1" t="str">
        <f>HYPERLINK("https://lynxcrm-apac--c.eu19.visual.force.com/0011i000001xnrlAAA","Tan, Chue Tin")</f>
        <v>Tan, Chue Tin</v>
      </c>
      <c r="B4808" t="s">
        <v>9048</v>
      </c>
      <c r="C4808" t="s">
        <v>28</v>
      </c>
      <c r="D4808" t="s">
        <v>9049</v>
      </c>
      <c r="E4808" t="s">
        <v>8</v>
      </c>
      <c r="F4808" t="s">
        <v>317</v>
      </c>
      <c r="G4808" t="s">
        <v>9050</v>
      </c>
      <c r="H4808" t="s">
        <v>9051</v>
      </c>
      <c r="I4808" t="s">
        <v>85</v>
      </c>
    </row>
    <row r="4809" spans="1:9" x14ac:dyDescent="0.25">
      <c r="A4809" s="1" t="str">
        <f>HYPERLINK("https://lynxcrm-apac--c.eu19.visual.force.com/0011i000001xonyAAA","Tan, Chung Mui")</f>
        <v>Tan, Chung Mui</v>
      </c>
      <c r="B4809" t="s">
        <v>9052</v>
      </c>
      <c r="C4809" t="s">
        <v>28</v>
      </c>
      <c r="D4809" t="s">
        <v>7304</v>
      </c>
      <c r="E4809" t="s">
        <v>8</v>
      </c>
      <c r="F4809" t="s">
        <v>3201</v>
      </c>
      <c r="G4809" t="s">
        <v>9053</v>
      </c>
      <c r="H4809" t="s">
        <v>9053</v>
      </c>
      <c r="I4809" t="s">
        <v>6940</v>
      </c>
    </row>
    <row r="4810" spans="1:9" x14ac:dyDescent="0.25">
      <c r="A4810" s="1" t="str">
        <f>HYPERLINK("https://lynxcrm-apac--c.eu19.visual.force.com/0011i00000S3HIsAAN","Tan, Chun Jek")</f>
        <v>Tan, Chun Jek</v>
      </c>
      <c r="B4810" t="s">
        <v>9054</v>
      </c>
      <c r="C4810" t="s">
        <v>28</v>
      </c>
      <c r="D4810" t="s">
        <v>147</v>
      </c>
      <c r="E4810" t="s">
        <v>8</v>
      </c>
      <c r="F4810" t="s">
        <v>147</v>
      </c>
      <c r="G4810" t="s">
        <v>148</v>
      </c>
      <c r="H4810" t="s">
        <v>148</v>
      </c>
      <c r="I4810" t="s">
        <v>149</v>
      </c>
    </row>
    <row r="4811" spans="1:9" x14ac:dyDescent="0.25">
      <c r="A4811" s="1" t="str">
        <f>HYPERLINK("https://lynxcrm-apac--c.eu19.visual.force.com/0011i000001xoPlAAI","Tan, Cynthia")</f>
        <v>Tan, Cynthia</v>
      </c>
      <c r="B4811" t="s">
        <v>9055</v>
      </c>
      <c r="C4811" t="s">
        <v>28</v>
      </c>
      <c r="D4811" t="s">
        <v>545</v>
      </c>
      <c r="E4811" t="s">
        <v>8</v>
      </c>
      <c r="F4811" t="s">
        <v>546</v>
      </c>
      <c r="G4811" t="s">
        <v>547</v>
      </c>
      <c r="H4811" t="s">
        <v>547</v>
      </c>
      <c r="I4811" t="s">
        <v>548</v>
      </c>
    </row>
    <row r="4812" spans="1:9" x14ac:dyDescent="0.25">
      <c r="A4812" s="1" t="str">
        <f>HYPERLINK("https://lynxcrm-apac--c.eu19.visual.force.com/0011i000001xosnAAA","Tan, Darry")</f>
        <v>Tan, Darry</v>
      </c>
      <c r="B4812" t="s">
        <v>9056</v>
      </c>
      <c r="C4812" t="s">
        <v>28</v>
      </c>
      <c r="D4812" t="s">
        <v>662</v>
      </c>
      <c r="E4812" t="s">
        <v>8</v>
      </c>
      <c r="F4812" t="s">
        <v>662</v>
      </c>
      <c r="G4812" t="s">
        <v>663</v>
      </c>
      <c r="H4812" t="s">
        <v>663</v>
      </c>
      <c r="I4812" t="s">
        <v>664</v>
      </c>
    </row>
    <row r="4813" spans="1:9" x14ac:dyDescent="0.25">
      <c r="A4813" s="1" t="str">
        <f>HYPERLINK("https://lynxcrm-apac--c.eu19.visual.force.com/0011i000007DNLAAA4","Tan, David")</f>
        <v>Tan, David</v>
      </c>
      <c r="B4813" t="s">
        <v>9057</v>
      </c>
      <c r="C4813" t="s">
        <v>28</v>
      </c>
      <c r="D4813" t="s">
        <v>709</v>
      </c>
      <c r="E4813" t="s">
        <v>8</v>
      </c>
      <c r="F4813" t="s">
        <v>710</v>
      </c>
      <c r="G4813" t="s">
        <v>135</v>
      </c>
      <c r="H4813" t="s">
        <v>135</v>
      </c>
      <c r="I4813" t="s">
        <v>711</v>
      </c>
    </row>
    <row r="4814" spans="1:9" x14ac:dyDescent="0.25">
      <c r="A4814" s="1" t="str">
        <f>HYPERLINK("https://lynxcrm-apac--c.eu19.visual.force.com/0011i00000Xf1HjAAJ","Tan, David")</f>
        <v>Tan, David</v>
      </c>
      <c r="B4814" t="s">
        <v>9058</v>
      </c>
      <c r="C4814" t="s">
        <v>28</v>
      </c>
      <c r="D4814" t="s">
        <v>429</v>
      </c>
      <c r="E4814" t="s">
        <v>8</v>
      </c>
      <c r="F4814" t="s">
        <v>594</v>
      </c>
      <c r="G4814" t="s">
        <v>595</v>
      </c>
      <c r="H4814" t="s">
        <v>8</v>
      </c>
      <c r="I4814" t="s">
        <v>596</v>
      </c>
    </row>
    <row r="4815" spans="1:9" x14ac:dyDescent="0.25">
      <c r="A4815" s="1" t="str">
        <f>HYPERLINK("https://lynxcrm-apac--c.eu19.visual.force.com/0011i000007DbVtAAK","Tan, David")</f>
        <v>Tan, David</v>
      </c>
      <c r="B4815" t="s">
        <v>9059</v>
      </c>
      <c r="C4815" t="s">
        <v>28</v>
      </c>
      <c r="D4815" t="s">
        <v>1462</v>
      </c>
      <c r="E4815" t="s">
        <v>8</v>
      </c>
      <c r="F4815" t="s">
        <v>1463</v>
      </c>
      <c r="G4815" t="s">
        <v>1464</v>
      </c>
      <c r="H4815" t="s">
        <v>8</v>
      </c>
      <c r="I4815" t="s">
        <v>1465</v>
      </c>
    </row>
    <row r="4816" spans="1:9" x14ac:dyDescent="0.25">
      <c r="A4816" s="1" t="str">
        <f>HYPERLINK("https://lynxcrm-apac--c.eu19.visual.force.com/0011i000001xobvAAA","Tan, Dennis")</f>
        <v>Tan, Dennis</v>
      </c>
      <c r="B4816" t="s">
        <v>9060</v>
      </c>
      <c r="C4816" t="s">
        <v>28</v>
      </c>
      <c r="D4816" t="s">
        <v>392</v>
      </c>
      <c r="E4816" t="s">
        <v>8</v>
      </c>
      <c r="F4816" t="s">
        <v>393</v>
      </c>
      <c r="G4816" t="s">
        <v>393</v>
      </c>
      <c r="H4816" t="s">
        <v>8</v>
      </c>
      <c r="I4816" t="s">
        <v>396</v>
      </c>
    </row>
    <row r="4817" spans="1:9" x14ac:dyDescent="0.25">
      <c r="A4817" s="1" t="str">
        <f>HYPERLINK("https://lynxcrm-apac--c.eu19.visual.force.com/0011i000002IdACAA0","Tan, Dihao Keith")</f>
        <v>Tan, Dihao Keith</v>
      </c>
      <c r="B4817" t="s">
        <v>9061</v>
      </c>
      <c r="C4817" t="s">
        <v>28</v>
      </c>
      <c r="D4817" t="s">
        <v>12</v>
      </c>
      <c r="E4817" t="s">
        <v>8</v>
      </c>
      <c r="F4817" t="s">
        <v>11</v>
      </c>
      <c r="G4817" t="s">
        <v>11</v>
      </c>
      <c r="H4817" t="s">
        <v>8</v>
      </c>
      <c r="I4817" t="s">
        <v>13</v>
      </c>
    </row>
    <row r="4818" spans="1:9" x14ac:dyDescent="0.25">
      <c r="A4818" s="1" t="str">
        <f>HYPERLINK("https://lynxcrm-apac--c.eu19.visual.force.com/0011i000001xnrnAAA","Tan, Ee Ju")</f>
        <v>Tan, Ee Ju</v>
      </c>
      <c r="B4818" t="s">
        <v>9062</v>
      </c>
      <c r="C4818" t="s">
        <v>28</v>
      </c>
      <c r="D4818" t="s">
        <v>9063</v>
      </c>
      <c r="E4818" t="s">
        <v>8</v>
      </c>
      <c r="F4818" t="s">
        <v>2993</v>
      </c>
      <c r="G4818" t="s">
        <v>2994</v>
      </c>
      <c r="H4818" t="s">
        <v>2995</v>
      </c>
      <c r="I4818" t="s">
        <v>2996</v>
      </c>
    </row>
    <row r="4819" spans="1:9" x14ac:dyDescent="0.25">
      <c r="A4819" s="1" t="str">
        <f>HYPERLINK("https://lynxcrm-apac--c.eu19.visual.force.com/0011i000001xo5wAAA","Tan, Ee Lee Daniel")</f>
        <v>Tan, Ee Lee Daniel</v>
      </c>
      <c r="B4819" t="s">
        <v>9064</v>
      </c>
      <c r="C4819" t="s">
        <v>28</v>
      </c>
      <c r="D4819" t="s">
        <v>1253</v>
      </c>
      <c r="E4819" t="s">
        <v>8</v>
      </c>
      <c r="F4819" t="s">
        <v>366</v>
      </c>
      <c r="G4819" t="s">
        <v>360</v>
      </c>
      <c r="H4819" t="s">
        <v>361</v>
      </c>
      <c r="I4819" t="s">
        <v>362</v>
      </c>
    </row>
    <row r="4820" spans="1:9" x14ac:dyDescent="0.25">
      <c r="A4820" s="1" t="str">
        <f>HYPERLINK("https://lynxcrm-apac--c.eu19.visual.force.com/0011i000001xnwrAAA","Tan, Ee Ling")</f>
        <v>Tan, Ee Ling</v>
      </c>
      <c r="B4820" t="s">
        <v>9065</v>
      </c>
      <c r="C4820" t="s">
        <v>28</v>
      </c>
      <c r="D4820" t="s">
        <v>7304</v>
      </c>
      <c r="E4820" t="s">
        <v>8</v>
      </c>
      <c r="F4820" t="s">
        <v>3201</v>
      </c>
      <c r="G4820" t="s">
        <v>6938</v>
      </c>
      <c r="H4820" t="s">
        <v>6938</v>
      </c>
      <c r="I4820" t="s">
        <v>6940</v>
      </c>
    </row>
    <row r="4821" spans="1:9" x14ac:dyDescent="0.25">
      <c r="A4821" s="1" t="str">
        <f>HYPERLINK("https://lynxcrm-apac--c.eu19.visual.force.com/0011i000001xnroAAA","Tan, Ee Peng")</f>
        <v>Tan, Ee Peng</v>
      </c>
      <c r="B4821" t="s">
        <v>9066</v>
      </c>
      <c r="C4821" t="s">
        <v>28</v>
      </c>
      <c r="D4821" t="s">
        <v>9067</v>
      </c>
      <c r="E4821" t="s">
        <v>8</v>
      </c>
      <c r="F4821" t="s">
        <v>9068</v>
      </c>
      <c r="G4821" t="s">
        <v>9069</v>
      </c>
      <c r="H4821" t="s">
        <v>9070</v>
      </c>
      <c r="I4821" t="s">
        <v>9071</v>
      </c>
    </row>
    <row r="4822" spans="1:9" x14ac:dyDescent="0.25">
      <c r="A4822" s="1" t="str">
        <f>HYPERLINK("https://lynxcrm-apac--c.eu19.visual.force.com/0011i000001xnrpAAA","Tan, Ee Poh")</f>
        <v>Tan, Ee Poh</v>
      </c>
      <c r="B4822" t="s">
        <v>9072</v>
      </c>
      <c r="C4822" t="s">
        <v>28</v>
      </c>
      <c r="D4822" t="s">
        <v>9073</v>
      </c>
      <c r="E4822" t="s">
        <v>8</v>
      </c>
      <c r="F4822" t="s">
        <v>8961</v>
      </c>
      <c r="G4822" t="s">
        <v>8962</v>
      </c>
      <c r="H4822" t="s">
        <v>8963</v>
      </c>
      <c r="I4822" t="s">
        <v>2928</v>
      </c>
    </row>
    <row r="4823" spans="1:9" x14ac:dyDescent="0.25">
      <c r="A4823" s="1" t="str">
        <f>HYPERLINK("https://lynxcrm-apac--c.eu19.visual.force.com/0011i000001xoTQAAY","Tan, Elaine")</f>
        <v>Tan, Elaine</v>
      </c>
      <c r="B4823" t="s">
        <v>9074</v>
      </c>
      <c r="C4823" t="s">
        <v>28</v>
      </c>
      <c r="D4823" t="s">
        <v>516</v>
      </c>
      <c r="E4823" t="s">
        <v>8</v>
      </c>
      <c r="F4823" t="s">
        <v>517</v>
      </c>
      <c r="G4823" t="s">
        <v>517</v>
      </c>
      <c r="H4823" t="s">
        <v>8</v>
      </c>
      <c r="I4823" t="s">
        <v>518</v>
      </c>
    </row>
    <row r="4824" spans="1:9" x14ac:dyDescent="0.25">
      <c r="A4824" s="1" t="str">
        <f>HYPERLINK("https://lynxcrm-apac--c.eu19.visual.force.com/0011i000001xnhaAAA","Tan, Endean")</f>
        <v>Tan, Endean</v>
      </c>
      <c r="B4824" t="s">
        <v>9075</v>
      </c>
      <c r="C4824" t="s">
        <v>28</v>
      </c>
      <c r="D4824" t="s">
        <v>261</v>
      </c>
      <c r="E4824" t="s">
        <v>8</v>
      </c>
      <c r="F4824" t="s">
        <v>261</v>
      </c>
      <c r="G4824" t="s">
        <v>347</v>
      </c>
      <c r="H4824" t="s">
        <v>347</v>
      </c>
      <c r="I4824" t="s">
        <v>260</v>
      </c>
    </row>
    <row r="4825" spans="1:9" x14ac:dyDescent="0.25">
      <c r="A4825" s="1" t="str">
        <f>HYPERLINK("https://lynxcrm-apac--c.eu19.visual.force.com/0011i000001xoLwAAI","Tan, Eng Choon")</f>
        <v>Tan, Eng Choon</v>
      </c>
      <c r="B4825" t="s">
        <v>9076</v>
      </c>
      <c r="C4825" t="s">
        <v>28</v>
      </c>
      <c r="D4825" t="s">
        <v>9077</v>
      </c>
      <c r="E4825" t="s">
        <v>8</v>
      </c>
      <c r="F4825" t="s">
        <v>377</v>
      </c>
      <c r="G4825" t="s">
        <v>2970</v>
      </c>
      <c r="H4825" t="s">
        <v>2970</v>
      </c>
      <c r="I4825" t="s">
        <v>123</v>
      </c>
    </row>
    <row r="4826" spans="1:9" x14ac:dyDescent="0.25">
      <c r="A4826" s="1" t="str">
        <f>HYPERLINK("https://lynxcrm-apac--c.eu19.visual.force.com/0011i000001xo4MAAQ","Tan, Eng Chun")</f>
        <v>Tan, Eng Chun</v>
      </c>
      <c r="B4826" t="s">
        <v>9078</v>
      </c>
      <c r="C4826" t="s">
        <v>28</v>
      </c>
      <c r="D4826" t="s">
        <v>9079</v>
      </c>
      <c r="E4826" t="s">
        <v>8</v>
      </c>
      <c r="F4826" t="s">
        <v>2993</v>
      </c>
      <c r="G4826" t="s">
        <v>2994</v>
      </c>
      <c r="H4826" t="s">
        <v>2994</v>
      </c>
      <c r="I4826" t="s">
        <v>2996</v>
      </c>
    </row>
    <row r="4827" spans="1:9" x14ac:dyDescent="0.25">
      <c r="A4827" s="1" t="str">
        <f>HYPERLINK("https://lynxcrm-apac--c.eu19.visual.force.com/0011i000001xoG8AAI","Tan, Eng Hock Melvin")</f>
        <v>Tan, Eng Hock Melvin</v>
      </c>
      <c r="B4827" t="s">
        <v>9080</v>
      </c>
      <c r="C4827" t="s">
        <v>28</v>
      </c>
      <c r="D4827" t="s">
        <v>9081</v>
      </c>
      <c r="E4827" t="s">
        <v>8</v>
      </c>
      <c r="F4827" t="s">
        <v>9082</v>
      </c>
      <c r="G4827" t="s">
        <v>9083</v>
      </c>
      <c r="H4827" t="s">
        <v>9083</v>
      </c>
      <c r="I4827" t="s">
        <v>344</v>
      </c>
    </row>
    <row r="4828" spans="1:9" x14ac:dyDescent="0.25">
      <c r="A4828" s="1" t="str">
        <f>HYPERLINK("https://lynxcrm-apac--c.eu19.visual.force.com/0011i000001xo5yAAA","Tan, Eng Kiat Kevin")</f>
        <v>Tan, Eng Kiat Kevin</v>
      </c>
      <c r="B4828" t="s">
        <v>9084</v>
      </c>
      <c r="C4828" t="s">
        <v>28</v>
      </c>
      <c r="D4828" t="s">
        <v>9085</v>
      </c>
      <c r="E4828" t="s">
        <v>8</v>
      </c>
      <c r="F4828" t="s">
        <v>377</v>
      </c>
      <c r="G4828" t="s">
        <v>8078</v>
      </c>
      <c r="H4828" t="s">
        <v>9086</v>
      </c>
      <c r="I4828" t="s">
        <v>123</v>
      </c>
    </row>
    <row r="4829" spans="1:9" x14ac:dyDescent="0.25">
      <c r="A4829" s="1" t="str">
        <f>HYPERLINK("https://lynxcrm-apac--c.eu19.visual.force.com/0011i000001xoFHAAY","Tan, Esther")</f>
        <v>Tan, Esther</v>
      </c>
      <c r="B4829" t="s">
        <v>9087</v>
      </c>
      <c r="C4829" t="s">
        <v>28</v>
      </c>
      <c r="D4829" t="s">
        <v>1930</v>
      </c>
      <c r="E4829" t="s">
        <v>8</v>
      </c>
      <c r="F4829" t="s">
        <v>360</v>
      </c>
      <c r="G4829" t="s">
        <v>1253</v>
      </c>
      <c r="H4829" t="s">
        <v>1253</v>
      </c>
      <c r="I4829" t="s">
        <v>362</v>
      </c>
    </row>
    <row r="4830" spans="1:9" x14ac:dyDescent="0.25">
      <c r="A4830" s="1" t="str">
        <f>HYPERLINK("https://lynxcrm-apac--c.eu19.visual.force.com/0011i000007F2o0AAC","Tan, Eugene Siang Joo")</f>
        <v>Tan, Eugene Siang Joo</v>
      </c>
      <c r="B4830" t="s">
        <v>9088</v>
      </c>
      <c r="C4830" t="s">
        <v>28</v>
      </c>
      <c r="D4830" t="s">
        <v>8</v>
      </c>
      <c r="E4830" t="s">
        <v>8</v>
      </c>
      <c r="F4830" t="s">
        <v>8</v>
      </c>
      <c r="G4830" t="s">
        <v>8</v>
      </c>
      <c r="H4830" t="s">
        <v>8</v>
      </c>
      <c r="I4830" t="s">
        <v>8</v>
      </c>
    </row>
    <row r="4831" spans="1:9" x14ac:dyDescent="0.25">
      <c r="A4831" s="1" t="str">
        <f>HYPERLINK("https://lynxcrm-apac--c.eu19.visual.force.com/0011i000001xollAAA","Tan, Felicia")</f>
        <v>Tan, Felicia</v>
      </c>
      <c r="B4831" t="s">
        <v>9089</v>
      </c>
      <c r="C4831" t="s">
        <v>28</v>
      </c>
      <c r="D4831" t="s">
        <v>9090</v>
      </c>
      <c r="E4831" t="s">
        <v>8</v>
      </c>
      <c r="F4831" t="s">
        <v>2857</v>
      </c>
      <c r="G4831" t="s">
        <v>2855</v>
      </c>
      <c r="H4831" t="s">
        <v>2855</v>
      </c>
      <c r="I4831" t="s">
        <v>2835</v>
      </c>
    </row>
    <row r="4832" spans="1:9" x14ac:dyDescent="0.25">
      <c r="A4832" s="1" t="str">
        <f>HYPERLINK("https://lynxcrm-apac--c.eu19.visual.force.com/0011i00000wTpT5AAK","Tan, Felix")</f>
        <v>Tan, Felix</v>
      </c>
      <c r="B4832" t="s">
        <v>9091</v>
      </c>
      <c r="C4832" t="s">
        <v>28</v>
      </c>
      <c r="D4832" t="s">
        <v>9092</v>
      </c>
      <c r="E4832" t="s">
        <v>8</v>
      </c>
      <c r="F4832" t="s">
        <v>9093</v>
      </c>
      <c r="G4832" t="s">
        <v>9094</v>
      </c>
      <c r="H4832" t="s">
        <v>9094</v>
      </c>
      <c r="I4832" t="s">
        <v>9095</v>
      </c>
    </row>
    <row r="4833" spans="1:9" x14ac:dyDescent="0.25">
      <c r="A4833" s="1" t="str">
        <f>HYPERLINK("https://lynxcrm-apac--c.eu19.visual.force.com/0011i000001xnrtAAA","Tan, Gee Hwa")</f>
        <v>Tan, Gee Hwa</v>
      </c>
      <c r="B4833" t="s">
        <v>9096</v>
      </c>
      <c r="C4833" t="s">
        <v>28</v>
      </c>
      <c r="D4833" t="s">
        <v>9097</v>
      </c>
      <c r="E4833" t="s">
        <v>8</v>
      </c>
      <c r="F4833" t="s">
        <v>9098</v>
      </c>
      <c r="G4833" t="s">
        <v>2465</v>
      </c>
      <c r="H4833" t="s">
        <v>9099</v>
      </c>
      <c r="I4833" t="s">
        <v>9100</v>
      </c>
    </row>
    <row r="4834" spans="1:9" x14ac:dyDescent="0.25">
      <c r="A4834" s="1" t="str">
        <f>HYPERLINK("https://lynxcrm-apac--c.eu19.visual.force.com/0011i000001xnruAAA","Tan, Gek Hua")</f>
        <v>Tan, Gek Hua</v>
      </c>
      <c r="B4834" t="s">
        <v>9101</v>
      </c>
      <c r="C4834" t="s">
        <v>28</v>
      </c>
      <c r="D4834" t="s">
        <v>6276</v>
      </c>
      <c r="E4834" t="s">
        <v>8</v>
      </c>
      <c r="F4834" t="s">
        <v>6277</v>
      </c>
      <c r="G4834" t="s">
        <v>6278</v>
      </c>
      <c r="H4834" t="s">
        <v>6279</v>
      </c>
      <c r="I4834" t="s">
        <v>4144</v>
      </c>
    </row>
    <row r="4835" spans="1:9" x14ac:dyDescent="0.25">
      <c r="A4835" s="1" t="str">
        <f>HYPERLINK("https://lynxcrm-apac--c.eu19.visual.force.com/0011i000001xnrvAAA","Tan, Gek Ngor")</f>
        <v>Tan, Gek Ngor</v>
      </c>
      <c r="B4835" t="s">
        <v>9102</v>
      </c>
      <c r="C4835" t="s">
        <v>28</v>
      </c>
      <c r="D4835" t="s">
        <v>1187</v>
      </c>
      <c r="E4835" t="s">
        <v>8</v>
      </c>
      <c r="F4835" t="s">
        <v>3537</v>
      </c>
      <c r="G4835" t="s">
        <v>3538</v>
      </c>
      <c r="H4835" t="s">
        <v>3539</v>
      </c>
      <c r="I4835" t="s">
        <v>3540</v>
      </c>
    </row>
    <row r="4836" spans="1:9" x14ac:dyDescent="0.25">
      <c r="A4836" s="1" t="str">
        <f>HYPERLINK("https://lynxcrm-apac--c.eu19.visual.force.com/0011i000001xnrwAAA","Tan, Gek Young")</f>
        <v>Tan, Gek Young</v>
      </c>
      <c r="B4836" t="s">
        <v>9103</v>
      </c>
      <c r="C4836" t="s">
        <v>28</v>
      </c>
      <c r="D4836" t="s">
        <v>9104</v>
      </c>
      <c r="E4836" t="s">
        <v>8</v>
      </c>
      <c r="F4836" t="s">
        <v>9105</v>
      </c>
      <c r="G4836" t="s">
        <v>654</v>
      </c>
      <c r="H4836" t="s">
        <v>9106</v>
      </c>
      <c r="I4836" t="s">
        <v>9107</v>
      </c>
    </row>
    <row r="4837" spans="1:9" x14ac:dyDescent="0.25">
      <c r="A4837" s="1" t="str">
        <f>HYPERLINK("https://lynxcrm-apac--c.eu19.visual.force.com/0011i000001xns0AAA","Tan, Hai Chuang")</f>
        <v>Tan, Hai Chuang</v>
      </c>
      <c r="B4837" t="s">
        <v>9108</v>
      </c>
      <c r="C4837" t="s">
        <v>28</v>
      </c>
      <c r="D4837" t="s">
        <v>9109</v>
      </c>
      <c r="E4837" t="s">
        <v>8</v>
      </c>
      <c r="F4837" t="s">
        <v>5787</v>
      </c>
      <c r="G4837" t="s">
        <v>5788</v>
      </c>
      <c r="H4837" t="s">
        <v>5789</v>
      </c>
      <c r="I4837" t="s">
        <v>5790</v>
      </c>
    </row>
    <row r="4838" spans="1:9" x14ac:dyDescent="0.25">
      <c r="A4838" s="1" t="str">
        <f>HYPERLINK("https://lynxcrm-apac--c.eu19.visual.force.com/0011i000001xo61AAA","Tan, Hak Koon")</f>
        <v>Tan, Hak Koon</v>
      </c>
      <c r="B4838" t="s">
        <v>9110</v>
      </c>
      <c r="C4838" t="s">
        <v>28</v>
      </c>
      <c r="D4838" t="s">
        <v>251</v>
      </c>
      <c r="E4838" t="s">
        <v>8</v>
      </c>
      <c r="F4838" t="s">
        <v>2244</v>
      </c>
      <c r="G4838" t="s">
        <v>252</v>
      </c>
      <c r="H4838" t="s">
        <v>858</v>
      </c>
      <c r="I4838" t="s">
        <v>253</v>
      </c>
    </row>
    <row r="4839" spans="1:9" x14ac:dyDescent="0.25">
      <c r="A4839" s="1" t="str">
        <f>HYPERLINK("https://lynxcrm-apac--c.eu19.visual.force.com/0011i000001xoemAAA","Tan, Han Yong")</f>
        <v>Tan, Han Yong</v>
      </c>
      <c r="B4839" t="s">
        <v>9111</v>
      </c>
      <c r="C4839" t="s">
        <v>28</v>
      </c>
      <c r="D4839" t="s">
        <v>1698</v>
      </c>
      <c r="E4839" t="s">
        <v>8</v>
      </c>
      <c r="F4839" t="s">
        <v>1699</v>
      </c>
      <c r="G4839" t="s">
        <v>1521</v>
      </c>
      <c r="H4839" t="s">
        <v>1700</v>
      </c>
      <c r="I4839" t="s">
        <v>1701</v>
      </c>
    </row>
    <row r="4840" spans="1:9" x14ac:dyDescent="0.25">
      <c r="A4840" s="1" t="str">
        <f>HYPERLINK("https://lynxcrm-apac--c.eu19.visual.force.com/0011i000001xoJAAAY","Tan, Heng Kwang")</f>
        <v>Tan, Heng Kwang</v>
      </c>
      <c r="B4840" t="s">
        <v>9112</v>
      </c>
      <c r="C4840" t="s">
        <v>28</v>
      </c>
      <c r="D4840" t="s">
        <v>9113</v>
      </c>
      <c r="E4840" t="s">
        <v>8</v>
      </c>
      <c r="F4840" t="s">
        <v>6955</v>
      </c>
      <c r="G4840" t="s">
        <v>6956</v>
      </c>
      <c r="H4840" t="s">
        <v>6957</v>
      </c>
      <c r="I4840" t="s">
        <v>1061</v>
      </c>
    </row>
    <row r="4841" spans="1:9" x14ac:dyDescent="0.25">
      <c r="A4841" s="1" t="str">
        <f>HYPERLINK("https://lynxcrm-apac--c.eu19.visual.force.com/0011i000001xnqrAAA","Tan, Hing Chan")</f>
        <v>Tan, Hing Chan</v>
      </c>
      <c r="B4841" t="s">
        <v>9114</v>
      </c>
      <c r="C4841" t="s">
        <v>28</v>
      </c>
      <c r="D4841" t="s">
        <v>251</v>
      </c>
      <c r="E4841" t="s">
        <v>8</v>
      </c>
      <c r="F4841" t="s">
        <v>246</v>
      </c>
      <c r="G4841" t="s">
        <v>252</v>
      </c>
      <c r="H4841" t="s">
        <v>858</v>
      </c>
      <c r="I4841" t="s">
        <v>253</v>
      </c>
    </row>
    <row r="4842" spans="1:9" x14ac:dyDescent="0.25">
      <c r="A4842" s="1" t="str">
        <f>HYPERLINK("https://lynxcrm-apac--c.eu19.visual.force.com/0011i000001xnqrAAA","Tan, Hing Chan")</f>
        <v>Tan, Hing Chan</v>
      </c>
      <c r="B4842" t="s">
        <v>9114</v>
      </c>
      <c r="C4842" t="s">
        <v>28</v>
      </c>
      <c r="D4842" t="s">
        <v>251</v>
      </c>
      <c r="E4842" t="s">
        <v>8</v>
      </c>
      <c r="F4842" t="s">
        <v>251</v>
      </c>
      <c r="G4842" t="s">
        <v>252</v>
      </c>
      <c r="H4842" t="s">
        <v>252</v>
      </c>
      <c r="I4842" t="s">
        <v>253</v>
      </c>
    </row>
    <row r="4843" spans="1:9" x14ac:dyDescent="0.25">
      <c r="A4843" s="1" t="str">
        <f>HYPERLINK("https://lynxcrm-apac--c.eu19.visual.force.com/0011i000001xnpQAAQ","Tan, Hong Chang")</f>
        <v>Tan, Hong Chang</v>
      </c>
      <c r="B4843" t="s">
        <v>9115</v>
      </c>
      <c r="C4843" t="s">
        <v>28</v>
      </c>
      <c r="D4843" t="s">
        <v>251</v>
      </c>
      <c r="E4843" t="s">
        <v>8</v>
      </c>
      <c r="F4843" t="s">
        <v>251</v>
      </c>
      <c r="G4843" t="s">
        <v>252</v>
      </c>
      <c r="H4843" t="s">
        <v>252</v>
      </c>
      <c r="I4843" t="s">
        <v>253</v>
      </c>
    </row>
    <row r="4844" spans="1:9" x14ac:dyDescent="0.25">
      <c r="A4844" s="1" t="str">
        <f>HYPERLINK("https://lynxcrm-apac--c.eu19.visual.force.com/0011i00000Xf1HBAAZ","Tan, Hon Lyn")</f>
        <v>Tan, Hon Lyn</v>
      </c>
      <c r="B4844" t="s">
        <v>9116</v>
      </c>
      <c r="C4844" t="s">
        <v>28</v>
      </c>
      <c r="D4844" t="s">
        <v>429</v>
      </c>
      <c r="E4844" t="s">
        <v>8</v>
      </c>
      <c r="F4844" t="s">
        <v>594</v>
      </c>
      <c r="G4844" t="s">
        <v>595</v>
      </c>
      <c r="H4844" t="s">
        <v>8</v>
      </c>
      <c r="I4844" t="s">
        <v>596</v>
      </c>
    </row>
    <row r="4845" spans="1:9" x14ac:dyDescent="0.25">
      <c r="A4845" s="1" t="str">
        <f>HYPERLINK("https://lynxcrm-apac--c.eu19.visual.force.com/0011i000001xns2AAA","Tan, Hooi Hwa")</f>
        <v>Tan, Hooi Hwa</v>
      </c>
      <c r="B4845" t="s">
        <v>9117</v>
      </c>
      <c r="C4845" t="s">
        <v>28</v>
      </c>
      <c r="D4845" t="s">
        <v>5215</v>
      </c>
      <c r="E4845" t="s">
        <v>8</v>
      </c>
      <c r="F4845" t="s">
        <v>1849</v>
      </c>
      <c r="G4845" t="s">
        <v>5213</v>
      </c>
      <c r="H4845" t="s">
        <v>5214</v>
      </c>
      <c r="I4845" t="s">
        <v>51</v>
      </c>
    </row>
    <row r="4846" spans="1:9" x14ac:dyDescent="0.25">
      <c r="A4846" s="1" t="str">
        <f>HYPERLINK("https://lynxcrm-apac--c.eu19.visual.force.com/0011i000001xns3AAA","Tan, How Koon")</f>
        <v>Tan, How Koon</v>
      </c>
      <c r="B4846" t="s">
        <v>9118</v>
      </c>
      <c r="C4846" t="s">
        <v>28</v>
      </c>
      <c r="D4846" t="s">
        <v>3280</v>
      </c>
      <c r="E4846" t="s">
        <v>8</v>
      </c>
      <c r="F4846" t="s">
        <v>6625</v>
      </c>
      <c r="G4846" t="s">
        <v>6626</v>
      </c>
      <c r="H4846" t="s">
        <v>6627</v>
      </c>
      <c r="I4846" t="s">
        <v>6628</v>
      </c>
    </row>
    <row r="4847" spans="1:9" x14ac:dyDescent="0.25">
      <c r="A4847" s="1" t="str">
        <f>HYPERLINK("https://lynxcrm-apac--c.eu19.visual.force.com/0011i000001xo2IAAQ","Tan, Hsien Yung David")</f>
        <v>Tan, Hsien Yung David</v>
      </c>
      <c r="B4847" t="s">
        <v>9119</v>
      </c>
      <c r="C4847" t="s">
        <v>28</v>
      </c>
      <c r="D4847" t="s">
        <v>709</v>
      </c>
      <c r="E4847" t="s">
        <v>8</v>
      </c>
      <c r="F4847" t="s">
        <v>710</v>
      </c>
      <c r="G4847" t="s">
        <v>135</v>
      </c>
      <c r="H4847" t="s">
        <v>135</v>
      </c>
      <c r="I4847" t="s">
        <v>711</v>
      </c>
    </row>
    <row r="4848" spans="1:9" x14ac:dyDescent="0.25">
      <c r="A4848" s="1" t="str">
        <f>HYPERLINK("https://lynxcrm-apac--c.eu19.visual.force.com/0011i000001xo63AAA","Tan, Huay Cheem")</f>
        <v>Tan, Huay Cheem</v>
      </c>
      <c r="B4848" t="s">
        <v>9120</v>
      </c>
      <c r="C4848" t="s">
        <v>28</v>
      </c>
      <c r="D4848" t="s">
        <v>429</v>
      </c>
      <c r="E4848" t="s">
        <v>8</v>
      </c>
      <c r="F4848" t="s">
        <v>234</v>
      </c>
      <c r="G4848" t="s">
        <v>428</v>
      </c>
      <c r="H4848" t="s">
        <v>428</v>
      </c>
      <c r="I4848" t="s">
        <v>430</v>
      </c>
    </row>
    <row r="4849" spans="1:9" x14ac:dyDescent="0.25">
      <c r="A4849" s="1" t="str">
        <f>HYPERLINK("https://lynxcrm-apac--c.eu19.visual.force.com/0011i000001xo63AAA","Tan, Huay Cheem")</f>
        <v>Tan, Huay Cheem</v>
      </c>
      <c r="B4849" t="s">
        <v>9120</v>
      </c>
      <c r="C4849" t="s">
        <v>28</v>
      </c>
      <c r="D4849" t="s">
        <v>429</v>
      </c>
      <c r="E4849" t="s">
        <v>8</v>
      </c>
      <c r="F4849" t="s">
        <v>429</v>
      </c>
      <c r="G4849" t="s">
        <v>428</v>
      </c>
      <c r="H4849" t="s">
        <v>428</v>
      </c>
      <c r="I4849" t="s">
        <v>430</v>
      </c>
    </row>
    <row r="4850" spans="1:9" x14ac:dyDescent="0.25">
      <c r="A4850" s="1" t="str">
        <f>HYPERLINK("https://lynxcrm-apac--c.eu19.visual.force.com/0011i000001xoB4AAI","Tan, Huei Nuo")</f>
        <v>Tan, Huei Nuo</v>
      </c>
      <c r="B4850" t="s">
        <v>9121</v>
      </c>
      <c r="C4850" t="s">
        <v>28</v>
      </c>
      <c r="D4850" t="s">
        <v>261</v>
      </c>
      <c r="E4850" t="s">
        <v>8</v>
      </c>
      <c r="F4850" t="s">
        <v>359</v>
      </c>
      <c r="G4850" t="s">
        <v>258</v>
      </c>
      <c r="H4850" t="s">
        <v>259</v>
      </c>
      <c r="I4850" t="s">
        <v>260</v>
      </c>
    </row>
    <row r="4851" spans="1:9" x14ac:dyDescent="0.25">
      <c r="A4851" s="1" t="str">
        <f>HYPERLINK("https://lynxcrm-apac--c.eu19.visual.force.com/0011i000001xns4AAA","Tan, Hui Hoon Rebecca")</f>
        <v>Tan, Hui Hoon Rebecca</v>
      </c>
      <c r="B4851" t="s">
        <v>9122</v>
      </c>
      <c r="C4851" t="s">
        <v>28</v>
      </c>
      <c r="D4851" t="s">
        <v>3503</v>
      </c>
      <c r="E4851" t="s">
        <v>8</v>
      </c>
      <c r="F4851" t="s">
        <v>456</v>
      </c>
      <c r="G4851" t="s">
        <v>2866</v>
      </c>
      <c r="H4851" t="s">
        <v>2867</v>
      </c>
      <c r="I4851" t="s">
        <v>458</v>
      </c>
    </row>
    <row r="4852" spans="1:9" x14ac:dyDescent="0.25">
      <c r="A4852" s="1" t="str">
        <f t="shared" ref="A4852:A4864" si="47">HYPERLINK("https://lynxcrm-apac--c.eu19.visual.force.com/0011i000007E9xHAAS","Tan, Hui Hui")</f>
        <v>Tan, Hui Hui</v>
      </c>
      <c r="B4852" t="s">
        <v>9123</v>
      </c>
      <c r="C4852" t="s">
        <v>28</v>
      </c>
      <c r="D4852" t="s">
        <v>164</v>
      </c>
      <c r="E4852" t="s">
        <v>8</v>
      </c>
      <c r="F4852" t="s">
        <v>236</v>
      </c>
      <c r="G4852" t="s">
        <v>237</v>
      </c>
      <c r="H4852" t="s">
        <v>237</v>
      </c>
      <c r="I4852" t="s">
        <v>165</v>
      </c>
    </row>
    <row r="4853" spans="1:9" x14ac:dyDescent="0.25">
      <c r="A4853" s="1" t="str">
        <f t="shared" si="47"/>
        <v>Tan, Hui Hui</v>
      </c>
      <c r="B4853" t="s">
        <v>9123</v>
      </c>
      <c r="C4853" t="s">
        <v>28</v>
      </c>
      <c r="D4853" t="s">
        <v>164</v>
      </c>
      <c r="E4853" t="s">
        <v>8</v>
      </c>
      <c r="F4853" t="s">
        <v>238</v>
      </c>
      <c r="G4853" t="s">
        <v>163</v>
      </c>
      <c r="H4853" t="s">
        <v>163</v>
      </c>
      <c r="I4853" t="s">
        <v>165</v>
      </c>
    </row>
    <row r="4854" spans="1:9" x14ac:dyDescent="0.25">
      <c r="A4854" s="1" t="str">
        <f t="shared" si="47"/>
        <v>Tan, Hui Hui</v>
      </c>
      <c r="B4854" t="s">
        <v>9123</v>
      </c>
      <c r="C4854" t="s">
        <v>28</v>
      </c>
      <c r="D4854" t="s">
        <v>164</v>
      </c>
      <c r="E4854" t="s">
        <v>8</v>
      </c>
      <c r="F4854" t="s">
        <v>239</v>
      </c>
      <c r="G4854" t="s">
        <v>163</v>
      </c>
      <c r="H4854" t="s">
        <v>163</v>
      </c>
      <c r="I4854" t="s">
        <v>165</v>
      </c>
    </row>
    <row r="4855" spans="1:9" x14ac:dyDescent="0.25">
      <c r="A4855" s="1" t="str">
        <f t="shared" si="47"/>
        <v>Tan, Hui Hui</v>
      </c>
      <c r="B4855" t="s">
        <v>9123</v>
      </c>
      <c r="C4855" t="s">
        <v>28</v>
      </c>
      <c r="D4855" t="s">
        <v>164</v>
      </c>
      <c r="E4855" t="s">
        <v>8</v>
      </c>
      <c r="F4855" t="s">
        <v>240</v>
      </c>
      <c r="G4855" t="s">
        <v>163</v>
      </c>
      <c r="H4855" t="s">
        <v>163</v>
      </c>
      <c r="I4855" t="s">
        <v>165</v>
      </c>
    </row>
    <row r="4856" spans="1:9" x14ac:dyDescent="0.25">
      <c r="A4856" s="1" t="str">
        <f t="shared" si="47"/>
        <v>Tan, Hui Hui</v>
      </c>
      <c r="B4856" t="s">
        <v>9123</v>
      </c>
      <c r="C4856" t="s">
        <v>28</v>
      </c>
      <c r="D4856" t="s">
        <v>164</v>
      </c>
      <c r="E4856" t="s">
        <v>8</v>
      </c>
      <c r="F4856" t="s">
        <v>234</v>
      </c>
      <c r="G4856" t="s">
        <v>163</v>
      </c>
      <c r="H4856" t="s">
        <v>163</v>
      </c>
      <c r="I4856" t="s">
        <v>235</v>
      </c>
    </row>
    <row r="4857" spans="1:9" x14ac:dyDescent="0.25">
      <c r="A4857" s="1" t="str">
        <f t="shared" si="47"/>
        <v>Tan, Hui Hui</v>
      </c>
      <c r="B4857" t="s">
        <v>9123</v>
      </c>
      <c r="C4857" t="s">
        <v>28</v>
      </c>
      <c r="D4857" t="s">
        <v>164</v>
      </c>
      <c r="E4857" t="s">
        <v>8</v>
      </c>
      <c r="F4857" t="s">
        <v>241</v>
      </c>
      <c r="G4857" t="s">
        <v>163</v>
      </c>
      <c r="H4857" t="s">
        <v>242</v>
      </c>
      <c r="I4857" t="s">
        <v>165</v>
      </c>
    </row>
    <row r="4858" spans="1:9" x14ac:dyDescent="0.25">
      <c r="A4858" s="1" t="str">
        <f t="shared" si="47"/>
        <v>Tan, Hui Hui</v>
      </c>
      <c r="B4858" t="s">
        <v>9123</v>
      </c>
      <c r="C4858" t="s">
        <v>28</v>
      </c>
      <c r="D4858" t="s">
        <v>164</v>
      </c>
      <c r="E4858" t="s">
        <v>8</v>
      </c>
      <c r="F4858" t="s">
        <v>243</v>
      </c>
      <c r="G4858" t="s">
        <v>163</v>
      </c>
      <c r="H4858" t="s">
        <v>163</v>
      </c>
      <c r="I4858" t="s">
        <v>244</v>
      </c>
    </row>
    <row r="4859" spans="1:9" x14ac:dyDescent="0.25">
      <c r="A4859" s="1" t="str">
        <f t="shared" si="47"/>
        <v>Tan, Hui Hui</v>
      </c>
      <c r="B4859" t="s">
        <v>9123</v>
      </c>
      <c r="C4859" t="s">
        <v>28</v>
      </c>
      <c r="D4859" t="s">
        <v>164</v>
      </c>
      <c r="E4859" t="s">
        <v>8</v>
      </c>
      <c r="F4859" t="s">
        <v>245</v>
      </c>
      <c r="G4859" t="s">
        <v>163</v>
      </c>
      <c r="H4859" t="s">
        <v>163</v>
      </c>
      <c r="I4859" t="s">
        <v>165</v>
      </c>
    </row>
    <row r="4860" spans="1:9" x14ac:dyDescent="0.25">
      <c r="A4860" s="1" t="str">
        <f t="shared" si="47"/>
        <v>Tan, Hui Hui</v>
      </c>
      <c r="B4860" t="s">
        <v>9123</v>
      </c>
      <c r="C4860" t="s">
        <v>28</v>
      </c>
      <c r="D4860" t="s">
        <v>164</v>
      </c>
      <c r="E4860" t="s">
        <v>8</v>
      </c>
      <c r="F4860" t="s">
        <v>246</v>
      </c>
      <c r="G4860" t="s">
        <v>163</v>
      </c>
      <c r="H4860" t="s">
        <v>163</v>
      </c>
      <c r="I4860" t="s">
        <v>244</v>
      </c>
    </row>
    <row r="4861" spans="1:9" x14ac:dyDescent="0.25">
      <c r="A4861" s="1" t="str">
        <f t="shared" si="47"/>
        <v>Tan, Hui Hui</v>
      </c>
      <c r="B4861" t="s">
        <v>9123</v>
      </c>
      <c r="C4861" t="s">
        <v>28</v>
      </c>
      <c r="D4861" t="s">
        <v>164</v>
      </c>
      <c r="E4861" t="s">
        <v>8</v>
      </c>
      <c r="F4861" t="s">
        <v>247</v>
      </c>
      <c r="G4861" t="s">
        <v>163</v>
      </c>
      <c r="H4861" t="s">
        <v>242</v>
      </c>
      <c r="I4861" t="s">
        <v>165</v>
      </c>
    </row>
    <row r="4862" spans="1:9" x14ac:dyDescent="0.25">
      <c r="A4862" s="1" t="str">
        <f t="shared" si="47"/>
        <v>Tan, Hui Hui</v>
      </c>
      <c r="B4862" t="s">
        <v>9123</v>
      </c>
      <c r="C4862" t="s">
        <v>28</v>
      </c>
      <c r="D4862" t="s">
        <v>164</v>
      </c>
      <c r="E4862" t="s">
        <v>8</v>
      </c>
      <c r="F4862" t="s">
        <v>248</v>
      </c>
      <c r="G4862" t="s">
        <v>163</v>
      </c>
      <c r="H4862" t="s">
        <v>242</v>
      </c>
      <c r="I4862" t="s">
        <v>165</v>
      </c>
    </row>
    <row r="4863" spans="1:9" x14ac:dyDescent="0.25">
      <c r="A4863" s="1" t="str">
        <f t="shared" si="47"/>
        <v>Tan, Hui Hui</v>
      </c>
      <c r="B4863" t="s">
        <v>9123</v>
      </c>
      <c r="C4863" t="s">
        <v>28</v>
      </c>
      <c r="D4863" t="s">
        <v>164</v>
      </c>
      <c r="E4863" t="s">
        <v>8</v>
      </c>
      <c r="F4863" t="s">
        <v>249</v>
      </c>
      <c r="G4863" t="s">
        <v>163</v>
      </c>
      <c r="H4863" t="s">
        <v>163</v>
      </c>
      <c r="I4863" t="s">
        <v>165</v>
      </c>
    </row>
    <row r="4864" spans="1:9" x14ac:dyDescent="0.25">
      <c r="A4864" s="1" t="str">
        <f t="shared" si="47"/>
        <v>Tan, Hui Hui</v>
      </c>
      <c r="B4864" t="s">
        <v>9123</v>
      </c>
      <c r="C4864" t="s">
        <v>28</v>
      </c>
      <c r="D4864" t="s">
        <v>164</v>
      </c>
      <c r="E4864" t="s">
        <v>8</v>
      </c>
      <c r="F4864" t="s">
        <v>234</v>
      </c>
      <c r="G4864" t="s">
        <v>163</v>
      </c>
      <c r="H4864" t="s">
        <v>163</v>
      </c>
      <c r="I4864" t="s">
        <v>244</v>
      </c>
    </row>
    <row r="4865" spans="1:9" x14ac:dyDescent="0.25">
      <c r="A4865" s="1" t="str">
        <f>HYPERLINK("https://lynxcrm-apac--c.eu19.visual.force.com/0011i000001xnhCAAQ","Tan, Hui Ling Diana")</f>
        <v>Tan, Hui Ling Diana</v>
      </c>
      <c r="B4865" t="s">
        <v>9124</v>
      </c>
      <c r="C4865" t="s">
        <v>28</v>
      </c>
      <c r="D4865" t="s">
        <v>9125</v>
      </c>
      <c r="E4865" t="s">
        <v>8</v>
      </c>
      <c r="F4865" t="s">
        <v>8418</v>
      </c>
      <c r="G4865" t="s">
        <v>4625</v>
      </c>
      <c r="H4865" t="s">
        <v>4625</v>
      </c>
      <c r="I4865" t="s">
        <v>2377</v>
      </c>
    </row>
    <row r="4866" spans="1:9" x14ac:dyDescent="0.25">
      <c r="A4866" s="1" t="str">
        <f>HYPERLINK("https://lynxcrm-apac--c.eu19.visual.force.com/0011i000001xns6AAA","Tan, Hui Mien Helen")</f>
        <v>Tan, Hui Mien Helen</v>
      </c>
      <c r="B4866" t="s">
        <v>9126</v>
      </c>
      <c r="C4866" t="s">
        <v>28</v>
      </c>
      <c r="D4866" t="s">
        <v>9127</v>
      </c>
      <c r="E4866" t="s">
        <v>8</v>
      </c>
      <c r="F4866" t="s">
        <v>6375</v>
      </c>
      <c r="G4866" t="s">
        <v>7573</v>
      </c>
      <c r="H4866" t="s">
        <v>7574</v>
      </c>
      <c r="I4866" t="s">
        <v>6377</v>
      </c>
    </row>
    <row r="4867" spans="1:9" x14ac:dyDescent="0.25">
      <c r="A4867" s="1" t="str">
        <f>HYPERLINK("https://lynxcrm-apac--c.eu19.visual.force.com/0011i000001xofBAAQ","Tan, Hui Nuo")</f>
        <v>Tan, Hui Nuo</v>
      </c>
      <c r="B4867" t="s">
        <v>9128</v>
      </c>
      <c r="C4867" t="s">
        <v>28</v>
      </c>
      <c r="D4867" t="s">
        <v>1930</v>
      </c>
      <c r="E4867" t="s">
        <v>8</v>
      </c>
      <c r="F4867" t="s">
        <v>258</v>
      </c>
      <c r="G4867" t="s">
        <v>261</v>
      </c>
      <c r="H4867" t="s">
        <v>261</v>
      </c>
      <c r="I4867" t="s">
        <v>260</v>
      </c>
    </row>
    <row r="4868" spans="1:9" x14ac:dyDescent="0.25">
      <c r="A4868" s="1" t="str">
        <f>HYPERLINK("https://lynxcrm-apac--c.eu19.visual.force.com/0011i000001xns9AAA","Tan, Hung Chai")</f>
        <v>Tan, Hung Chai</v>
      </c>
      <c r="B4868" t="s">
        <v>9129</v>
      </c>
      <c r="C4868" t="s">
        <v>28</v>
      </c>
      <c r="D4868" t="s">
        <v>9130</v>
      </c>
      <c r="E4868" t="s">
        <v>8</v>
      </c>
      <c r="F4868" t="s">
        <v>9131</v>
      </c>
      <c r="G4868" t="s">
        <v>2191</v>
      </c>
      <c r="H4868" t="s">
        <v>9132</v>
      </c>
      <c r="I4868" t="s">
        <v>9133</v>
      </c>
    </row>
    <row r="4869" spans="1:9" x14ac:dyDescent="0.25">
      <c r="A4869" s="1" t="str">
        <f>HYPERLINK("https://lynxcrm-apac--c.eu19.visual.force.com/0011i000001xoIAAAY","Tan, Hun Hoe")</f>
        <v>Tan, Hun Hoe</v>
      </c>
      <c r="B4869" t="s">
        <v>9134</v>
      </c>
      <c r="C4869" t="s">
        <v>28</v>
      </c>
      <c r="D4869" t="s">
        <v>9135</v>
      </c>
      <c r="E4869" t="s">
        <v>8</v>
      </c>
      <c r="F4869" t="s">
        <v>9136</v>
      </c>
      <c r="G4869" t="s">
        <v>9137</v>
      </c>
      <c r="H4869" t="s">
        <v>9137</v>
      </c>
      <c r="I4869" t="s">
        <v>9138</v>
      </c>
    </row>
    <row r="4870" spans="1:9" x14ac:dyDescent="0.25">
      <c r="A4870" s="1" t="str">
        <f t="shared" ref="A4870:A4882" si="48">HYPERLINK("https://lynxcrm-apac--c.eu19.visual.force.com/0011i000001xob9AAA","Tan, Hwee Sim")</f>
        <v>Tan, Hwee Sim</v>
      </c>
      <c r="B4870" t="s">
        <v>9139</v>
      </c>
      <c r="C4870" t="s">
        <v>28</v>
      </c>
      <c r="D4870" t="s">
        <v>164</v>
      </c>
      <c r="E4870" t="s">
        <v>8</v>
      </c>
      <c r="F4870" t="s">
        <v>240</v>
      </c>
      <c r="G4870" t="s">
        <v>163</v>
      </c>
      <c r="H4870" t="s">
        <v>163</v>
      </c>
      <c r="I4870" t="s">
        <v>165</v>
      </c>
    </row>
    <row r="4871" spans="1:9" x14ac:dyDescent="0.25">
      <c r="A4871" s="1" t="str">
        <f t="shared" si="48"/>
        <v>Tan, Hwee Sim</v>
      </c>
      <c r="B4871" t="s">
        <v>9139</v>
      </c>
      <c r="C4871" t="s">
        <v>28</v>
      </c>
      <c r="D4871" t="s">
        <v>164</v>
      </c>
      <c r="E4871" t="s">
        <v>8</v>
      </c>
      <c r="F4871" t="s">
        <v>236</v>
      </c>
      <c r="G4871" t="s">
        <v>237</v>
      </c>
      <c r="H4871" t="s">
        <v>237</v>
      </c>
      <c r="I4871" t="s">
        <v>165</v>
      </c>
    </row>
    <row r="4872" spans="1:9" x14ac:dyDescent="0.25">
      <c r="A4872" s="1" t="str">
        <f t="shared" si="48"/>
        <v>Tan, Hwee Sim</v>
      </c>
      <c r="B4872" t="s">
        <v>9139</v>
      </c>
      <c r="C4872" t="s">
        <v>28</v>
      </c>
      <c r="D4872" t="s">
        <v>164</v>
      </c>
      <c r="E4872" t="s">
        <v>8</v>
      </c>
      <c r="F4872" t="s">
        <v>238</v>
      </c>
      <c r="G4872" t="s">
        <v>163</v>
      </c>
      <c r="H4872" t="s">
        <v>163</v>
      </c>
      <c r="I4872" t="s">
        <v>165</v>
      </c>
    </row>
    <row r="4873" spans="1:9" x14ac:dyDescent="0.25">
      <c r="A4873" s="1" t="str">
        <f t="shared" si="48"/>
        <v>Tan, Hwee Sim</v>
      </c>
      <c r="B4873" t="s">
        <v>9139</v>
      </c>
      <c r="C4873" t="s">
        <v>28</v>
      </c>
      <c r="D4873" t="s">
        <v>164</v>
      </c>
      <c r="E4873" t="s">
        <v>8</v>
      </c>
      <c r="F4873" t="s">
        <v>239</v>
      </c>
      <c r="G4873" t="s">
        <v>163</v>
      </c>
      <c r="H4873" t="s">
        <v>163</v>
      </c>
      <c r="I4873" t="s">
        <v>165</v>
      </c>
    </row>
    <row r="4874" spans="1:9" x14ac:dyDescent="0.25">
      <c r="A4874" s="1" t="str">
        <f t="shared" si="48"/>
        <v>Tan, Hwee Sim</v>
      </c>
      <c r="B4874" t="s">
        <v>9139</v>
      </c>
      <c r="C4874" t="s">
        <v>28</v>
      </c>
      <c r="D4874" t="s">
        <v>164</v>
      </c>
      <c r="E4874" t="s">
        <v>8</v>
      </c>
      <c r="F4874" t="s">
        <v>234</v>
      </c>
      <c r="G4874" t="s">
        <v>163</v>
      </c>
      <c r="H4874" t="s">
        <v>163</v>
      </c>
      <c r="I4874" t="s">
        <v>235</v>
      </c>
    </row>
    <row r="4875" spans="1:9" x14ac:dyDescent="0.25">
      <c r="A4875" s="1" t="str">
        <f t="shared" si="48"/>
        <v>Tan, Hwee Sim</v>
      </c>
      <c r="B4875" t="s">
        <v>9139</v>
      </c>
      <c r="C4875" t="s">
        <v>28</v>
      </c>
      <c r="D4875" t="s">
        <v>164</v>
      </c>
      <c r="E4875" t="s">
        <v>8</v>
      </c>
      <c r="F4875" t="s">
        <v>241</v>
      </c>
      <c r="G4875" t="s">
        <v>163</v>
      </c>
      <c r="H4875" t="s">
        <v>242</v>
      </c>
      <c r="I4875" t="s">
        <v>165</v>
      </c>
    </row>
    <row r="4876" spans="1:9" x14ac:dyDescent="0.25">
      <c r="A4876" s="1" t="str">
        <f t="shared" si="48"/>
        <v>Tan, Hwee Sim</v>
      </c>
      <c r="B4876" t="s">
        <v>9139</v>
      </c>
      <c r="C4876" t="s">
        <v>28</v>
      </c>
      <c r="D4876" t="s">
        <v>164</v>
      </c>
      <c r="E4876" t="s">
        <v>8</v>
      </c>
      <c r="F4876" t="s">
        <v>243</v>
      </c>
      <c r="G4876" t="s">
        <v>163</v>
      </c>
      <c r="H4876" t="s">
        <v>163</v>
      </c>
      <c r="I4876" t="s">
        <v>244</v>
      </c>
    </row>
    <row r="4877" spans="1:9" x14ac:dyDescent="0.25">
      <c r="A4877" s="1" t="str">
        <f t="shared" si="48"/>
        <v>Tan, Hwee Sim</v>
      </c>
      <c r="B4877" t="s">
        <v>9139</v>
      </c>
      <c r="C4877" t="s">
        <v>28</v>
      </c>
      <c r="D4877" t="s">
        <v>164</v>
      </c>
      <c r="E4877" t="s">
        <v>8</v>
      </c>
      <c r="F4877" t="s">
        <v>245</v>
      </c>
      <c r="G4877" t="s">
        <v>163</v>
      </c>
      <c r="H4877" t="s">
        <v>163</v>
      </c>
      <c r="I4877" t="s">
        <v>165</v>
      </c>
    </row>
    <row r="4878" spans="1:9" x14ac:dyDescent="0.25">
      <c r="A4878" s="1" t="str">
        <f t="shared" si="48"/>
        <v>Tan, Hwee Sim</v>
      </c>
      <c r="B4878" t="s">
        <v>9139</v>
      </c>
      <c r="C4878" t="s">
        <v>28</v>
      </c>
      <c r="D4878" t="s">
        <v>164</v>
      </c>
      <c r="E4878" t="s">
        <v>8</v>
      </c>
      <c r="F4878" t="s">
        <v>246</v>
      </c>
      <c r="G4878" t="s">
        <v>163</v>
      </c>
      <c r="H4878" t="s">
        <v>163</v>
      </c>
      <c r="I4878" t="s">
        <v>244</v>
      </c>
    </row>
    <row r="4879" spans="1:9" x14ac:dyDescent="0.25">
      <c r="A4879" s="1" t="str">
        <f t="shared" si="48"/>
        <v>Tan, Hwee Sim</v>
      </c>
      <c r="B4879" t="s">
        <v>9139</v>
      </c>
      <c r="C4879" t="s">
        <v>28</v>
      </c>
      <c r="D4879" t="s">
        <v>164</v>
      </c>
      <c r="E4879" t="s">
        <v>8</v>
      </c>
      <c r="F4879" t="s">
        <v>247</v>
      </c>
      <c r="G4879" t="s">
        <v>163</v>
      </c>
      <c r="H4879" t="s">
        <v>242</v>
      </c>
      <c r="I4879" t="s">
        <v>165</v>
      </c>
    </row>
    <row r="4880" spans="1:9" x14ac:dyDescent="0.25">
      <c r="A4880" s="1" t="str">
        <f t="shared" si="48"/>
        <v>Tan, Hwee Sim</v>
      </c>
      <c r="B4880" t="s">
        <v>9139</v>
      </c>
      <c r="C4880" t="s">
        <v>28</v>
      </c>
      <c r="D4880" t="s">
        <v>164</v>
      </c>
      <c r="E4880" t="s">
        <v>8</v>
      </c>
      <c r="F4880" t="s">
        <v>248</v>
      </c>
      <c r="G4880" t="s">
        <v>163</v>
      </c>
      <c r="H4880" t="s">
        <v>242</v>
      </c>
      <c r="I4880" t="s">
        <v>165</v>
      </c>
    </row>
    <row r="4881" spans="1:9" x14ac:dyDescent="0.25">
      <c r="A4881" s="1" t="str">
        <f t="shared" si="48"/>
        <v>Tan, Hwee Sim</v>
      </c>
      <c r="B4881" t="s">
        <v>9139</v>
      </c>
      <c r="C4881" t="s">
        <v>28</v>
      </c>
      <c r="D4881" t="s">
        <v>164</v>
      </c>
      <c r="E4881" t="s">
        <v>8</v>
      </c>
      <c r="F4881" t="s">
        <v>249</v>
      </c>
      <c r="G4881" t="s">
        <v>163</v>
      </c>
      <c r="H4881" t="s">
        <v>163</v>
      </c>
      <c r="I4881" t="s">
        <v>165</v>
      </c>
    </row>
    <row r="4882" spans="1:9" x14ac:dyDescent="0.25">
      <c r="A4882" s="1" t="str">
        <f t="shared" si="48"/>
        <v>Tan, Hwee Sim</v>
      </c>
      <c r="B4882" t="s">
        <v>9139</v>
      </c>
      <c r="C4882" t="s">
        <v>28</v>
      </c>
      <c r="D4882" t="s">
        <v>164</v>
      </c>
      <c r="E4882" t="s">
        <v>8</v>
      </c>
      <c r="F4882" t="s">
        <v>234</v>
      </c>
      <c r="G4882" t="s">
        <v>163</v>
      </c>
      <c r="H4882" t="s">
        <v>163</v>
      </c>
      <c r="I4882" t="s">
        <v>244</v>
      </c>
    </row>
    <row r="4883" spans="1:9" x14ac:dyDescent="0.25">
      <c r="A4883" s="1" t="str">
        <f>HYPERLINK("https://lynxcrm-apac--c.eu19.visual.force.com/0011i000002IdAWAA0","Tan, Ing Tuan")</f>
        <v>Tan, Ing Tuan</v>
      </c>
      <c r="B4883" t="s">
        <v>9140</v>
      </c>
      <c r="C4883" t="s">
        <v>28</v>
      </c>
      <c r="D4883" t="s">
        <v>5353</v>
      </c>
      <c r="E4883" t="s">
        <v>8</v>
      </c>
      <c r="F4883" t="s">
        <v>5354</v>
      </c>
      <c r="G4883" t="s">
        <v>5354</v>
      </c>
      <c r="H4883" t="s">
        <v>8</v>
      </c>
      <c r="I4883" t="s">
        <v>5356</v>
      </c>
    </row>
    <row r="4884" spans="1:9" x14ac:dyDescent="0.25">
      <c r="A4884" s="1" t="str">
        <f>HYPERLINK("https://lynxcrm-apac--c.eu19.visual.force.com/0011i000001xoo2AAA","Tan, Jeremy")</f>
        <v>Tan, Jeremy</v>
      </c>
      <c r="B4884" t="s">
        <v>9141</v>
      </c>
      <c r="C4884" t="s">
        <v>28</v>
      </c>
      <c r="D4884" t="s">
        <v>9142</v>
      </c>
      <c r="E4884" t="s">
        <v>8</v>
      </c>
      <c r="F4884" t="s">
        <v>3131</v>
      </c>
      <c r="G4884" t="s">
        <v>2350</v>
      </c>
      <c r="H4884" t="s">
        <v>3132</v>
      </c>
      <c r="I4884" t="s">
        <v>3133</v>
      </c>
    </row>
    <row r="4885" spans="1:9" x14ac:dyDescent="0.25">
      <c r="A4885" s="1" t="str">
        <f>HYPERLINK("https://lynxcrm-apac--c.eu19.visual.force.com/0011i000001xogVAAQ","Tan, Jerry")</f>
        <v>Tan, Jerry</v>
      </c>
      <c r="B4885" t="s">
        <v>9143</v>
      </c>
      <c r="C4885" t="s">
        <v>28</v>
      </c>
      <c r="D4885" t="s">
        <v>251</v>
      </c>
      <c r="E4885" t="s">
        <v>8</v>
      </c>
      <c r="F4885" t="s">
        <v>427</v>
      </c>
      <c r="G4885" t="s">
        <v>252</v>
      </c>
      <c r="H4885" t="s">
        <v>858</v>
      </c>
      <c r="I4885" t="s">
        <v>253</v>
      </c>
    </row>
    <row r="4886" spans="1:9" x14ac:dyDescent="0.25">
      <c r="A4886" s="1" t="str">
        <f>HYPERLINK("https://lynxcrm-apac--c.eu19.visual.force.com/0011i00000uRlp4AAC","Tan, Jinxuan")</f>
        <v>Tan, Jinxuan</v>
      </c>
      <c r="B4886" t="s">
        <v>9144</v>
      </c>
      <c r="C4886" t="s">
        <v>28</v>
      </c>
      <c r="D4886" t="s">
        <v>21</v>
      </c>
      <c r="E4886" t="s">
        <v>8</v>
      </c>
      <c r="F4886" t="s">
        <v>699</v>
      </c>
      <c r="G4886" t="s">
        <v>699</v>
      </c>
      <c r="H4886" t="s">
        <v>8</v>
      </c>
      <c r="I4886" t="s">
        <v>22</v>
      </c>
    </row>
    <row r="4887" spans="1:9" x14ac:dyDescent="0.25">
      <c r="A4887" s="1" t="str">
        <f>HYPERLINK("https://lynxcrm-apac--c.eu19.visual.force.com/0011i000001xnsAAAQ","Tan, Joong Piang")</f>
        <v>Tan, Joong Piang</v>
      </c>
      <c r="B4887" t="s">
        <v>9145</v>
      </c>
      <c r="C4887" t="s">
        <v>28</v>
      </c>
      <c r="D4887" t="s">
        <v>4275</v>
      </c>
      <c r="E4887" t="s">
        <v>8</v>
      </c>
      <c r="F4887" t="s">
        <v>4276</v>
      </c>
      <c r="G4887" t="s">
        <v>4277</v>
      </c>
      <c r="H4887" t="s">
        <v>4277</v>
      </c>
      <c r="I4887" t="s">
        <v>4278</v>
      </c>
    </row>
    <row r="4888" spans="1:9" x14ac:dyDescent="0.25">
      <c r="A4888" s="1" t="str">
        <f>HYPERLINK("https://lynxcrm-apac--c.eu19.visual.force.com/0011i00000ugBG0AAM","Tan, Joo Sheng")</f>
        <v>Tan, Joo Sheng</v>
      </c>
      <c r="B4888" t="s">
        <v>9146</v>
      </c>
      <c r="C4888" t="s">
        <v>28</v>
      </c>
      <c r="D4888" t="s">
        <v>8</v>
      </c>
      <c r="E4888" t="s">
        <v>8</v>
      </c>
      <c r="F4888" t="s">
        <v>1123</v>
      </c>
      <c r="G4888" t="s">
        <v>1123</v>
      </c>
      <c r="H4888" t="s">
        <v>1124</v>
      </c>
      <c r="I4888" t="s">
        <v>703</v>
      </c>
    </row>
    <row r="4889" spans="1:9" x14ac:dyDescent="0.25">
      <c r="A4889" s="1" t="str">
        <f>HYPERLINK("https://lynxcrm-apac--c.eu19.visual.force.com/0011i00000ugBG0AAM","Tan, Joo Sheng")</f>
        <v>Tan, Joo Sheng</v>
      </c>
      <c r="B4889" t="s">
        <v>9146</v>
      </c>
      <c r="C4889" t="s">
        <v>28</v>
      </c>
      <c r="D4889" t="s">
        <v>701</v>
      </c>
      <c r="E4889" t="s">
        <v>8</v>
      </c>
      <c r="F4889" t="s">
        <v>1123</v>
      </c>
      <c r="G4889" t="s">
        <v>1123</v>
      </c>
      <c r="H4889" t="s">
        <v>1124</v>
      </c>
      <c r="I4889" t="s">
        <v>703</v>
      </c>
    </row>
    <row r="4890" spans="1:9" x14ac:dyDescent="0.25">
      <c r="A4890" s="1" t="str">
        <f>HYPERLINK("https://lynxcrm-apac--c.eu19.visual.force.com/0011i00000uPPjSAAW","Tan, Julio")</f>
        <v>Tan, Julio</v>
      </c>
      <c r="B4890" t="s">
        <v>9147</v>
      </c>
      <c r="C4890" t="s">
        <v>28</v>
      </c>
      <c r="D4890" t="s">
        <v>335</v>
      </c>
      <c r="E4890" t="s">
        <v>8</v>
      </c>
      <c r="F4890" t="s">
        <v>336</v>
      </c>
      <c r="G4890" t="s">
        <v>337</v>
      </c>
      <c r="H4890" t="s">
        <v>337</v>
      </c>
      <c r="I4890" t="s">
        <v>338</v>
      </c>
    </row>
    <row r="4891" spans="1:9" x14ac:dyDescent="0.25">
      <c r="A4891" s="1" t="str">
        <f>HYPERLINK("https://lynxcrm-apac--c.eu19.visual.force.com/0011i000001xoLLAAY","Tan, Jye Yng Jane")</f>
        <v>Tan, Jye Yng Jane</v>
      </c>
      <c r="B4891" t="s">
        <v>9148</v>
      </c>
      <c r="C4891" t="s">
        <v>28</v>
      </c>
      <c r="D4891" t="s">
        <v>261</v>
      </c>
      <c r="E4891" t="s">
        <v>8</v>
      </c>
      <c r="F4891" t="s">
        <v>261</v>
      </c>
      <c r="G4891" t="s">
        <v>347</v>
      </c>
      <c r="H4891" t="s">
        <v>347</v>
      </c>
      <c r="I4891" t="s">
        <v>260</v>
      </c>
    </row>
    <row r="4892" spans="1:9" x14ac:dyDescent="0.25">
      <c r="A4892" s="1" t="str">
        <f>HYPERLINK("https://lynxcrm-apac--c.eu19.visual.force.com/0011i000001xoLLAAY","Tan, Jye Yng Jane")</f>
        <v>Tan, Jye Yng Jane</v>
      </c>
      <c r="B4892" t="s">
        <v>9148</v>
      </c>
      <c r="C4892" t="s">
        <v>28</v>
      </c>
      <c r="D4892" t="s">
        <v>1242</v>
      </c>
      <c r="E4892" t="s">
        <v>8</v>
      </c>
      <c r="F4892" t="s">
        <v>258</v>
      </c>
      <c r="G4892" t="s">
        <v>261</v>
      </c>
      <c r="H4892" t="s">
        <v>261</v>
      </c>
      <c r="I4892" t="s">
        <v>260</v>
      </c>
    </row>
    <row r="4893" spans="1:9" x14ac:dyDescent="0.25">
      <c r="A4893" s="1" t="str">
        <f>HYPERLINK("https://lynxcrm-apac--c.eu19.visual.force.com/0011i000001xoMqAAI","Tan, Kah Leong Alvin")</f>
        <v>Tan, Kah Leong Alvin</v>
      </c>
      <c r="B4893" t="s">
        <v>9149</v>
      </c>
      <c r="C4893" t="s">
        <v>28</v>
      </c>
      <c r="D4893" t="s">
        <v>251</v>
      </c>
      <c r="E4893" t="s">
        <v>8</v>
      </c>
      <c r="F4893" t="s">
        <v>251</v>
      </c>
      <c r="G4893" t="s">
        <v>252</v>
      </c>
      <c r="H4893" t="s">
        <v>252</v>
      </c>
      <c r="I4893" t="s">
        <v>253</v>
      </c>
    </row>
    <row r="4894" spans="1:9" x14ac:dyDescent="0.25">
      <c r="A4894" s="1" t="str">
        <f>HYPERLINK("https://lynxcrm-apac--c.eu19.visual.force.com/0011i000001xoMqAAI","Tan, Kah Leong Alvin")</f>
        <v>Tan, Kah Leong Alvin</v>
      </c>
      <c r="B4894" t="s">
        <v>9149</v>
      </c>
      <c r="C4894" t="s">
        <v>28</v>
      </c>
      <c r="D4894" t="s">
        <v>583</v>
      </c>
      <c r="E4894" t="s">
        <v>8</v>
      </c>
      <c r="F4894" t="s">
        <v>584</v>
      </c>
      <c r="G4894" t="s">
        <v>584</v>
      </c>
      <c r="H4894" t="s">
        <v>8</v>
      </c>
      <c r="I4894" t="s">
        <v>585</v>
      </c>
    </row>
    <row r="4895" spans="1:9" x14ac:dyDescent="0.25">
      <c r="A4895" s="1" t="str">
        <f>HYPERLINK("https://lynxcrm-apac--c.eu19.visual.force.com/0011i000001xo0zAAA","Tan, Keah Kee")</f>
        <v>Tan, Keah Kee</v>
      </c>
      <c r="B4895" t="s">
        <v>9150</v>
      </c>
      <c r="C4895" t="s">
        <v>28</v>
      </c>
      <c r="D4895" t="s">
        <v>1698</v>
      </c>
      <c r="E4895" t="s">
        <v>8</v>
      </c>
      <c r="F4895" t="s">
        <v>1699</v>
      </c>
      <c r="G4895" t="s">
        <v>1521</v>
      </c>
      <c r="H4895" t="s">
        <v>1700</v>
      </c>
      <c r="I4895" t="s">
        <v>1701</v>
      </c>
    </row>
    <row r="4896" spans="1:9" x14ac:dyDescent="0.25">
      <c r="A4896" s="1" t="str">
        <f>HYPERLINK("https://lynxcrm-apac--c.eu19.visual.force.com/0011i000001xnsCAAQ","Tan, Kee Ling")</f>
        <v>Tan, Kee Ling</v>
      </c>
      <c r="B4896" t="s">
        <v>9151</v>
      </c>
      <c r="C4896" t="s">
        <v>28</v>
      </c>
      <c r="D4896" t="s">
        <v>9152</v>
      </c>
      <c r="E4896" t="s">
        <v>8</v>
      </c>
      <c r="F4896" t="s">
        <v>1559</v>
      </c>
      <c r="G4896" t="s">
        <v>9153</v>
      </c>
      <c r="H4896" t="s">
        <v>9154</v>
      </c>
      <c r="I4896" t="s">
        <v>161</v>
      </c>
    </row>
    <row r="4897" spans="1:9" x14ac:dyDescent="0.25">
      <c r="A4897" s="1" t="str">
        <f>HYPERLINK("https://lynxcrm-apac--c.eu19.visual.force.com/0011i000001xo9RAAQ","Tan, Kee Wang")</f>
        <v>Tan, Kee Wang</v>
      </c>
      <c r="B4897" t="s">
        <v>9155</v>
      </c>
      <c r="C4897" t="s">
        <v>28</v>
      </c>
      <c r="D4897" t="s">
        <v>9156</v>
      </c>
      <c r="E4897" t="s">
        <v>8</v>
      </c>
      <c r="F4897" t="s">
        <v>6445</v>
      </c>
      <c r="G4897" t="s">
        <v>6446</v>
      </c>
      <c r="H4897" t="s">
        <v>6447</v>
      </c>
      <c r="I4897" t="s">
        <v>6448</v>
      </c>
    </row>
    <row r="4898" spans="1:9" x14ac:dyDescent="0.25">
      <c r="A4898" s="1" t="str">
        <f>HYPERLINK("https://lynxcrm-apac--c.eu19.visual.force.com/0011i000001xnsDAAQ","Tan, Keng Chiew")</f>
        <v>Tan, Keng Chiew</v>
      </c>
      <c r="B4898" t="s">
        <v>9157</v>
      </c>
      <c r="C4898" t="s">
        <v>28</v>
      </c>
      <c r="D4898" t="s">
        <v>9109</v>
      </c>
      <c r="E4898" t="s">
        <v>8</v>
      </c>
      <c r="F4898" t="s">
        <v>5787</v>
      </c>
      <c r="G4898" t="s">
        <v>5788</v>
      </c>
      <c r="H4898" t="s">
        <v>5789</v>
      </c>
      <c r="I4898" t="s">
        <v>5790</v>
      </c>
    </row>
    <row r="4899" spans="1:9" x14ac:dyDescent="0.25">
      <c r="A4899" s="1" t="str">
        <f>HYPERLINK("https://lynxcrm-apac--c.eu19.visual.force.com/0011i000001xo64AAA","Tan, Keng Leong")</f>
        <v>Tan, Keng Leong</v>
      </c>
      <c r="B4899" t="s">
        <v>9158</v>
      </c>
      <c r="C4899" t="s">
        <v>28</v>
      </c>
      <c r="D4899" t="s">
        <v>251</v>
      </c>
      <c r="E4899" t="s">
        <v>8</v>
      </c>
      <c r="F4899" t="s">
        <v>239</v>
      </c>
      <c r="G4899" t="s">
        <v>252</v>
      </c>
      <c r="H4899" t="s">
        <v>252</v>
      </c>
      <c r="I4899" t="s">
        <v>253</v>
      </c>
    </row>
    <row r="4900" spans="1:9" x14ac:dyDescent="0.25">
      <c r="A4900" s="1" t="str">
        <f>HYPERLINK("https://lynxcrm-apac--c.eu19.visual.force.com/0011i000001xnmbAAA","Tan, Keng Yang")</f>
        <v>Tan, Keng Yang</v>
      </c>
      <c r="B4900" t="s">
        <v>9159</v>
      </c>
      <c r="C4900" t="s">
        <v>28</v>
      </c>
      <c r="D4900" t="s">
        <v>1698</v>
      </c>
      <c r="E4900" t="s">
        <v>8</v>
      </c>
      <c r="F4900" t="s">
        <v>2273</v>
      </c>
      <c r="G4900" t="s">
        <v>2273</v>
      </c>
      <c r="H4900" t="s">
        <v>8</v>
      </c>
      <c r="I4900" t="s">
        <v>8</v>
      </c>
    </row>
    <row r="4901" spans="1:9" x14ac:dyDescent="0.25">
      <c r="A4901" s="1" t="str">
        <f>HYPERLINK("https://lynxcrm-apac--c.eu19.visual.force.com/0011i000001xntJAAQ","Tan, Keng Yang")</f>
        <v>Tan, Keng Yang</v>
      </c>
      <c r="B4901" t="s">
        <v>9160</v>
      </c>
      <c r="C4901" t="s">
        <v>28</v>
      </c>
      <c r="D4901" t="s">
        <v>9161</v>
      </c>
      <c r="E4901" t="s">
        <v>8</v>
      </c>
      <c r="F4901" t="s">
        <v>2032</v>
      </c>
      <c r="G4901" t="s">
        <v>7226</v>
      </c>
      <c r="H4901" t="s">
        <v>7226</v>
      </c>
      <c r="I4901" t="s">
        <v>7227</v>
      </c>
    </row>
    <row r="4902" spans="1:9" x14ac:dyDescent="0.25">
      <c r="A4902" s="1" t="str">
        <f>HYPERLINK("https://lynxcrm-apac--c.eu19.visual.force.com/0011i000001xnsGAAQ","Tan, Keok Kuan David")</f>
        <v>Tan, Keok Kuan David</v>
      </c>
      <c r="B4902" t="s">
        <v>9162</v>
      </c>
      <c r="C4902" t="s">
        <v>28</v>
      </c>
      <c r="D4902" t="s">
        <v>9163</v>
      </c>
      <c r="E4902" t="s">
        <v>8</v>
      </c>
      <c r="F4902" t="s">
        <v>9164</v>
      </c>
      <c r="G4902" t="s">
        <v>2743</v>
      </c>
      <c r="H4902" t="s">
        <v>2743</v>
      </c>
      <c r="I4902" t="s">
        <v>9165</v>
      </c>
    </row>
    <row r="4903" spans="1:9" x14ac:dyDescent="0.25">
      <c r="A4903" s="1" t="str">
        <f>HYPERLINK("https://lynxcrm-apac--c.eu19.visual.force.com/0011i000001xobkAAA","Tan, Kevin")</f>
        <v>Tan, Kevin</v>
      </c>
      <c r="B4903" t="s">
        <v>9166</v>
      </c>
      <c r="C4903" t="s">
        <v>28</v>
      </c>
      <c r="D4903" t="s">
        <v>261</v>
      </c>
      <c r="E4903" t="s">
        <v>8</v>
      </c>
      <c r="F4903" t="s">
        <v>1263</v>
      </c>
      <c r="G4903" t="s">
        <v>258</v>
      </c>
      <c r="H4903" t="s">
        <v>258</v>
      </c>
      <c r="I4903" t="s">
        <v>260</v>
      </c>
    </row>
    <row r="4904" spans="1:9" x14ac:dyDescent="0.25">
      <c r="A4904" s="1" t="str">
        <f>HYPERLINK("https://lynxcrm-apac--c.eu19.visual.force.com/0011i000001xnsHAAQ","Tan, Khai Tong")</f>
        <v>Tan, Khai Tong</v>
      </c>
      <c r="B4904" t="s">
        <v>9167</v>
      </c>
      <c r="C4904" t="s">
        <v>28</v>
      </c>
      <c r="D4904" t="s">
        <v>9168</v>
      </c>
      <c r="E4904" t="s">
        <v>8</v>
      </c>
      <c r="F4904" t="s">
        <v>377</v>
      </c>
      <c r="G4904" t="s">
        <v>9169</v>
      </c>
      <c r="H4904" t="s">
        <v>9169</v>
      </c>
      <c r="I4904" t="s">
        <v>123</v>
      </c>
    </row>
    <row r="4905" spans="1:9" x14ac:dyDescent="0.25">
      <c r="A4905" s="1" t="str">
        <f>HYPERLINK("https://lynxcrm-apac--c.eu19.visual.force.com/0011i000001xoonAAA","Tan, Kheng Liang")</f>
        <v>Tan, Kheng Liang</v>
      </c>
      <c r="B4905" t="s">
        <v>9170</v>
      </c>
      <c r="C4905" t="s">
        <v>28</v>
      </c>
      <c r="D4905" t="s">
        <v>937</v>
      </c>
      <c r="E4905" t="s">
        <v>8</v>
      </c>
      <c r="F4905" t="s">
        <v>4060</v>
      </c>
      <c r="G4905" t="s">
        <v>2829</v>
      </c>
      <c r="H4905" t="s">
        <v>2829</v>
      </c>
      <c r="I4905" t="s">
        <v>4061</v>
      </c>
    </row>
    <row r="4906" spans="1:9" x14ac:dyDescent="0.25">
      <c r="A4906" s="1" t="str">
        <f>HYPERLINK("https://lynxcrm-apac--c.eu19.visual.force.com/0011i000001xo6AAAQ","Tan, Khiaw Ngiap Jam")</f>
        <v>Tan, Khiaw Ngiap Jam</v>
      </c>
      <c r="B4906" t="s">
        <v>9171</v>
      </c>
      <c r="C4906" t="s">
        <v>28</v>
      </c>
      <c r="D4906" t="s">
        <v>261</v>
      </c>
      <c r="E4906" t="s">
        <v>8</v>
      </c>
      <c r="F4906" t="s">
        <v>261</v>
      </c>
      <c r="G4906" t="s">
        <v>347</v>
      </c>
      <c r="H4906" t="s">
        <v>347</v>
      </c>
      <c r="I4906" t="s">
        <v>260</v>
      </c>
    </row>
    <row r="4907" spans="1:9" x14ac:dyDescent="0.25">
      <c r="A4907" s="1" t="str">
        <f>HYPERLINK("https://lynxcrm-apac--c.eu19.visual.force.com/0011i000001xo6AAAQ","Tan, Khiaw Ngiap Jam")</f>
        <v>Tan, Khiaw Ngiap Jam</v>
      </c>
      <c r="B4907" t="s">
        <v>9171</v>
      </c>
      <c r="C4907" t="s">
        <v>28</v>
      </c>
      <c r="D4907" t="s">
        <v>1242</v>
      </c>
      <c r="E4907" t="s">
        <v>8</v>
      </c>
      <c r="F4907" t="s">
        <v>258</v>
      </c>
      <c r="G4907" t="s">
        <v>261</v>
      </c>
      <c r="H4907" t="s">
        <v>261</v>
      </c>
      <c r="I4907" t="s">
        <v>260</v>
      </c>
    </row>
    <row r="4908" spans="1:9" x14ac:dyDescent="0.25">
      <c r="A4908" s="1" t="str">
        <f>HYPERLINK("https://lynxcrm-apac--c.eu19.visual.force.com/0011i000002Id9xAAC","Tan, Kian Hua Barry")</f>
        <v>Tan, Kian Hua Barry</v>
      </c>
      <c r="B4908" t="s">
        <v>9172</v>
      </c>
      <c r="C4908" t="s">
        <v>28</v>
      </c>
      <c r="D4908" t="s">
        <v>3681</v>
      </c>
      <c r="E4908" t="s">
        <v>8</v>
      </c>
      <c r="F4908" t="s">
        <v>3682</v>
      </c>
      <c r="G4908" t="s">
        <v>3683</v>
      </c>
      <c r="H4908" t="s">
        <v>3683</v>
      </c>
      <c r="I4908" t="s">
        <v>3684</v>
      </c>
    </row>
    <row r="4909" spans="1:9" x14ac:dyDescent="0.25">
      <c r="A4909" s="1" t="str">
        <f>HYPERLINK("https://lynxcrm-apac--c.eu19.visual.force.com/0011i000001xnsKAAQ","Tan, Kiaw Kuang")</f>
        <v>Tan, Kiaw Kuang</v>
      </c>
      <c r="B4909" t="s">
        <v>9173</v>
      </c>
      <c r="C4909" t="s">
        <v>28</v>
      </c>
      <c r="D4909" t="s">
        <v>9174</v>
      </c>
      <c r="E4909" t="s">
        <v>8</v>
      </c>
      <c r="F4909" t="s">
        <v>8826</v>
      </c>
      <c r="G4909" t="s">
        <v>9175</v>
      </c>
      <c r="H4909" t="s">
        <v>9175</v>
      </c>
      <c r="I4909" t="s">
        <v>8828</v>
      </c>
    </row>
    <row r="4910" spans="1:9" x14ac:dyDescent="0.25">
      <c r="A4910" s="1" t="str">
        <f>HYPERLINK("https://lynxcrm-apac--c.eu19.visual.force.com/0011i000001xoRLAAY","Tan, Kia Yong Paul")</f>
        <v>Tan, Kia Yong Paul</v>
      </c>
      <c r="B4910" t="s">
        <v>9176</v>
      </c>
      <c r="C4910" t="s">
        <v>28</v>
      </c>
      <c r="D4910" t="s">
        <v>9177</v>
      </c>
      <c r="E4910" t="s">
        <v>8</v>
      </c>
      <c r="F4910" t="s">
        <v>4624</v>
      </c>
      <c r="G4910" t="s">
        <v>4625</v>
      </c>
      <c r="H4910" t="s">
        <v>4625</v>
      </c>
      <c r="I4910" t="s">
        <v>4626</v>
      </c>
    </row>
    <row r="4911" spans="1:9" x14ac:dyDescent="0.25">
      <c r="A4911" s="1" t="str">
        <f>HYPERLINK("https://lynxcrm-apac--c.eu19.visual.force.com/0011i000001xnsLAAQ","Tan, Kim Kiat")</f>
        <v>Tan, Kim Kiat</v>
      </c>
      <c r="B4911" t="s">
        <v>9178</v>
      </c>
      <c r="C4911" t="s">
        <v>28</v>
      </c>
      <c r="D4911" t="s">
        <v>520</v>
      </c>
      <c r="E4911" t="s">
        <v>8</v>
      </c>
      <c r="F4911" t="s">
        <v>90</v>
      </c>
      <c r="G4911" t="s">
        <v>521</v>
      </c>
      <c r="H4911" t="s">
        <v>521</v>
      </c>
      <c r="I4911" t="s">
        <v>92</v>
      </c>
    </row>
    <row r="4912" spans="1:9" x14ac:dyDescent="0.25">
      <c r="A4912" s="1" t="str">
        <f>HYPERLINK("https://lynxcrm-apac--c.eu19.visual.force.com/0011i000001xo9SAAQ","Tan, Kim Song Michael")</f>
        <v>Tan, Kim Song Michael</v>
      </c>
      <c r="B4912" t="s">
        <v>9179</v>
      </c>
      <c r="C4912" t="s">
        <v>28</v>
      </c>
      <c r="D4912" t="s">
        <v>578</v>
      </c>
      <c r="E4912" t="s">
        <v>8</v>
      </c>
      <c r="F4912" t="s">
        <v>9180</v>
      </c>
      <c r="G4912" t="s">
        <v>9181</v>
      </c>
      <c r="H4912" t="s">
        <v>9181</v>
      </c>
      <c r="I4912" t="s">
        <v>9182</v>
      </c>
    </row>
    <row r="4913" spans="1:9" x14ac:dyDescent="0.25">
      <c r="A4913" s="1" t="str">
        <f>HYPERLINK("https://lynxcrm-apac--c.eu19.visual.force.com/0011i000001xnsOAAQ","Tan, King Twok")</f>
        <v>Tan, King Twok</v>
      </c>
      <c r="B4913" t="s">
        <v>9183</v>
      </c>
      <c r="C4913" t="s">
        <v>28</v>
      </c>
      <c r="D4913" t="s">
        <v>9184</v>
      </c>
      <c r="E4913" t="s">
        <v>8</v>
      </c>
      <c r="F4913" t="s">
        <v>377</v>
      </c>
      <c r="G4913" t="s">
        <v>1053</v>
      </c>
      <c r="H4913" t="s">
        <v>1053</v>
      </c>
      <c r="I4913" t="s">
        <v>123</v>
      </c>
    </row>
    <row r="4914" spans="1:9" x14ac:dyDescent="0.25">
      <c r="A4914" s="1" t="str">
        <f>HYPERLINK("https://lynxcrm-apac--c.eu19.visual.force.com/0011i000001xnsPAAQ","Tan, Kok Beng")</f>
        <v>Tan, Kok Beng</v>
      </c>
      <c r="B4914" t="s">
        <v>9185</v>
      </c>
      <c r="C4914" t="s">
        <v>28</v>
      </c>
      <c r="D4914" t="s">
        <v>1592</v>
      </c>
      <c r="E4914" t="s">
        <v>8</v>
      </c>
      <c r="F4914" t="s">
        <v>579</v>
      </c>
      <c r="G4914" t="s">
        <v>1590</v>
      </c>
      <c r="H4914" t="s">
        <v>1591</v>
      </c>
      <c r="I4914" t="s">
        <v>581</v>
      </c>
    </row>
    <row r="4915" spans="1:9" x14ac:dyDescent="0.25">
      <c r="A4915" s="1" t="str">
        <f>HYPERLINK("https://lynxcrm-apac--c.eu19.visual.force.com/0011i000001xoFFAAY","Tan, Kok Heng Adrian")</f>
        <v>Tan, Kok Heng Adrian</v>
      </c>
      <c r="B4915" t="s">
        <v>9186</v>
      </c>
      <c r="C4915" t="s">
        <v>28</v>
      </c>
      <c r="D4915" t="s">
        <v>12</v>
      </c>
      <c r="E4915" t="s">
        <v>8</v>
      </c>
      <c r="F4915" t="s">
        <v>11</v>
      </c>
      <c r="G4915" t="s">
        <v>11</v>
      </c>
      <c r="H4915" t="s">
        <v>8</v>
      </c>
      <c r="I4915" t="s">
        <v>13</v>
      </c>
    </row>
    <row r="4916" spans="1:9" x14ac:dyDescent="0.25">
      <c r="A4916" s="1" t="str">
        <f>HYPERLINK("https://lynxcrm-apac--c.eu19.visual.force.com/0011i000001xnsSAAQ","Tan, Kok Kong")</f>
        <v>Tan, Kok Kong</v>
      </c>
      <c r="B4916" t="s">
        <v>9187</v>
      </c>
      <c r="C4916" t="s">
        <v>28</v>
      </c>
      <c r="D4916" t="s">
        <v>9188</v>
      </c>
      <c r="E4916" t="s">
        <v>8</v>
      </c>
      <c r="F4916" t="s">
        <v>69</v>
      </c>
      <c r="G4916" t="s">
        <v>2921</v>
      </c>
      <c r="H4916" t="s">
        <v>2922</v>
      </c>
      <c r="I4916" t="s">
        <v>67</v>
      </c>
    </row>
    <row r="4917" spans="1:9" x14ac:dyDescent="0.25">
      <c r="A4917" s="1" t="str">
        <f>HYPERLINK("https://lynxcrm-apac--c.eu19.visual.force.com/0011i000001xo0BAAQ","Tan, Kok Leong")</f>
        <v>Tan, Kok Leong</v>
      </c>
      <c r="B4917" t="s">
        <v>9189</v>
      </c>
      <c r="C4917" t="s">
        <v>28</v>
      </c>
      <c r="D4917" t="s">
        <v>9190</v>
      </c>
      <c r="E4917" t="s">
        <v>8</v>
      </c>
      <c r="F4917" t="s">
        <v>417</v>
      </c>
      <c r="G4917" t="s">
        <v>9191</v>
      </c>
      <c r="H4917" t="s">
        <v>9192</v>
      </c>
      <c r="I4917" t="s">
        <v>887</v>
      </c>
    </row>
    <row r="4918" spans="1:9" x14ac:dyDescent="0.25">
      <c r="A4918" s="1" t="str">
        <f>HYPERLINK("https://lynxcrm-apac--c.eu19.visual.force.com/0011i000001xnsYAAQ","Tan, Kok Soo")</f>
        <v>Tan, Kok Soo</v>
      </c>
      <c r="B4918" t="s">
        <v>9193</v>
      </c>
      <c r="C4918" t="s">
        <v>28</v>
      </c>
      <c r="D4918" t="s">
        <v>6417</v>
      </c>
      <c r="E4918" t="s">
        <v>8</v>
      </c>
      <c r="F4918" t="s">
        <v>9194</v>
      </c>
      <c r="G4918" t="s">
        <v>6419</v>
      </c>
      <c r="H4918" t="s">
        <v>6419</v>
      </c>
      <c r="I4918" t="s">
        <v>6421</v>
      </c>
    </row>
    <row r="4919" spans="1:9" x14ac:dyDescent="0.25">
      <c r="A4919" s="1" t="str">
        <f>HYPERLINK("https://lynxcrm-apac--c.eu19.visual.force.com/0011i000001xoDtAAI","Tan, Kok Soon")</f>
        <v>Tan, Kok Soon</v>
      </c>
      <c r="B4919" t="s">
        <v>9195</v>
      </c>
      <c r="C4919" t="s">
        <v>28</v>
      </c>
      <c r="D4919" t="s">
        <v>9196</v>
      </c>
      <c r="E4919" t="s">
        <v>8</v>
      </c>
      <c r="F4919" t="s">
        <v>7505</v>
      </c>
      <c r="G4919" t="s">
        <v>121</v>
      </c>
      <c r="H4919" t="s">
        <v>121</v>
      </c>
      <c r="I4919" t="s">
        <v>123</v>
      </c>
    </row>
    <row r="4920" spans="1:9" x14ac:dyDescent="0.25">
      <c r="A4920" s="1" t="str">
        <f>HYPERLINK("https://lynxcrm-apac--c.eu19.visual.force.com/0011i000001xoDtAAI","Tan, Kok Soon")</f>
        <v>Tan, Kok Soon</v>
      </c>
      <c r="B4920" t="s">
        <v>9195</v>
      </c>
      <c r="C4920" t="s">
        <v>28</v>
      </c>
      <c r="D4920" t="s">
        <v>9196</v>
      </c>
      <c r="E4920" t="s">
        <v>8</v>
      </c>
      <c r="F4920" t="s">
        <v>7506</v>
      </c>
      <c r="G4920" t="s">
        <v>121</v>
      </c>
      <c r="H4920" t="s">
        <v>121</v>
      </c>
      <c r="I4920" t="s">
        <v>123</v>
      </c>
    </row>
    <row r="4921" spans="1:9" x14ac:dyDescent="0.25">
      <c r="A4921" s="1" t="str">
        <f>HYPERLINK("https://lynxcrm-apac--c.eu19.visual.force.com/0011i000001xoOEAAY","Tan, Kok Ying")</f>
        <v>Tan, Kok Ying</v>
      </c>
      <c r="B4921" t="s">
        <v>9197</v>
      </c>
      <c r="C4921" t="s">
        <v>28</v>
      </c>
      <c r="D4921" t="s">
        <v>9198</v>
      </c>
      <c r="E4921" t="s">
        <v>8</v>
      </c>
      <c r="F4921" t="s">
        <v>9199</v>
      </c>
      <c r="G4921" t="s">
        <v>6621</v>
      </c>
      <c r="H4921" t="s">
        <v>6621</v>
      </c>
      <c r="I4921" t="s">
        <v>7970</v>
      </c>
    </row>
    <row r="4922" spans="1:9" x14ac:dyDescent="0.25">
      <c r="A4922" s="1" t="str">
        <f>HYPERLINK("https://lynxcrm-apac--c.eu19.visual.force.com/0011i000001xnsZAAQ","Tan, Kong Chin")</f>
        <v>Tan, Kong Chin</v>
      </c>
      <c r="B4922" t="s">
        <v>9200</v>
      </c>
      <c r="C4922" t="s">
        <v>28</v>
      </c>
      <c r="D4922" t="s">
        <v>9201</v>
      </c>
      <c r="E4922" t="s">
        <v>8</v>
      </c>
      <c r="F4922" t="s">
        <v>4734</v>
      </c>
      <c r="G4922" t="s">
        <v>4734</v>
      </c>
      <c r="H4922" t="s">
        <v>8</v>
      </c>
      <c r="I4922" t="s">
        <v>4735</v>
      </c>
    </row>
    <row r="4923" spans="1:9" x14ac:dyDescent="0.25">
      <c r="A4923" s="1" t="str">
        <f>HYPERLINK("https://lynxcrm-apac--c.eu19.visual.force.com/0011i000001xnscAAA","Tan, Lean Beng")</f>
        <v>Tan, Lean Beng</v>
      </c>
      <c r="B4923" t="s">
        <v>9202</v>
      </c>
      <c r="C4923" t="s">
        <v>28</v>
      </c>
      <c r="D4923" t="s">
        <v>9203</v>
      </c>
      <c r="E4923" t="s">
        <v>8</v>
      </c>
      <c r="F4923" t="s">
        <v>9204</v>
      </c>
      <c r="G4923" t="s">
        <v>9205</v>
      </c>
      <c r="H4923" t="s">
        <v>9206</v>
      </c>
      <c r="I4923" t="s">
        <v>5441</v>
      </c>
    </row>
    <row r="4924" spans="1:9" x14ac:dyDescent="0.25">
      <c r="A4924" s="1" t="str">
        <f>HYPERLINK("https://lynxcrm-apac--c.eu19.visual.force.com/0011i000001xnsdAAA","Tan, Lian Huat James")</f>
        <v>Tan, Lian Huat James</v>
      </c>
      <c r="B4924" t="s">
        <v>9207</v>
      </c>
      <c r="C4924" t="s">
        <v>28</v>
      </c>
      <c r="D4924" t="s">
        <v>9208</v>
      </c>
      <c r="E4924" t="s">
        <v>8</v>
      </c>
      <c r="F4924" t="s">
        <v>8291</v>
      </c>
      <c r="G4924" t="s">
        <v>6052</v>
      </c>
      <c r="H4924" t="s">
        <v>9209</v>
      </c>
      <c r="I4924" t="s">
        <v>8293</v>
      </c>
    </row>
    <row r="4925" spans="1:9" x14ac:dyDescent="0.25">
      <c r="A4925" s="1" t="str">
        <f>HYPERLINK("https://lynxcrm-apac--c.eu19.visual.force.com/0011i000001xokqAAA","Tan, Li Hua Laura")</f>
        <v>Tan, Li Hua Laura</v>
      </c>
      <c r="B4925" t="s">
        <v>9210</v>
      </c>
      <c r="C4925" t="s">
        <v>28</v>
      </c>
      <c r="D4925" t="s">
        <v>449</v>
      </c>
      <c r="E4925" t="s">
        <v>8</v>
      </c>
      <c r="F4925" t="s">
        <v>450</v>
      </c>
      <c r="G4925" t="s">
        <v>449</v>
      </c>
      <c r="H4925" t="s">
        <v>449</v>
      </c>
      <c r="I4925" t="s">
        <v>451</v>
      </c>
    </row>
    <row r="4926" spans="1:9" x14ac:dyDescent="0.25">
      <c r="A4926" s="1" t="str">
        <f>HYPERLINK("https://lynxcrm-apac--c.eu19.visual.force.com/0011i000001xokqAAA","Tan, Li Hua Laura")</f>
        <v>Tan, Li Hua Laura</v>
      </c>
      <c r="B4926" t="s">
        <v>9210</v>
      </c>
      <c r="C4926" t="s">
        <v>28</v>
      </c>
      <c r="D4926" t="s">
        <v>449</v>
      </c>
      <c r="E4926" t="s">
        <v>8</v>
      </c>
      <c r="F4926" t="s">
        <v>234</v>
      </c>
      <c r="G4926" t="s">
        <v>452</v>
      </c>
      <c r="H4926" t="s">
        <v>453</v>
      </c>
      <c r="I4926" t="s">
        <v>454</v>
      </c>
    </row>
    <row r="4927" spans="1:9" x14ac:dyDescent="0.25">
      <c r="A4927" s="1" t="str">
        <f>HYPERLINK("https://lynxcrm-apac--c.eu19.visual.force.com/0011i000001xoG3AAI","Tan, Li Ling")</f>
        <v>Tan, Li Ling</v>
      </c>
      <c r="B4927" t="s">
        <v>9211</v>
      </c>
      <c r="C4927" t="s">
        <v>28</v>
      </c>
      <c r="D4927" t="s">
        <v>429</v>
      </c>
      <c r="E4927" t="s">
        <v>8</v>
      </c>
      <c r="F4927" t="s">
        <v>429</v>
      </c>
      <c r="G4927" t="s">
        <v>428</v>
      </c>
      <c r="H4927" t="s">
        <v>428</v>
      </c>
      <c r="I4927" t="s">
        <v>430</v>
      </c>
    </row>
    <row r="4928" spans="1:9" x14ac:dyDescent="0.25">
      <c r="A4928" s="1" t="str">
        <f>HYPERLINK("https://lynxcrm-apac--c.eu19.visual.force.com/0011i000001xoG3AAI","Tan, Li Ling")</f>
        <v>Tan, Li Ling</v>
      </c>
      <c r="B4928" t="s">
        <v>9211</v>
      </c>
      <c r="C4928" t="s">
        <v>28</v>
      </c>
      <c r="D4928" t="s">
        <v>429</v>
      </c>
      <c r="E4928" t="s">
        <v>8</v>
      </c>
      <c r="F4928" t="s">
        <v>444</v>
      </c>
      <c r="G4928" t="s">
        <v>444</v>
      </c>
      <c r="H4928" t="s">
        <v>8</v>
      </c>
      <c r="I4928" t="s">
        <v>430</v>
      </c>
    </row>
    <row r="4929" spans="1:9" x14ac:dyDescent="0.25">
      <c r="A4929" s="1" t="str">
        <f>HYPERLINK("https://lynxcrm-apac--c.eu19.visual.force.com/0011i000001xoG3AAI","Tan, Li Ling")</f>
        <v>Tan, Li Ling</v>
      </c>
      <c r="B4929" t="s">
        <v>9211</v>
      </c>
      <c r="C4929" t="s">
        <v>28</v>
      </c>
      <c r="D4929" t="s">
        <v>429</v>
      </c>
      <c r="E4929" t="s">
        <v>8</v>
      </c>
      <c r="F4929" t="s">
        <v>445</v>
      </c>
      <c r="G4929" t="s">
        <v>428</v>
      </c>
      <c r="H4929" t="s">
        <v>428</v>
      </c>
      <c r="I4929" t="s">
        <v>430</v>
      </c>
    </row>
    <row r="4930" spans="1:9" x14ac:dyDescent="0.25">
      <c r="A4930" s="1" t="str">
        <f>HYPERLINK("https://lynxcrm-apac--c.eu19.visual.force.com/0011i000001xoG3AAI","Tan, Li Ling")</f>
        <v>Tan, Li Ling</v>
      </c>
      <c r="B4930" t="s">
        <v>9211</v>
      </c>
      <c r="C4930" t="s">
        <v>28</v>
      </c>
      <c r="D4930" t="s">
        <v>429</v>
      </c>
      <c r="E4930" t="s">
        <v>8</v>
      </c>
      <c r="F4930" t="s">
        <v>444</v>
      </c>
      <c r="G4930" t="s">
        <v>444</v>
      </c>
      <c r="H4930" t="s">
        <v>8</v>
      </c>
      <c r="I4930" t="s">
        <v>8</v>
      </c>
    </row>
    <row r="4931" spans="1:9" x14ac:dyDescent="0.25">
      <c r="A4931" s="1" t="str">
        <f>HYPERLINK("https://lynxcrm-apac--c.eu19.visual.force.com/0011i000001xo6CAAQ","Tan, Li Mei Joanna")</f>
        <v>Tan, Li Mei Joanna</v>
      </c>
      <c r="B4931" t="s">
        <v>9212</v>
      </c>
      <c r="C4931" t="s">
        <v>28</v>
      </c>
      <c r="D4931" t="s">
        <v>1930</v>
      </c>
      <c r="E4931" t="s">
        <v>8</v>
      </c>
      <c r="F4931" t="s">
        <v>360</v>
      </c>
      <c r="G4931" t="s">
        <v>1253</v>
      </c>
      <c r="H4931" t="s">
        <v>1253</v>
      </c>
      <c r="I4931" t="s">
        <v>362</v>
      </c>
    </row>
    <row r="4932" spans="1:9" x14ac:dyDescent="0.25">
      <c r="A4932" s="1" t="str">
        <f>HYPERLINK("https://lynxcrm-apac--c.eu19.visual.force.com/0011i000001xo9WAAQ","Tan, Lip Hong")</f>
        <v>Tan, Lip Hong</v>
      </c>
      <c r="B4932" t="s">
        <v>9213</v>
      </c>
      <c r="C4932" t="s">
        <v>28</v>
      </c>
      <c r="D4932" t="s">
        <v>9214</v>
      </c>
      <c r="E4932" t="s">
        <v>8</v>
      </c>
      <c r="F4932" t="s">
        <v>2982</v>
      </c>
      <c r="G4932" t="s">
        <v>2983</v>
      </c>
      <c r="H4932" t="s">
        <v>2983</v>
      </c>
      <c r="I4932" t="s">
        <v>2984</v>
      </c>
    </row>
    <row r="4933" spans="1:9" x14ac:dyDescent="0.25">
      <c r="A4933" s="1" t="str">
        <f>HYPERLINK("https://lynxcrm-apac--c.eu19.visual.force.com/0011i00000Jdz3IAAR","Tan, Li Wei")</f>
        <v>Tan, Li Wei</v>
      </c>
      <c r="B4933" t="s">
        <v>9215</v>
      </c>
      <c r="C4933" t="s">
        <v>28</v>
      </c>
      <c r="D4933" t="s">
        <v>261</v>
      </c>
      <c r="E4933" t="s">
        <v>8</v>
      </c>
      <c r="F4933" t="s">
        <v>261</v>
      </c>
      <c r="G4933" t="s">
        <v>347</v>
      </c>
      <c r="H4933" t="s">
        <v>347</v>
      </c>
      <c r="I4933" t="s">
        <v>260</v>
      </c>
    </row>
    <row r="4934" spans="1:9" x14ac:dyDescent="0.25">
      <c r="A4934" s="1" t="str">
        <f>HYPERLINK("https://lynxcrm-apac--c.eu19.visual.force.com/0011i000007EYyXAAW","Tan, Lye Yoong")</f>
        <v>Tan, Lye Yoong</v>
      </c>
      <c r="B4934" t="s">
        <v>9216</v>
      </c>
      <c r="C4934" t="s">
        <v>28</v>
      </c>
      <c r="D4934" t="s">
        <v>54</v>
      </c>
      <c r="E4934" t="s">
        <v>8</v>
      </c>
      <c r="F4934" t="s">
        <v>1225</v>
      </c>
      <c r="G4934" t="s">
        <v>1225</v>
      </c>
      <c r="H4934" t="s">
        <v>8</v>
      </c>
      <c r="I4934" t="s">
        <v>55</v>
      </c>
    </row>
    <row r="4935" spans="1:9" x14ac:dyDescent="0.25">
      <c r="A4935" s="1" t="str">
        <f>HYPERLINK("https://lynxcrm-apac--c.eu19.visual.force.com/0011i000001xnsfAAA","Tan, Mak Yong")</f>
        <v>Tan, Mak Yong</v>
      </c>
      <c r="B4935" t="s">
        <v>9217</v>
      </c>
      <c r="C4935" t="s">
        <v>28</v>
      </c>
      <c r="D4935" t="s">
        <v>9218</v>
      </c>
      <c r="E4935" t="s">
        <v>8</v>
      </c>
      <c r="F4935" t="s">
        <v>69</v>
      </c>
      <c r="G4935" t="s">
        <v>9219</v>
      </c>
      <c r="H4935" t="s">
        <v>9220</v>
      </c>
      <c r="I4935" t="s">
        <v>67</v>
      </c>
    </row>
    <row r="4936" spans="1:9" x14ac:dyDescent="0.25">
      <c r="A4936" s="1" t="str">
        <f>HYPERLINK("https://lynxcrm-apac--c.eu19.visual.force.com/0011i000001xnsgAAA","Tan, May Hua Linda")</f>
        <v>Tan, May Hua Linda</v>
      </c>
      <c r="B4936" t="s">
        <v>9221</v>
      </c>
      <c r="C4936" t="s">
        <v>28</v>
      </c>
      <c r="D4936" t="s">
        <v>6481</v>
      </c>
      <c r="E4936" t="s">
        <v>8</v>
      </c>
      <c r="F4936" t="s">
        <v>1768</v>
      </c>
      <c r="G4936" t="s">
        <v>4513</v>
      </c>
      <c r="H4936" t="s">
        <v>4514</v>
      </c>
      <c r="I4936" t="s">
        <v>47</v>
      </c>
    </row>
    <row r="4937" spans="1:9" x14ac:dyDescent="0.25">
      <c r="A4937" s="1" t="str">
        <f>HYPERLINK("https://lynxcrm-apac--c.eu19.visual.force.com/0011i000001xofXAAQ","Tan, May Ling")</f>
        <v>Tan, May Ling</v>
      </c>
      <c r="B4937" t="s">
        <v>9222</v>
      </c>
      <c r="C4937" t="s">
        <v>28</v>
      </c>
      <c r="D4937" t="s">
        <v>261</v>
      </c>
      <c r="E4937" t="s">
        <v>8</v>
      </c>
      <c r="F4937" t="s">
        <v>9223</v>
      </c>
      <c r="G4937" t="s">
        <v>258</v>
      </c>
      <c r="H4937" t="s">
        <v>258</v>
      </c>
      <c r="I4937" t="s">
        <v>260</v>
      </c>
    </row>
    <row r="4938" spans="1:9" x14ac:dyDescent="0.25">
      <c r="A4938" s="1" t="str">
        <f>HYPERLINK("https://lynxcrm-apac--c.eu19.visual.force.com/0011i000001xoZuAAI","Tan, May Yan")</f>
        <v>Tan, May Yan</v>
      </c>
      <c r="B4938" t="s">
        <v>9224</v>
      </c>
      <c r="C4938" t="s">
        <v>28</v>
      </c>
      <c r="D4938" t="s">
        <v>9225</v>
      </c>
      <c r="E4938" t="s">
        <v>8</v>
      </c>
      <c r="F4938" t="s">
        <v>9226</v>
      </c>
      <c r="G4938" t="s">
        <v>2940</v>
      </c>
      <c r="H4938" t="s">
        <v>2940</v>
      </c>
      <c r="I4938" t="s">
        <v>2941</v>
      </c>
    </row>
    <row r="4939" spans="1:9" x14ac:dyDescent="0.25">
      <c r="A4939" s="1" t="str">
        <f>HYPERLINK("https://lynxcrm-apac--c.eu19.visual.force.com/0011i000001xoHHAAY","Tan, Meng Yew Damien")</f>
        <v>Tan, Meng Yew Damien</v>
      </c>
      <c r="B4939" t="s">
        <v>9227</v>
      </c>
      <c r="C4939" t="s">
        <v>28</v>
      </c>
      <c r="D4939" t="s">
        <v>21</v>
      </c>
      <c r="E4939" t="s">
        <v>8</v>
      </c>
      <c r="F4939" t="s">
        <v>699</v>
      </c>
      <c r="G4939" t="s">
        <v>699</v>
      </c>
      <c r="H4939" t="s">
        <v>8</v>
      </c>
      <c r="I4939" t="s">
        <v>22</v>
      </c>
    </row>
    <row r="4940" spans="1:9" x14ac:dyDescent="0.25">
      <c r="A4940" s="1" t="str">
        <f>HYPERLINK("https://lynxcrm-apac--c.eu19.visual.force.com/0011i000001xoHHAAY","Tan, Meng Yew Damien")</f>
        <v>Tan, Meng Yew Damien</v>
      </c>
      <c r="B4940" t="s">
        <v>9227</v>
      </c>
      <c r="C4940" t="s">
        <v>28</v>
      </c>
      <c r="D4940" t="s">
        <v>20</v>
      </c>
      <c r="E4940" t="s">
        <v>8</v>
      </c>
      <c r="F4940" t="s">
        <v>20</v>
      </c>
      <c r="G4940" t="s">
        <v>21</v>
      </c>
      <c r="H4940" t="s">
        <v>21</v>
      </c>
      <c r="I4940" t="s">
        <v>22</v>
      </c>
    </row>
    <row r="4941" spans="1:9" x14ac:dyDescent="0.25">
      <c r="A4941" s="1" t="str">
        <f>HYPERLINK("https://lynxcrm-apac--c.eu19.visual.force.com/0011i000001xoFkAAI","Tan, Min Han")</f>
        <v>Tan, Min Han</v>
      </c>
      <c r="B4941" t="s">
        <v>9228</v>
      </c>
      <c r="C4941" t="s">
        <v>28</v>
      </c>
      <c r="D4941" t="s">
        <v>1263</v>
      </c>
      <c r="E4941" t="s">
        <v>8</v>
      </c>
      <c r="F4941" t="s">
        <v>258</v>
      </c>
      <c r="G4941" t="s">
        <v>261</v>
      </c>
      <c r="H4941" t="s">
        <v>261</v>
      </c>
      <c r="I4941" t="s">
        <v>260</v>
      </c>
    </row>
    <row r="4942" spans="1:9" x14ac:dyDescent="0.25">
      <c r="A4942" s="1" t="str">
        <f>HYPERLINK("https://lynxcrm-apac--c.eu19.visual.force.com/0011i000001xoFkAAI","Tan, Min Han")</f>
        <v>Tan, Min Han</v>
      </c>
      <c r="B4942" t="s">
        <v>9228</v>
      </c>
      <c r="C4942" t="s">
        <v>28</v>
      </c>
      <c r="D4942" t="s">
        <v>261</v>
      </c>
      <c r="E4942" t="s">
        <v>8</v>
      </c>
      <c r="F4942" t="s">
        <v>261</v>
      </c>
      <c r="G4942" t="s">
        <v>347</v>
      </c>
      <c r="H4942" t="s">
        <v>347</v>
      </c>
      <c r="I4942" t="s">
        <v>260</v>
      </c>
    </row>
    <row r="4943" spans="1:9" x14ac:dyDescent="0.25">
      <c r="A4943" s="1" t="str">
        <f>HYPERLINK("https://lynxcrm-apac--c.eu19.visual.force.com/0011i00000vHmlmAAC","Tan, Mui Suan")</f>
        <v>Tan, Mui Suan</v>
      </c>
      <c r="B4943" t="s">
        <v>9229</v>
      </c>
      <c r="C4943" t="s">
        <v>28</v>
      </c>
      <c r="D4943" t="s">
        <v>8</v>
      </c>
      <c r="E4943" t="s">
        <v>8</v>
      </c>
      <c r="F4943" t="s">
        <v>393</v>
      </c>
      <c r="G4943" t="s">
        <v>394</v>
      </c>
      <c r="H4943" t="s">
        <v>395</v>
      </c>
      <c r="I4943" t="s">
        <v>396</v>
      </c>
    </row>
    <row r="4944" spans="1:9" x14ac:dyDescent="0.25">
      <c r="A4944" s="1" t="str">
        <f>HYPERLINK("https://lynxcrm-apac--c.eu19.visual.force.com/0011i00000vHmlmAAC","Tan, Mui Suan")</f>
        <v>Tan, Mui Suan</v>
      </c>
      <c r="B4944" t="s">
        <v>9229</v>
      </c>
      <c r="C4944" t="s">
        <v>28</v>
      </c>
      <c r="D4944" t="s">
        <v>392</v>
      </c>
      <c r="E4944" t="s">
        <v>8</v>
      </c>
      <c r="F4944" t="s">
        <v>393</v>
      </c>
      <c r="G4944" t="s">
        <v>394</v>
      </c>
      <c r="H4944" t="s">
        <v>395</v>
      </c>
      <c r="I4944" t="s">
        <v>396</v>
      </c>
    </row>
    <row r="4945" spans="1:9" x14ac:dyDescent="0.25">
      <c r="A4945" s="1" t="str">
        <f>HYPERLINK("https://lynxcrm-apac--c.eu19.visual.force.com/0011i000001xoM7AAI","Tan, Ngiap Chye")</f>
        <v>Tan, Ngiap Chye</v>
      </c>
      <c r="B4945" t="s">
        <v>9230</v>
      </c>
      <c r="C4945" t="s">
        <v>28</v>
      </c>
      <c r="D4945" t="s">
        <v>583</v>
      </c>
      <c r="E4945" t="s">
        <v>8</v>
      </c>
      <c r="F4945" t="s">
        <v>583</v>
      </c>
      <c r="G4945" t="s">
        <v>584</v>
      </c>
      <c r="H4945" t="s">
        <v>584</v>
      </c>
      <c r="I4945" t="s">
        <v>585</v>
      </c>
    </row>
    <row r="4946" spans="1:9" x14ac:dyDescent="0.25">
      <c r="A4946" s="1" t="str">
        <f>HYPERLINK("https://lynxcrm-apac--c.eu19.visual.force.com/0011i000001xoM7AAI","Tan, Ngiap Chye")</f>
        <v>Tan, Ngiap Chye</v>
      </c>
      <c r="B4946" t="s">
        <v>9230</v>
      </c>
      <c r="C4946" t="s">
        <v>28</v>
      </c>
      <c r="D4946" t="s">
        <v>635</v>
      </c>
      <c r="E4946" t="s">
        <v>8</v>
      </c>
      <c r="F4946" t="s">
        <v>584</v>
      </c>
      <c r="G4946" t="s">
        <v>583</v>
      </c>
      <c r="H4946" t="s">
        <v>583</v>
      </c>
      <c r="I4946" t="s">
        <v>585</v>
      </c>
    </row>
    <row r="4947" spans="1:9" x14ac:dyDescent="0.25">
      <c r="A4947" s="1" t="str">
        <f>HYPERLINK("https://lynxcrm-apac--c.eu19.visual.force.com/0011i000001xohzAAA","Tan, Ngiap Koon")</f>
        <v>Tan, Ngiap Koon</v>
      </c>
      <c r="B4947" t="s">
        <v>9231</v>
      </c>
      <c r="C4947" t="s">
        <v>28</v>
      </c>
      <c r="D4947" t="s">
        <v>1164</v>
      </c>
      <c r="E4947" t="s">
        <v>8</v>
      </c>
      <c r="F4947" t="s">
        <v>1165</v>
      </c>
      <c r="G4947" t="s">
        <v>1166</v>
      </c>
      <c r="H4947" t="s">
        <v>1166</v>
      </c>
      <c r="I4947" t="s">
        <v>1167</v>
      </c>
    </row>
    <row r="4948" spans="1:9" x14ac:dyDescent="0.25">
      <c r="A4948" s="1" t="str">
        <f>HYPERLINK("https://lynxcrm-apac--c.eu19.visual.force.com/0011i000001xohzAAA","Tan, Ngiap Koon")</f>
        <v>Tan, Ngiap Koon</v>
      </c>
      <c r="B4948" t="s">
        <v>9231</v>
      </c>
      <c r="C4948" t="s">
        <v>28</v>
      </c>
      <c r="D4948" t="s">
        <v>1164</v>
      </c>
      <c r="E4948" t="s">
        <v>8</v>
      </c>
      <c r="F4948" t="s">
        <v>1165</v>
      </c>
      <c r="G4948" t="s">
        <v>1165</v>
      </c>
      <c r="H4948" t="s">
        <v>3621</v>
      </c>
      <c r="I4948" t="s">
        <v>1167</v>
      </c>
    </row>
    <row r="4949" spans="1:9" x14ac:dyDescent="0.25">
      <c r="A4949" s="1" t="str">
        <f>HYPERLINK("https://lynxcrm-apac--c.eu19.visual.force.com/0011i000001xohzAAA","Tan, Ngiap Koon")</f>
        <v>Tan, Ngiap Koon</v>
      </c>
      <c r="B4949" t="s">
        <v>9231</v>
      </c>
      <c r="C4949" t="s">
        <v>28</v>
      </c>
      <c r="D4949" t="s">
        <v>589</v>
      </c>
      <c r="E4949" t="s">
        <v>8</v>
      </c>
      <c r="F4949" t="s">
        <v>590</v>
      </c>
      <c r="G4949" t="s">
        <v>591</v>
      </c>
      <c r="H4949" t="s">
        <v>8</v>
      </c>
      <c r="I4949" t="s">
        <v>592</v>
      </c>
    </row>
    <row r="4950" spans="1:9" x14ac:dyDescent="0.25">
      <c r="A4950" s="1" t="str">
        <f>HYPERLINK("https://lynxcrm-apac--c.eu19.visual.force.com/0011i000001xnszAAA","Tan, Paul")</f>
        <v>Tan, Paul</v>
      </c>
      <c r="B4950" t="s">
        <v>9232</v>
      </c>
      <c r="C4950" t="s">
        <v>28</v>
      </c>
      <c r="D4950" t="s">
        <v>9233</v>
      </c>
      <c r="E4950" t="s">
        <v>8</v>
      </c>
      <c r="F4950" t="s">
        <v>614</v>
      </c>
      <c r="G4950" t="s">
        <v>615</v>
      </c>
      <c r="H4950" t="s">
        <v>616</v>
      </c>
      <c r="I4950" t="s">
        <v>617</v>
      </c>
    </row>
    <row r="4951" spans="1:9" x14ac:dyDescent="0.25">
      <c r="A4951" s="1" t="str">
        <f>HYPERLINK("https://lynxcrm-apac--c.eu19.visual.force.com/0011i000001xnskAAA","Tan, Pauline Enid")</f>
        <v>Tan, Pauline Enid</v>
      </c>
      <c r="B4951" t="s">
        <v>9234</v>
      </c>
      <c r="C4951" t="s">
        <v>28</v>
      </c>
      <c r="D4951" t="s">
        <v>9235</v>
      </c>
      <c r="E4951" t="s">
        <v>8</v>
      </c>
      <c r="F4951" t="s">
        <v>45</v>
      </c>
      <c r="G4951" t="s">
        <v>46</v>
      </c>
      <c r="H4951" t="s">
        <v>46</v>
      </c>
      <c r="I4951" t="s">
        <v>47</v>
      </c>
    </row>
    <row r="4952" spans="1:9" x14ac:dyDescent="0.25">
      <c r="A4952" s="1" t="str">
        <f>HYPERLINK("https://lynxcrm-apac--c.eu19.visual.force.com/0011i000001xog7AAA","Tan, Peh Khee")</f>
        <v>Tan, Peh Khee</v>
      </c>
      <c r="B4952" t="s">
        <v>9236</v>
      </c>
      <c r="C4952" t="s">
        <v>28</v>
      </c>
      <c r="D4952" t="s">
        <v>9237</v>
      </c>
      <c r="E4952" t="s">
        <v>8</v>
      </c>
      <c r="F4952" t="s">
        <v>9238</v>
      </c>
      <c r="G4952" t="s">
        <v>9238</v>
      </c>
      <c r="H4952" t="s">
        <v>8</v>
      </c>
      <c r="I4952" t="s">
        <v>9239</v>
      </c>
    </row>
    <row r="4953" spans="1:9" x14ac:dyDescent="0.25">
      <c r="A4953" s="1" t="str">
        <f>HYPERLINK("https://lynxcrm-apac--c.eu19.visual.force.com/0011i000001xnkRAAQ","Tan, Pei Fen")</f>
        <v>Tan, Pei Fen</v>
      </c>
      <c r="B4953" t="s">
        <v>9240</v>
      </c>
      <c r="C4953" t="s">
        <v>28</v>
      </c>
      <c r="D4953" t="s">
        <v>516</v>
      </c>
      <c r="E4953" t="s">
        <v>8</v>
      </c>
      <c r="F4953" t="s">
        <v>517</v>
      </c>
      <c r="G4953" t="s">
        <v>517</v>
      </c>
      <c r="H4953" t="s">
        <v>8</v>
      </c>
      <c r="I4953" t="s">
        <v>518</v>
      </c>
    </row>
    <row r="4954" spans="1:9" x14ac:dyDescent="0.25">
      <c r="A4954" s="1" t="str">
        <f>HYPERLINK("https://lynxcrm-apac--c.eu19.visual.force.com/0011i000001xoNdAAI","Tan, Peng Kok")</f>
        <v>Tan, Peng Kok</v>
      </c>
      <c r="B4954" t="s">
        <v>9241</v>
      </c>
      <c r="C4954" t="s">
        <v>28</v>
      </c>
      <c r="D4954" t="s">
        <v>9242</v>
      </c>
      <c r="E4954" t="s">
        <v>8</v>
      </c>
      <c r="F4954" t="s">
        <v>9243</v>
      </c>
      <c r="G4954" t="s">
        <v>9244</v>
      </c>
      <c r="H4954" t="s">
        <v>9244</v>
      </c>
      <c r="I4954" t="s">
        <v>200</v>
      </c>
    </row>
    <row r="4955" spans="1:9" x14ac:dyDescent="0.25">
      <c r="A4955" s="1" t="str">
        <f>HYPERLINK("https://lynxcrm-apac--c.eu19.visual.force.com/0011i000001xnsrAAA","Tan, Peng Yang")</f>
        <v>Tan, Peng Yang</v>
      </c>
      <c r="B4955" t="s">
        <v>9245</v>
      </c>
      <c r="C4955" t="s">
        <v>28</v>
      </c>
      <c r="D4955" t="s">
        <v>6398</v>
      </c>
      <c r="E4955" t="s">
        <v>8</v>
      </c>
      <c r="F4955" t="s">
        <v>6399</v>
      </c>
      <c r="G4955" t="s">
        <v>6400</v>
      </c>
      <c r="H4955" t="s">
        <v>6947</v>
      </c>
      <c r="I4955" t="s">
        <v>6402</v>
      </c>
    </row>
    <row r="4956" spans="1:9" x14ac:dyDescent="0.25">
      <c r="A4956" s="1" t="str">
        <f>HYPERLINK("https://lynxcrm-apac--c.eu19.visual.force.com/0011i000001xnjKAAQ","Tan, Penny")</f>
        <v>Tan, Penny</v>
      </c>
      <c r="B4956" t="s">
        <v>9246</v>
      </c>
      <c r="C4956" t="s">
        <v>28</v>
      </c>
      <c r="D4956" t="s">
        <v>1810</v>
      </c>
      <c r="E4956" t="s">
        <v>8</v>
      </c>
      <c r="F4956" t="s">
        <v>1815</v>
      </c>
      <c r="G4956" t="s">
        <v>1814</v>
      </c>
      <c r="H4956" t="s">
        <v>1814</v>
      </c>
      <c r="I4956" t="s">
        <v>1816</v>
      </c>
    </row>
    <row r="4957" spans="1:9" x14ac:dyDescent="0.25">
      <c r="A4957" s="1" t="str">
        <f>HYPERLINK("https://lynxcrm-apac--c.eu19.visual.force.com/0011i000001xnjKAAQ","Tan, Penny")</f>
        <v>Tan, Penny</v>
      </c>
      <c r="B4957" t="s">
        <v>9246</v>
      </c>
      <c r="C4957" t="s">
        <v>28</v>
      </c>
      <c r="D4957" t="s">
        <v>1810</v>
      </c>
      <c r="E4957" t="s">
        <v>8</v>
      </c>
      <c r="F4957" t="s">
        <v>1813</v>
      </c>
      <c r="G4957" t="s">
        <v>1814</v>
      </c>
      <c r="H4957" t="s">
        <v>1814</v>
      </c>
      <c r="I4957" t="s">
        <v>883</v>
      </c>
    </row>
    <row r="4958" spans="1:9" x14ac:dyDescent="0.25">
      <c r="A4958" s="1" t="str">
        <f>HYPERLINK("https://lynxcrm-apac--c.eu19.visual.force.com/0011i000001xnjKAAQ","Tan, Penny")</f>
        <v>Tan, Penny</v>
      </c>
      <c r="B4958" t="s">
        <v>9246</v>
      </c>
      <c r="C4958" t="s">
        <v>28</v>
      </c>
      <c r="D4958" t="s">
        <v>1810</v>
      </c>
      <c r="E4958" t="s">
        <v>8</v>
      </c>
      <c r="F4958" t="s">
        <v>1811</v>
      </c>
      <c r="G4958" t="s">
        <v>1812</v>
      </c>
      <c r="H4958" t="s">
        <v>1812</v>
      </c>
      <c r="I4958" t="s">
        <v>883</v>
      </c>
    </row>
    <row r="4959" spans="1:9" x14ac:dyDescent="0.25">
      <c r="A4959" s="1" t="str">
        <f>HYPERLINK("https://lynxcrm-apac--c.eu19.visual.force.com/0011i000001xo8OAAQ","Tan, Phui Shan Maybelle")</f>
        <v>Tan, Phui Shan Maybelle</v>
      </c>
      <c r="B4959" t="s">
        <v>9247</v>
      </c>
      <c r="C4959" t="s">
        <v>28</v>
      </c>
      <c r="D4959" t="s">
        <v>114</v>
      </c>
      <c r="E4959" t="s">
        <v>8</v>
      </c>
      <c r="F4959" t="s">
        <v>9248</v>
      </c>
      <c r="G4959" t="s">
        <v>4778</v>
      </c>
      <c r="H4959" t="s">
        <v>4778</v>
      </c>
      <c r="I4959" t="s">
        <v>115</v>
      </c>
    </row>
    <row r="4960" spans="1:9" x14ac:dyDescent="0.25">
      <c r="A4960" s="1" t="str">
        <f>HYPERLINK("https://lynxcrm-apac--c.eu19.visual.force.com/0011i000001xnstAAA","Tan, Pik Yee")</f>
        <v>Tan, Pik Yee</v>
      </c>
      <c r="B4960" t="s">
        <v>9249</v>
      </c>
      <c r="C4960" t="s">
        <v>28</v>
      </c>
      <c r="D4960" t="s">
        <v>5505</v>
      </c>
      <c r="E4960" t="s">
        <v>8</v>
      </c>
      <c r="F4960" t="s">
        <v>34</v>
      </c>
      <c r="G4960" t="s">
        <v>35</v>
      </c>
      <c r="H4960" t="s">
        <v>35</v>
      </c>
      <c r="I4960" t="s">
        <v>36</v>
      </c>
    </row>
    <row r="4961" spans="1:9" x14ac:dyDescent="0.25">
      <c r="A4961" s="1" t="str">
        <f>HYPERLINK("https://lynxcrm-apac--c.eu19.visual.force.com/0011i000001xo4YAAQ","Tan, Poh Choo Mona")</f>
        <v>Tan, Poh Choo Mona</v>
      </c>
      <c r="B4961" t="s">
        <v>9250</v>
      </c>
      <c r="C4961" t="s">
        <v>28</v>
      </c>
      <c r="D4961" t="s">
        <v>1242</v>
      </c>
      <c r="E4961" t="s">
        <v>8</v>
      </c>
      <c r="F4961" t="s">
        <v>258</v>
      </c>
      <c r="G4961" t="s">
        <v>261</v>
      </c>
      <c r="H4961" t="s">
        <v>261</v>
      </c>
      <c r="I4961" t="s">
        <v>260</v>
      </c>
    </row>
    <row r="4962" spans="1:9" x14ac:dyDescent="0.25">
      <c r="A4962" s="1" t="str">
        <f>HYPERLINK("https://lynxcrm-apac--c.eu19.visual.force.com/0011i000001xo4YAAQ","Tan, Poh Choo Mona")</f>
        <v>Tan, Poh Choo Mona</v>
      </c>
      <c r="B4962" t="s">
        <v>9250</v>
      </c>
      <c r="C4962" t="s">
        <v>28</v>
      </c>
      <c r="D4962" t="s">
        <v>261</v>
      </c>
      <c r="E4962" t="s">
        <v>8</v>
      </c>
      <c r="F4962" t="s">
        <v>261</v>
      </c>
      <c r="G4962" t="s">
        <v>347</v>
      </c>
      <c r="H4962" t="s">
        <v>347</v>
      </c>
      <c r="I4962" t="s">
        <v>260</v>
      </c>
    </row>
    <row r="4963" spans="1:9" x14ac:dyDescent="0.25">
      <c r="A4963" s="1" t="str">
        <f>HYPERLINK("https://lynxcrm-apac--c.eu19.visual.force.com/0011i000001xoBxAAI","Tan, Poh Kiang")</f>
        <v>Tan, Poh Kiang</v>
      </c>
      <c r="B4963" t="s">
        <v>9251</v>
      </c>
      <c r="C4963" t="s">
        <v>28</v>
      </c>
      <c r="D4963" t="s">
        <v>9252</v>
      </c>
      <c r="E4963" t="s">
        <v>8</v>
      </c>
      <c r="F4963" t="s">
        <v>7947</v>
      </c>
      <c r="G4963" t="s">
        <v>7948</v>
      </c>
      <c r="H4963" t="s">
        <v>7949</v>
      </c>
      <c r="I4963" t="s">
        <v>7950</v>
      </c>
    </row>
    <row r="4964" spans="1:9" x14ac:dyDescent="0.25">
      <c r="A4964" s="1" t="str">
        <f>HYPERLINK("https://lynxcrm-apac--c.eu19.visual.force.com/0011i000001xos7AAA","Tan, Poh Yong")</f>
        <v>Tan, Poh Yong</v>
      </c>
      <c r="B4964" t="s">
        <v>9253</v>
      </c>
      <c r="C4964" t="s">
        <v>28</v>
      </c>
      <c r="D4964" t="s">
        <v>251</v>
      </c>
      <c r="E4964" t="s">
        <v>8</v>
      </c>
      <c r="F4964" t="s">
        <v>251</v>
      </c>
      <c r="G4964" t="s">
        <v>252</v>
      </c>
      <c r="H4964" t="s">
        <v>252</v>
      </c>
      <c r="I4964" t="s">
        <v>253</v>
      </c>
    </row>
    <row r="4965" spans="1:9" x14ac:dyDescent="0.25">
      <c r="A4965" s="1" t="str">
        <f>HYPERLINK("https://lynxcrm-apac--c.eu19.visual.force.com/0011i000001xoEnAAI","Tan, Puay Ling")</f>
        <v>Tan, Puay Ling</v>
      </c>
      <c r="B4965" t="s">
        <v>9254</v>
      </c>
      <c r="C4965" t="s">
        <v>28</v>
      </c>
      <c r="D4965" t="s">
        <v>251</v>
      </c>
      <c r="E4965" t="s">
        <v>8</v>
      </c>
      <c r="F4965" t="s">
        <v>251</v>
      </c>
      <c r="G4965" t="s">
        <v>252</v>
      </c>
      <c r="H4965" t="s">
        <v>252</v>
      </c>
      <c r="I4965" t="s">
        <v>253</v>
      </c>
    </row>
    <row r="4966" spans="1:9" x14ac:dyDescent="0.25">
      <c r="A4966" s="1" t="str">
        <f>HYPERLINK("https://lynxcrm-apac--c.eu19.visual.force.com/0011i000001xoEnAAI","Tan, Puay Ling")</f>
        <v>Tan, Puay Ling</v>
      </c>
      <c r="B4966" t="s">
        <v>9254</v>
      </c>
      <c r="C4966" t="s">
        <v>28</v>
      </c>
      <c r="D4966" t="s">
        <v>1242</v>
      </c>
      <c r="E4966" t="s">
        <v>8</v>
      </c>
      <c r="F4966" t="s">
        <v>252</v>
      </c>
      <c r="G4966" t="s">
        <v>251</v>
      </c>
      <c r="H4966" t="s">
        <v>251</v>
      </c>
      <c r="I4966" t="s">
        <v>253</v>
      </c>
    </row>
    <row r="4967" spans="1:9" x14ac:dyDescent="0.25">
      <c r="A4967" s="1" t="str">
        <f>HYPERLINK("https://lynxcrm-apac--c.eu19.visual.force.com/0011i000001xnsXAAQ","Tan, Ru Yuh")</f>
        <v>Tan, Ru Yuh</v>
      </c>
      <c r="B4967" t="s">
        <v>9255</v>
      </c>
      <c r="C4967" t="s">
        <v>28</v>
      </c>
      <c r="D4967" t="s">
        <v>9256</v>
      </c>
      <c r="E4967" t="s">
        <v>8</v>
      </c>
      <c r="F4967" t="s">
        <v>9257</v>
      </c>
      <c r="G4967" t="s">
        <v>9258</v>
      </c>
      <c r="H4967" t="s">
        <v>9258</v>
      </c>
      <c r="I4967" t="s">
        <v>212</v>
      </c>
    </row>
    <row r="4968" spans="1:9" x14ac:dyDescent="0.25">
      <c r="A4968" s="1" t="str">
        <f>HYPERLINK("https://lynxcrm-apac--c.eu19.visual.force.com/0011i000001xoIbAAI","Tan, Say Kee")</f>
        <v>Tan, Say Kee</v>
      </c>
      <c r="B4968" t="s">
        <v>9259</v>
      </c>
      <c r="C4968" t="s">
        <v>28</v>
      </c>
      <c r="D4968" t="s">
        <v>9260</v>
      </c>
      <c r="E4968" t="s">
        <v>8</v>
      </c>
      <c r="F4968" t="s">
        <v>3937</v>
      </c>
      <c r="G4968" t="s">
        <v>178</v>
      </c>
      <c r="H4968" t="s">
        <v>3938</v>
      </c>
      <c r="I4968" t="s">
        <v>1892</v>
      </c>
    </row>
    <row r="4969" spans="1:9" x14ac:dyDescent="0.25">
      <c r="A4969" s="1" t="str">
        <f>HYPERLINK("https://lynxcrm-apac--c.eu19.visual.force.com/0011i000001xog6AAA","Tan, Say Lock")</f>
        <v>Tan, Say Lock</v>
      </c>
      <c r="B4969" t="s">
        <v>9261</v>
      </c>
      <c r="C4969" t="s">
        <v>28</v>
      </c>
      <c r="D4969" t="s">
        <v>9262</v>
      </c>
      <c r="E4969" t="s">
        <v>8</v>
      </c>
      <c r="F4969" t="s">
        <v>1822</v>
      </c>
      <c r="G4969" t="s">
        <v>1823</v>
      </c>
      <c r="H4969" t="s">
        <v>1823</v>
      </c>
      <c r="I4969" t="s">
        <v>1824</v>
      </c>
    </row>
    <row r="4970" spans="1:9" x14ac:dyDescent="0.25">
      <c r="A4970" s="1" t="str">
        <f>HYPERLINK("https://lynxcrm-apac--c.eu19.visual.force.com/0011i000001xo6IAAQ","Tan, Seck Guan")</f>
        <v>Tan, Seck Guan</v>
      </c>
      <c r="B4970" t="s">
        <v>9263</v>
      </c>
      <c r="C4970" t="s">
        <v>28</v>
      </c>
      <c r="D4970" t="s">
        <v>251</v>
      </c>
      <c r="E4970" t="s">
        <v>8</v>
      </c>
      <c r="F4970" t="s">
        <v>9264</v>
      </c>
      <c r="G4970" t="s">
        <v>252</v>
      </c>
      <c r="H4970" t="s">
        <v>252</v>
      </c>
      <c r="I4970" t="s">
        <v>253</v>
      </c>
    </row>
    <row r="4971" spans="1:9" x14ac:dyDescent="0.25">
      <c r="A4971" s="1" t="str">
        <f>HYPERLINK("https://lynxcrm-apac--c.eu19.visual.force.com/0011i000001xnjSAAQ","Tan, Seng Kiong")</f>
        <v>Tan, Seng Kiong</v>
      </c>
      <c r="B4971" t="s">
        <v>9265</v>
      </c>
      <c r="C4971" t="s">
        <v>28</v>
      </c>
      <c r="D4971" t="s">
        <v>261</v>
      </c>
      <c r="E4971" t="s">
        <v>8</v>
      </c>
      <c r="F4971" t="s">
        <v>261</v>
      </c>
      <c r="G4971" t="s">
        <v>347</v>
      </c>
      <c r="H4971" t="s">
        <v>347</v>
      </c>
      <c r="I4971" t="s">
        <v>260</v>
      </c>
    </row>
    <row r="4972" spans="1:9" x14ac:dyDescent="0.25">
      <c r="A4972" s="1" t="str">
        <f>HYPERLINK("https://lynxcrm-apac--c.eu19.visual.force.com/0011i000001xnp0AAA","Tan, Seng Soon Dennis")</f>
        <v>Tan, Seng Soon Dennis</v>
      </c>
      <c r="B4972" t="s">
        <v>9266</v>
      </c>
      <c r="C4972" t="s">
        <v>28</v>
      </c>
      <c r="D4972" t="s">
        <v>9267</v>
      </c>
      <c r="E4972" t="s">
        <v>8</v>
      </c>
      <c r="F4972" t="s">
        <v>6786</v>
      </c>
      <c r="G4972" t="s">
        <v>6787</v>
      </c>
      <c r="H4972" t="s">
        <v>6787</v>
      </c>
      <c r="I4972" t="s">
        <v>6788</v>
      </c>
    </row>
    <row r="4973" spans="1:9" x14ac:dyDescent="0.25">
      <c r="A4973" s="1" t="str">
        <f>HYPERLINK("https://lynxcrm-apac--c.eu19.visual.force.com/0011i000001xnsEAAQ","Tan, Sheng Neng")</f>
        <v>Tan, Sheng Neng</v>
      </c>
      <c r="B4973" t="s">
        <v>9268</v>
      </c>
      <c r="C4973" t="s">
        <v>28</v>
      </c>
      <c r="D4973" t="s">
        <v>583</v>
      </c>
      <c r="E4973" t="s">
        <v>8</v>
      </c>
      <c r="F4973" t="s">
        <v>583</v>
      </c>
      <c r="G4973" t="s">
        <v>584</v>
      </c>
      <c r="H4973" t="s">
        <v>584</v>
      </c>
      <c r="I4973" t="s">
        <v>585</v>
      </c>
    </row>
    <row r="4974" spans="1:9" x14ac:dyDescent="0.25">
      <c r="A4974" s="1" t="str">
        <f>HYPERLINK("https://lynxcrm-apac--c.eu19.visual.force.com/0011i000001xngJAAQ","Tan, Shian Ming")</f>
        <v>Tan, Shian Ming</v>
      </c>
      <c r="B4974" t="s">
        <v>9269</v>
      </c>
      <c r="C4974" t="s">
        <v>28</v>
      </c>
      <c r="D4974" t="s">
        <v>251</v>
      </c>
      <c r="E4974" t="s">
        <v>8</v>
      </c>
      <c r="F4974" t="s">
        <v>252</v>
      </c>
      <c r="G4974" t="s">
        <v>252</v>
      </c>
      <c r="H4974" t="s">
        <v>8</v>
      </c>
      <c r="I4974" t="s">
        <v>1609</v>
      </c>
    </row>
    <row r="4975" spans="1:9" x14ac:dyDescent="0.25">
      <c r="A4975" s="1" t="str">
        <f>HYPERLINK("https://lynxcrm-apac--c.eu19.visual.force.com/0011i00000vwapgAAA","Tan, Shu Juan")</f>
        <v>Tan, Shu Juan</v>
      </c>
      <c r="B4975" t="s">
        <v>9270</v>
      </c>
      <c r="C4975" t="s">
        <v>28</v>
      </c>
      <c r="D4975" t="s">
        <v>3876</v>
      </c>
      <c r="E4975" t="s">
        <v>8</v>
      </c>
      <c r="F4975" t="s">
        <v>2483</v>
      </c>
      <c r="G4975" t="s">
        <v>2484</v>
      </c>
      <c r="H4975" t="s">
        <v>8</v>
      </c>
      <c r="I4975" t="s">
        <v>2485</v>
      </c>
    </row>
    <row r="4976" spans="1:9" x14ac:dyDescent="0.25">
      <c r="A4976" s="1" t="str">
        <f>HYPERLINK("https://lynxcrm-apac--c.eu19.visual.force.com/0011i000001xnt1AAA","Tan, Siak Khim")</f>
        <v>Tan, Siak Khim</v>
      </c>
      <c r="B4976" t="s">
        <v>9271</v>
      </c>
      <c r="C4976" t="s">
        <v>28</v>
      </c>
      <c r="D4976" t="s">
        <v>6481</v>
      </c>
      <c r="E4976" t="s">
        <v>8</v>
      </c>
      <c r="F4976" t="s">
        <v>1768</v>
      </c>
      <c r="G4976" t="s">
        <v>4513</v>
      </c>
      <c r="H4976" t="s">
        <v>4514</v>
      </c>
      <c r="I4976" t="s">
        <v>47</v>
      </c>
    </row>
    <row r="4977" spans="1:9" x14ac:dyDescent="0.25">
      <c r="A4977" s="1" t="str">
        <f>HYPERLINK("https://lynxcrm-apac--c.eu19.visual.force.com/0011i000001xoadAAA","Tan, Siau Woon")</f>
        <v>Tan, Siau Woon</v>
      </c>
      <c r="B4977" t="s">
        <v>9272</v>
      </c>
      <c r="C4977" t="s">
        <v>28</v>
      </c>
      <c r="D4977" t="s">
        <v>251</v>
      </c>
      <c r="E4977" t="s">
        <v>8</v>
      </c>
      <c r="F4977" t="s">
        <v>251</v>
      </c>
      <c r="G4977" t="s">
        <v>252</v>
      </c>
      <c r="H4977" t="s">
        <v>252</v>
      </c>
      <c r="I4977" t="s">
        <v>253</v>
      </c>
    </row>
    <row r="4978" spans="1:9" x14ac:dyDescent="0.25">
      <c r="A4978" s="1" t="str">
        <f>HYPERLINK("https://lynxcrm-apac--c.eu19.visual.force.com/0011i000001xoadAAA","Tan, Siau Woon")</f>
        <v>Tan, Siau Woon</v>
      </c>
      <c r="B4978" t="s">
        <v>9272</v>
      </c>
      <c r="C4978" t="s">
        <v>28</v>
      </c>
      <c r="D4978" t="s">
        <v>1623</v>
      </c>
      <c r="E4978" t="s">
        <v>8</v>
      </c>
      <c r="F4978" t="s">
        <v>252</v>
      </c>
      <c r="G4978" t="s">
        <v>251</v>
      </c>
      <c r="H4978" t="s">
        <v>251</v>
      </c>
      <c r="I4978" t="s">
        <v>253</v>
      </c>
    </row>
    <row r="4979" spans="1:9" x14ac:dyDescent="0.25">
      <c r="A4979" s="1" t="str">
        <f>HYPERLINK("https://lynxcrm-apac--c.eu19.visual.force.com/0011i000001xoBzAAI","Tan, Siok Hwee")</f>
        <v>Tan, Siok Hwee</v>
      </c>
      <c r="B4979" t="s">
        <v>9273</v>
      </c>
      <c r="C4979" t="s">
        <v>28</v>
      </c>
      <c r="D4979" t="s">
        <v>9274</v>
      </c>
      <c r="E4979" t="s">
        <v>8</v>
      </c>
      <c r="F4979" t="s">
        <v>258</v>
      </c>
      <c r="G4979" t="s">
        <v>261</v>
      </c>
      <c r="H4979" t="s">
        <v>261</v>
      </c>
      <c r="I4979" t="s">
        <v>260</v>
      </c>
    </row>
    <row r="4980" spans="1:9" x14ac:dyDescent="0.25">
      <c r="A4980" s="1" t="str">
        <f>HYPERLINK("https://lynxcrm-apac--c.eu19.visual.force.com/0011i000001xoBzAAI","Tan, Siok Hwee")</f>
        <v>Tan, Siok Hwee</v>
      </c>
      <c r="B4980" t="s">
        <v>9273</v>
      </c>
      <c r="C4980" t="s">
        <v>28</v>
      </c>
      <c r="D4980" t="s">
        <v>261</v>
      </c>
      <c r="E4980" t="s">
        <v>8</v>
      </c>
      <c r="F4980" t="s">
        <v>261</v>
      </c>
      <c r="G4980" t="s">
        <v>347</v>
      </c>
      <c r="H4980" t="s">
        <v>347</v>
      </c>
      <c r="I4980" t="s">
        <v>260</v>
      </c>
    </row>
    <row r="4981" spans="1:9" x14ac:dyDescent="0.25">
      <c r="A4981" s="1" t="str">
        <f>HYPERLINK("https://lynxcrm-apac--c.eu19.visual.force.com/0011i000001xoO1AAI","Tan, Siong San")</f>
        <v>Tan, Siong San</v>
      </c>
      <c r="B4981" t="s">
        <v>9275</v>
      </c>
      <c r="C4981" t="s">
        <v>28</v>
      </c>
      <c r="D4981" t="s">
        <v>583</v>
      </c>
      <c r="E4981" t="s">
        <v>8</v>
      </c>
      <c r="F4981" t="s">
        <v>583</v>
      </c>
      <c r="G4981" t="s">
        <v>584</v>
      </c>
      <c r="H4981" t="s">
        <v>584</v>
      </c>
      <c r="I4981" t="s">
        <v>585</v>
      </c>
    </row>
    <row r="4982" spans="1:9" x14ac:dyDescent="0.25">
      <c r="A4982" s="1" t="str">
        <f>HYPERLINK("https://lynxcrm-apac--c.eu19.visual.force.com/0011i000001xoC1AAI","Tan, Siow Woon Wendy")</f>
        <v>Tan, Siow Woon Wendy</v>
      </c>
      <c r="B4982" t="s">
        <v>9276</v>
      </c>
      <c r="C4982" t="s">
        <v>28</v>
      </c>
      <c r="D4982" t="s">
        <v>9277</v>
      </c>
      <c r="E4982" t="s">
        <v>8</v>
      </c>
      <c r="F4982" t="s">
        <v>9278</v>
      </c>
      <c r="G4982" t="s">
        <v>1078</v>
      </c>
      <c r="H4982" t="s">
        <v>1078</v>
      </c>
      <c r="I4982" t="s">
        <v>1080</v>
      </c>
    </row>
    <row r="4983" spans="1:9" x14ac:dyDescent="0.25">
      <c r="A4983" s="1" t="str">
        <f>HYPERLINK("https://lynxcrm-apac--c.eu19.visual.force.com/0011i000001xolPAAQ","Tan, Soo Cheng Anna")</f>
        <v>Tan, Soo Cheng Anna</v>
      </c>
      <c r="B4983" t="s">
        <v>9279</v>
      </c>
      <c r="C4983" t="s">
        <v>28</v>
      </c>
      <c r="D4983" t="s">
        <v>9280</v>
      </c>
      <c r="E4983" t="s">
        <v>8</v>
      </c>
      <c r="F4983" t="s">
        <v>9281</v>
      </c>
      <c r="G4983" t="s">
        <v>9282</v>
      </c>
      <c r="H4983" t="s">
        <v>9283</v>
      </c>
      <c r="I4983" t="s">
        <v>9284</v>
      </c>
    </row>
    <row r="4984" spans="1:9" x14ac:dyDescent="0.25">
      <c r="A4984" s="1" t="str">
        <f>HYPERLINK("https://lynxcrm-apac--c.eu19.visual.force.com/0011i000001xnjcAAA","Tan, Soo Heong")</f>
        <v>Tan, Soo Heong</v>
      </c>
      <c r="B4984" t="s">
        <v>9285</v>
      </c>
      <c r="C4984" t="s">
        <v>28</v>
      </c>
      <c r="D4984" t="s">
        <v>9286</v>
      </c>
      <c r="E4984" t="s">
        <v>8</v>
      </c>
      <c r="F4984" t="s">
        <v>377</v>
      </c>
      <c r="G4984" t="s">
        <v>9287</v>
      </c>
      <c r="H4984" t="s">
        <v>9288</v>
      </c>
      <c r="I4984" t="s">
        <v>123</v>
      </c>
    </row>
    <row r="4985" spans="1:9" x14ac:dyDescent="0.25">
      <c r="A4985" s="1" t="str">
        <f>HYPERLINK("https://lynxcrm-apac--c.eu19.visual.force.com/0011i000001xnt7AAA","Tan, Suan Boo")</f>
        <v>Tan, Suan Boo</v>
      </c>
      <c r="B4985" t="s">
        <v>9289</v>
      </c>
      <c r="C4985" t="s">
        <v>28</v>
      </c>
      <c r="D4985" t="s">
        <v>2036</v>
      </c>
      <c r="E4985" t="s">
        <v>8</v>
      </c>
      <c r="F4985" t="s">
        <v>3649</v>
      </c>
      <c r="G4985" t="s">
        <v>3650</v>
      </c>
      <c r="H4985" t="s">
        <v>3651</v>
      </c>
      <c r="I4985" t="s">
        <v>3652</v>
      </c>
    </row>
    <row r="4986" spans="1:9" x14ac:dyDescent="0.25">
      <c r="A4986" s="1" t="str">
        <f>HYPERLINK("https://lynxcrm-apac--c.eu19.visual.force.com/0011i000001xnt8AAA","Tan, Suan Ek")</f>
        <v>Tan, Suan Ek</v>
      </c>
      <c r="B4986" t="s">
        <v>9290</v>
      </c>
      <c r="C4986" t="s">
        <v>28</v>
      </c>
      <c r="D4986" t="s">
        <v>9291</v>
      </c>
      <c r="E4986" t="s">
        <v>8</v>
      </c>
      <c r="F4986" t="s">
        <v>5150</v>
      </c>
      <c r="G4986" t="s">
        <v>4360</v>
      </c>
      <c r="H4986" t="s">
        <v>9292</v>
      </c>
      <c r="I4986" t="s">
        <v>5152</v>
      </c>
    </row>
    <row r="4987" spans="1:9" x14ac:dyDescent="0.25">
      <c r="A4987" s="1" t="str">
        <f>HYPERLINK("https://lynxcrm-apac--c.eu19.visual.force.com/0011i000001xo6MAAQ","Tan, Su-Ming")</f>
        <v>Tan, Su-Ming</v>
      </c>
      <c r="B4987" t="s">
        <v>9293</v>
      </c>
      <c r="C4987" t="s">
        <v>28</v>
      </c>
      <c r="D4987" t="s">
        <v>583</v>
      </c>
      <c r="E4987" t="s">
        <v>8</v>
      </c>
      <c r="F4987" t="s">
        <v>366</v>
      </c>
      <c r="G4987" t="s">
        <v>584</v>
      </c>
      <c r="H4987" t="s">
        <v>1386</v>
      </c>
      <c r="I4987" t="s">
        <v>585</v>
      </c>
    </row>
    <row r="4988" spans="1:9" x14ac:dyDescent="0.25">
      <c r="A4988" s="1" t="str">
        <f>HYPERLINK("https://lynxcrm-apac--c.eu19.visual.force.com/0011i000001xnt6AAA","Tan, Su-Ming Jean")</f>
        <v>Tan, Su-Ming Jean</v>
      </c>
      <c r="B4988" t="s">
        <v>9294</v>
      </c>
      <c r="C4988" t="s">
        <v>28</v>
      </c>
      <c r="D4988" t="s">
        <v>9295</v>
      </c>
      <c r="E4988" t="s">
        <v>8</v>
      </c>
      <c r="F4988" t="s">
        <v>1381</v>
      </c>
      <c r="G4988" t="s">
        <v>1382</v>
      </c>
      <c r="H4988" t="s">
        <v>1383</v>
      </c>
      <c r="I4988" t="s">
        <v>1384</v>
      </c>
    </row>
    <row r="4989" spans="1:9" x14ac:dyDescent="0.25">
      <c r="A4989" s="1" t="str">
        <f>HYPERLINK("https://lynxcrm-apac--c.eu19.visual.force.com/0011i000007DkQqAAK","Tan, Svens Zeat")</f>
        <v>Tan, Svens Zeat</v>
      </c>
      <c r="B4989" t="s">
        <v>9296</v>
      </c>
      <c r="C4989" t="s">
        <v>28</v>
      </c>
      <c r="D4989" t="s">
        <v>9196</v>
      </c>
      <c r="E4989" t="s">
        <v>8</v>
      </c>
      <c r="F4989" t="s">
        <v>7505</v>
      </c>
      <c r="G4989" t="s">
        <v>121</v>
      </c>
      <c r="H4989" t="s">
        <v>121</v>
      </c>
      <c r="I4989" t="s">
        <v>123</v>
      </c>
    </row>
    <row r="4990" spans="1:9" x14ac:dyDescent="0.25">
      <c r="A4990" s="1" t="str">
        <f>HYPERLINK("https://lynxcrm-apac--c.eu19.visual.force.com/0011i000007DkQqAAK","Tan, Svens Zeat")</f>
        <v>Tan, Svens Zeat</v>
      </c>
      <c r="B4990" t="s">
        <v>9296</v>
      </c>
      <c r="C4990" t="s">
        <v>28</v>
      </c>
      <c r="D4990" t="s">
        <v>9196</v>
      </c>
      <c r="E4990" t="s">
        <v>8</v>
      </c>
      <c r="F4990" t="s">
        <v>7506</v>
      </c>
      <c r="G4990" t="s">
        <v>121</v>
      </c>
      <c r="H4990" t="s">
        <v>121</v>
      </c>
      <c r="I4990" t="s">
        <v>123</v>
      </c>
    </row>
    <row r="4991" spans="1:9" x14ac:dyDescent="0.25">
      <c r="A4991" s="1" t="str">
        <f>HYPERLINK("https://lynxcrm-apac--c.eu19.visual.force.com/0011i000001xntBAAQ","Tan, Swee Teck Michael")</f>
        <v>Tan, Swee Teck Michael</v>
      </c>
      <c r="B4991" t="s">
        <v>9297</v>
      </c>
      <c r="C4991" t="s">
        <v>28</v>
      </c>
      <c r="D4991" t="s">
        <v>9298</v>
      </c>
      <c r="E4991" t="s">
        <v>8</v>
      </c>
      <c r="F4991" t="s">
        <v>6794</v>
      </c>
      <c r="G4991" t="s">
        <v>6795</v>
      </c>
      <c r="H4991" t="s">
        <v>6796</v>
      </c>
      <c r="I4991" t="s">
        <v>6797</v>
      </c>
    </row>
    <row r="4992" spans="1:9" x14ac:dyDescent="0.25">
      <c r="A4992" s="1" t="str">
        <f>HYPERLINK("https://lynxcrm-apac--c.eu19.visual.force.com/0011i000001xoV3AAI","Tan, Swee Yaw")</f>
        <v>Tan, Swee Yaw</v>
      </c>
      <c r="B4992" t="s">
        <v>9299</v>
      </c>
      <c r="C4992" t="s">
        <v>28</v>
      </c>
      <c r="D4992" t="s">
        <v>449</v>
      </c>
      <c r="E4992" t="s">
        <v>8</v>
      </c>
      <c r="F4992" t="s">
        <v>450</v>
      </c>
      <c r="G4992" t="s">
        <v>449</v>
      </c>
      <c r="H4992" t="s">
        <v>449</v>
      </c>
      <c r="I4992" t="s">
        <v>451</v>
      </c>
    </row>
    <row r="4993" spans="1:9" x14ac:dyDescent="0.25">
      <c r="A4993" s="1" t="str">
        <f>HYPERLINK("https://lynxcrm-apac--c.eu19.visual.force.com/0011i000001xoV3AAI","Tan, Swee Yaw")</f>
        <v>Tan, Swee Yaw</v>
      </c>
      <c r="B4993" t="s">
        <v>9299</v>
      </c>
      <c r="C4993" t="s">
        <v>28</v>
      </c>
      <c r="D4993" t="s">
        <v>449</v>
      </c>
      <c r="E4993" t="s">
        <v>8</v>
      </c>
      <c r="F4993" t="s">
        <v>234</v>
      </c>
      <c r="G4993" t="s">
        <v>452</v>
      </c>
      <c r="H4993" t="s">
        <v>453</v>
      </c>
      <c r="I4993" t="s">
        <v>454</v>
      </c>
    </row>
    <row r="4994" spans="1:9" x14ac:dyDescent="0.25">
      <c r="A4994" s="1" t="str">
        <f>HYPERLINK("https://lynxcrm-apac--c.eu19.visual.force.com/0011i000001xoEtAAI","Tan, Swee Yen Alvin")</f>
        <v>Tan, Swee Yen Alvin</v>
      </c>
      <c r="B4994" t="s">
        <v>9300</v>
      </c>
      <c r="C4994" t="s">
        <v>28</v>
      </c>
      <c r="D4994" t="s">
        <v>9301</v>
      </c>
      <c r="E4994" t="s">
        <v>8</v>
      </c>
      <c r="F4994" t="s">
        <v>6232</v>
      </c>
      <c r="G4994" t="s">
        <v>6232</v>
      </c>
      <c r="H4994" t="s">
        <v>8</v>
      </c>
      <c r="I4994" t="s">
        <v>6234</v>
      </c>
    </row>
    <row r="4995" spans="1:9" x14ac:dyDescent="0.25">
      <c r="A4995" s="1" t="str">
        <f>HYPERLINK("https://lynxcrm-apac--c.eu19.visual.force.com/0011i000001xotuAAA","Tan, Sze Chin")</f>
        <v>Tan, Sze Chin</v>
      </c>
      <c r="B4995" t="s">
        <v>9302</v>
      </c>
      <c r="C4995" t="s">
        <v>28</v>
      </c>
      <c r="D4995" t="s">
        <v>261</v>
      </c>
      <c r="E4995" t="s">
        <v>8</v>
      </c>
      <c r="F4995" t="s">
        <v>261</v>
      </c>
      <c r="G4995" t="s">
        <v>347</v>
      </c>
      <c r="H4995" t="s">
        <v>347</v>
      </c>
      <c r="I4995" t="s">
        <v>260</v>
      </c>
    </row>
    <row r="4996" spans="1:9" x14ac:dyDescent="0.25">
      <c r="A4996" s="1" t="str">
        <f>HYPERLINK("https://lynxcrm-apac--c.eu19.visual.force.com/0011i00000uRlqWAAS","Tan, Sze Huei Eliza")</f>
        <v>Tan, Sze Huei Eliza</v>
      </c>
      <c r="B4996" t="s">
        <v>9303</v>
      </c>
      <c r="C4996" t="s">
        <v>28</v>
      </c>
      <c r="D4996" t="s">
        <v>21</v>
      </c>
      <c r="E4996" t="s">
        <v>8</v>
      </c>
      <c r="F4996" t="s">
        <v>699</v>
      </c>
      <c r="G4996" t="s">
        <v>699</v>
      </c>
      <c r="H4996" t="s">
        <v>8</v>
      </c>
      <c r="I4996" t="s">
        <v>22</v>
      </c>
    </row>
    <row r="4997" spans="1:9" x14ac:dyDescent="0.25">
      <c r="A4997" s="1" t="str">
        <f>HYPERLINK("https://lynxcrm-apac--c.eu19.visual.force.com/0011i00000Xf1IXAAZ","Tan, Tan Sing Huang")</f>
        <v>Tan, Tan Sing Huang</v>
      </c>
      <c r="B4997" t="s">
        <v>9304</v>
      </c>
      <c r="C4997" t="s">
        <v>28</v>
      </c>
      <c r="D4997" t="s">
        <v>5867</v>
      </c>
      <c r="E4997" t="s">
        <v>8</v>
      </c>
      <c r="F4997" t="s">
        <v>5868</v>
      </c>
      <c r="G4997" t="s">
        <v>569</v>
      </c>
      <c r="H4997" t="s">
        <v>8</v>
      </c>
      <c r="I4997" t="s">
        <v>344</v>
      </c>
    </row>
    <row r="4998" spans="1:9" x14ac:dyDescent="0.25">
      <c r="A4998" s="1" t="str">
        <f>HYPERLINK("https://lynxcrm-apac--c.eu19.visual.force.com/0011i000001xnuJAAQ","Tan, Teck Choon")</f>
        <v>Tan, Teck Choon</v>
      </c>
      <c r="B4998" t="s">
        <v>9305</v>
      </c>
      <c r="C4998" t="s">
        <v>28</v>
      </c>
      <c r="D4998" t="s">
        <v>261</v>
      </c>
      <c r="E4998" t="s">
        <v>8</v>
      </c>
      <c r="F4998" t="s">
        <v>261</v>
      </c>
      <c r="G4998" t="s">
        <v>347</v>
      </c>
      <c r="H4998" t="s">
        <v>347</v>
      </c>
      <c r="I4998" t="s">
        <v>260</v>
      </c>
    </row>
    <row r="4999" spans="1:9" x14ac:dyDescent="0.25">
      <c r="A4999" s="1" t="str">
        <f>HYPERLINK("https://lynxcrm-apac--c.eu19.visual.force.com/0011i000001xng8AAA","Tan, Teck Huat, Andre")</f>
        <v>Tan, Teck Huat, Andre</v>
      </c>
      <c r="B4999" t="s">
        <v>9306</v>
      </c>
      <c r="C4999" t="s">
        <v>28</v>
      </c>
      <c r="D4999" t="s">
        <v>429</v>
      </c>
      <c r="E4999" t="s">
        <v>8</v>
      </c>
      <c r="F4999" t="s">
        <v>429</v>
      </c>
      <c r="G4999" t="s">
        <v>428</v>
      </c>
      <c r="H4999" t="s">
        <v>428</v>
      </c>
      <c r="I4999" t="s">
        <v>430</v>
      </c>
    </row>
    <row r="5000" spans="1:9" x14ac:dyDescent="0.25">
      <c r="A5000" s="1" t="str">
        <f>HYPERLINK("https://lynxcrm-apac--c.eu19.visual.force.com/0011i000001xng8AAA","Tan, Teck Huat, Andre")</f>
        <v>Tan, Teck Huat, Andre</v>
      </c>
      <c r="B5000" t="s">
        <v>9306</v>
      </c>
      <c r="C5000" t="s">
        <v>28</v>
      </c>
      <c r="D5000" t="s">
        <v>429</v>
      </c>
      <c r="E5000" t="s">
        <v>8</v>
      </c>
      <c r="F5000" t="s">
        <v>444</v>
      </c>
      <c r="G5000" t="s">
        <v>444</v>
      </c>
      <c r="H5000" t="s">
        <v>8</v>
      </c>
      <c r="I5000" t="s">
        <v>430</v>
      </c>
    </row>
    <row r="5001" spans="1:9" x14ac:dyDescent="0.25">
      <c r="A5001" s="1" t="str">
        <f>HYPERLINK("https://lynxcrm-apac--c.eu19.visual.force.com/0011i000001xng8AAA","Tan, Teck Huat, Andre")</f>
        <v>Tan, Teck Huat, Andre</v>
      </c>
      <c r="B5001" t="s">
        <v>9306</v>
      </c>
      <c r="C5001" t="s">
        <v>28</v>
      </c>
      <c r="D5001" t="s">
        <v>429</v>
      </c>
      <c r="E5001" t="s">
        <v>8</v>
      </c>
      <c r="F5001" t="s">
        <v>445</v>
      </c>
      <c r="G5001" t="s">
        <v>428</v>
      </c>
      <c r="H5001" t="s">
        <v>428</v>
      </c>
      <c r="I5001" t="s">
        <v>430</v>
      </c>
    </row>
    <row r="5002" spans="1:9" x14ac:dyDescent="0.25">
      <c r="A5002" s="1" t="str">
        <f>HYPERLINK("https://lynxcrm-apac--c.eu19.visual.force.com/0011i000001xng8AAA","Tan, Teck Huat, Andre")</f>
        <v>Tan, Teck Huat, Andre</v>
      </c>
      <c r="B5002" t="s">
        <v>9306</v>
      </c>
      <c r="C5002" t="s">
        <v>28</v>
      </c>
      <c r="D5002" t="s">
        <v>429</v>
      </c>
      <c r="E5002" t="s">
        <v>8</v>
      </c>
      <c r="F5002" t="s">
        <v>444</v>
      </c>
      <c r="G5002" t="s">
        <v>444</v>
      </c>
      <c r="H5002" t="s">
        <v>8</v>
      </c>
      <c r="I5002" t="s">
        <v>8</v>
      </c>
    </row>
    <row r="5003" spans="1:9" x14ac:dyDescent="0.25">
      <c r="A5003" s="1" t="str">
        <f>HYPERLINK("https://lynxcrm-apac--c.eu19.visual.force.com/0011i000001xntDAAQ","Tan, Teck Poh")</f>
        <v>Tan, Teck Poh</v>
      </c>
      <c r="B5003" t="s">
        <v>9307</v>
      </c>
      <c r="C5003" t="s">
        <v>28</v>
      </c>
      <c r="D5003" t="s">
        <v>9308</v>
      </c>
      <c r="E5003" t="s">
        <v>8</v>
      </c>
      <c r="F5003" t="s">
        <v>2950</v>
      </c>
      <c r="G5003" t="s">
        <v>2951</v>
      </c>
      <c r="H5003" t="s">
        <v>2951</v>
      </c>
      <c r="I5003" t="s">
        <v>2952</v>
      </c>
    </row>
    <row r="5004" spans="1:9" x14ac:dyDescent="0.25">
      <c r="A5004" s="1" t="str">
        <f>HYPERLINK("https://lynxcrm-apac--c.eu19.visual.force.com/0011i000001xntEAAQ","Tan, Teck Shi")</f>
        <v>Tan, Teck Shi</v>
      </c>
      <c r="B5004" t="s">
        <v>9309</v>
      </c>
      <c r="C5004" t="s">
        <v>28</v>
      </c>
      <c r="D5004" t="s">
        <v>1698</v>
      </c>
      <c r="E5004" t="s">
        <v>8</v>
      </c>
      <c r="F5004" t="s">
        <v>2273</v>
      </c>
      <c r="G5004" t="s">
        <v>2273</v>
      </c>
      <c r="H5004" t="s">
        <v>8</v>
      </c>
      <c r="I5004" t="s">
        <v>8</v>
      </c>
    </row>
    <row r="5005" spans="1:9" x14ac:dyDescent="0.25">
      <c r="A5005" s="1" t="str">
        <f>HYPERLINK("https://lynxcrm-apac--c.eu19.visual.force.com/0011i000001xntFAAQ","Tan, Tee Ngee")</f>
        <v>Tan, Tee Ngee</v>
      </c>
      <c r="B5005" t="s">
        <v>9310</v>
      </c>
      <c r="C5005" t="s">
        <v>28</v>
      </c>
      <c r="D5005" t="s">
        <v>6388</v>
      </c>
      <c r="E5005" t="s">
        <v>8</v>
      </c>
      <c r="F5005" t="s">
        <v>9311</v>
      </c>
      <c r="G5005" t="s">
        <v>8548</v>
      </c>
      <c r="H5005" t="s">
        <v>9312</v>
      </c>
      <c r="I5005" t="s">
        <v>3776</v>
      </c>
    </row>
    <row r="5006" spans="1:9" x14ac:dyDescent="0.25">
      <c r="A5006" s="1" t="str">
        <f>HYPERLINK("https://lynxcrm-apac--c.eu19.visual.force.com/0011i000001xo6NAAQ","Tan, Teing Ee")</f>
        <v>Tan, Teing Ee</v>
      </c>
      <c r="B5006" t="s">
        <v>9313</v>
      </c>
      <c r="C5006" t="s">
        <v>28</v>
      </c>
      <c r="D5006" t="s">
        <v>449</v>
      </c>
      <c r="E5006" t="s">
        <v>8</v>
      </c>
      <c r="F5006" t="s">
        <v>1438</v>
      </c>
      <c r="G5006" t="s">
        <v>452</v>
      </c>
      <c r="H5006" t="s">
        <v>453</v>
      </c>
      <c r="I5006" t="s">
        <v>454</v>
      </c>
    </row>
    <row r="5007" spans="1:9" x14ac:dyDescent="0.25">
      <c r="A5007" s="1" t="str">
        <f>HYPERLINK("https://lynxcrm-apac--c.eu19.visual.force.com/0011i000001xoMBAAY","Tan, Teing Ping")</f>
        <v>Tan, Teing Ping</v>
      </c>
      <c r="B5007" t="s">
        <v>9314</v>
      </c>
      <c r="C5007" t="s">
        <v>28</v>
      </c>
      <c r="D5007" t="s">
        <v>1733</v>
      </c>
      <c r="E5007" t="s">
        <v>8</v>
      </c>
      <c r="F5007" t="s">
        <v>9315</v>
      </c>
      <c r="G5007" t="s">
        <v>9316</v>
      </c>
      <c r="H5007" t="s">
        <v>9317</v>
      </c>
      <c r="I5007" t="s">
        <v>9318</v>
      </c>
    </row>
    <row r="5008" spans="1:9" x14ac:dyDescent="0.25">
      <c r="A5008" s="1" t="str">
        <f>HYPERLINK("https://lynxcrm-apac--c.eu19.visual.force.com/0011i000001xoFSAAY","Tan, Teng Kok")</f>
        <v>Tan, Teng Kok</v>
      </c>
      <c r="B5008" t="s">
        <v>9319</v>
      </c>
      <c r="C5008" t="s">
        <v>28</v>
      </c>
      <c r="D5008" t="s">
        <v>1253</v>
      </c>
      <c r="E5008" t="s">
        <v>8</v>
      </c>
      <c r="F5008" t="s">
        <v>368</v>
      </c>
      <c r="G5008" t="s">
        <v>360</v>
      </c>
      <c r="H5008" t="s">
        <v>361</v>
      </c>
      <c r="I5008" t="s">
        <v>362</v>
      </c>
    </row>
    <row r="5009" spans="1:9" x14ac:dyDescent="0.25">
      <c r="A5009" s="1" t="str">
        <f>HYPERLINK("https://lynxcrm-apac--c.eu19.visual.force.com/0011i000001xntGAAQ","Tan, Teow Hin Arthur")</f>
        <v>Tan, Teow Hin Arthur</v>
      </c>
      <c r="B5009" t="s">
        <v>9320</v>
      </c>
      <c r="C5009" t="s">
        <v>28</v>
      </c>
      <c r="D5009" t="s">
        <v>9321</v>
      </c>
      <c r="E5009" t="s">
        <v>8</v>
      </c>
      <c r="F5009" t="s">
        <v>69</v>
      </c>
      <c r="G5009" t="s">
        <v>9322</v>
      </c>
      <c r="H5009" t="s">
        <v>9323</v>
      </c>
      <c r="I5009" t="s">
        <v>67</v>
      </c>
    </row>
    <row r="5010" spans="1:9" x14ac:dyDescent="0.25">
      <c r="A5010" s="1" t="str">
        <f>HYPERLINK("https://lynxcrm-apac--c.eu19.visual.force.com/0011i000001xoi6AAA","Tan, Terence")</f>
        <v>Tan, Terence</v>
      </c>
      <c r="B5010" t="s">
        <v>9324</v>
      </c>
      <c r="C5010" t="s">
        <v>28</v>
      </c>
      <c r="D5010" t="s">
        <v>9325</v>
      </c>
      <c r="E5010" t="s">
        <v>8</v>
      </c>
      <c r="F5010" t="s">
        <v>7884</v>
      </c>
      <c r="G5010" t="s">
        <v>7931</v>
      </c>
      <c r="H5010" t="s">
        <v>7931</v>
      </c>
      <c r="I5010" t="s">
        <v>7886</v>
      </c>
    </row>
    <row r="5011" spans="1:9" x14ac:dyDescent="0.25">
      <c r="A5011" s="1" t="str">
        <f>HYPERLINK("https://lynxcrm-apac--c.eu19.visual.force.com/0011i000001xoq2AAA","Tan, Ter Wen Jessie")</f>
        <v>Tan, Ter Wen Jessie</v>
      </c>
      <c r="B5011" t="s">
        <v>9326</v>
      </c>
      <c r="C5011" t="s">
        <v>28</v>
      </c>
      <c r="D5011" t="s">
        <v>1333</v>
      </c>
      <c r="E5011" t="s">
        <v>8</v>
      </c>
      <c r="F5011" t="s">
        <v>34</v>
      </c>
      <c r="G5011" t="s">
        <v>9327</v>
      </c>
      <c r="H5011" t="s">
        <v>9327</v>
      </c>
      <c r="I5011" t="s">
        <v>36</v>
      </c>
    </row>
    <row r="5012" spans="1:9" x14ac:dyDescent="0.25">
      <c r="A5012" s="1" t="str">
        <f>HYPERLINK("https://lynxcrm-apac--c.eu19.visual.force.com/0011i000001xntHAAQ","Tan, Thian Chye")</f>
        <v>Tan, Thian Chye</v>
      </c>
      <c r="B5012" t="s">
        <v>9328</v>
      </c>
      <c r="C5012" t="s">
        <v>28</v>
      </c>
      <c r="D5012" t="s">
        <v>9329</v>
      </c>
      <c r="E5012" t="s">
        <v>8</v>
      </c>
      <c r="F5012" t="s">
        <v>9330</v>
      </c>
      <c r="G5012" t="s">
        <v>9330</v>
      </c>
      <c r="H5012" t="s">
        <v>9331</v>
      </c>
      <c r="I5012" t="s">
        <v>9332</v>
      </c>
    </row>
    <row r="5013" spans="1:9" x14ac:dyDescent="0.25">
      <c r="A5013" s="1" t="str">
        <f>HYPERLINK("https://lynxcrm-apac--c.eu19.visual.force.com/0011i000001xnt3AAA","Tan, Thuan Ngee")</f>
        <v>Tan, Thuan Ngee</v>
      </c>
      <c r="B5013" t="s">
        <v>9333</v>
      </c>
      <c r="C5013" t="s">
        <v>28</v>
      </c>
      <c r="D5013" t="s">
        <v>583</v>
      </c>
      <c r="E5013" t="s">
        <v>8</v>
      </c>
      <c r="F5013" t="s">
        <v>583</v>
      </c>
      <c r="G5013" t="s">
        <v>584</v>
      </c>
      <c r="H5013" t="s">
        <v>584</v>
      </c>
      <c r="I5013" t="s">
        <v>585</v>
      </c>
    </row>
    <row r="5014" spans="1:9" x14ac:dyDescent="0.25">
      <c r="A5014" s="1" t="str">
        <f>HYPERLINK("https://lynxcrm-apac--c.eu19.visual.force.com/0011i000001xo8QAAQ","Tan, Tiang Lee Walter")</f>
        <v>Tan, Tiang Lee Walter</v>
      </c>
      <c r="B5014" t="s">
        <v>9334</v>
      </c>
      <c r="C5014" t="s">
        <v>28</v>
      </c>
      <c r="D5014" t="s">
        <v>164</v>
      </c>
      <c r="E5014" t="s">
        <v>8</v>
      </c>
      <c r="F5014" t="s">
        <v>8096</v>
      </c>
      <c r="G5014" t="s">
        <v>163</v>
      </c>
      <c r="H5014" t="s">
        <v>163</v>
      </c>
      <c r="I5014" t="s">
        <v>165</v>
      </c>
    </row>
    <row r="5015" spans="1:9" x14ac:dyDescent="0.25">
      <c r="A5015" s="1" t="str">
        <f>HYPERLINK("https://lynxcrm-apac--c.eu19.visual.force.com/0011i000001xo8QAAQ","Tan, Tiang Lee Walter")</f>
        <v>Tan, Tiang Lee Walter</v>
      </c>
      <c r="B5015" t="s">
        <v>9334</v>
      </c>
      <c r="C5015" t="s">
        <v>28</v>
      </c>
      <c r="D5015" t="s">
        <v>164</v>
      </c>
      <c r="E5015" t="s">
        <v>8</v>
      </c>
      <c r="F5015" t="s">
        <v>163</v>
      </c>
      <c r="G5015" t="s">
        <v>228</v>
      </c>
      <c r="H5015" t="s">
        <v>228</v>
      </c>
      <c r="I5015" t="s">
        <v>165</v>
      </c>
    </row>
    <row r="5016" spans="1:9" x14ac:dyDescent="0.25">
      <c r="A5016" s="1" t="str">
        <f>HYPERLINK("https://lynxcrm-apac--c.eu19.visual.force.com/0011i000001xo8QAAQ","Tan, Tiang Lee Walter")</f>
        <v>Tan, Tiang Lee Walter</v>
      </c>
      <c r="B5016" t="s">
        <v>9334</v>
      </c>
      <c r="C5016" t="s">
        <v>28</v>
      </c>
      <c r="D5016" t="s">
        <v>164</v>
      </c>
      <c r="E5016" t="s">
        <v>8</v>
      </c>
      <c r="F5016" t="s">
        <v>229</v>
      </c>
      <c r="G5016" t="s">
        <v>163</v>
      </c>
      <c r="H5016" t="s">
        <v>163</v>
      </c>
      <c r="I5016" t="s">
        <v>165</v>
      </c>
    </row>
    <row r="5017" spans="1:9" x14ac:dyDescent="0.25">
      <c r="A5017" s="1" t="str">
        <f>HYPERLINK("https://lynxcrm-apac--c.eu19.visual.force.com/0011i000001xoRhAAI","Tan, Tin Kiat Robert")</f>
        <v>Tan, Tin Kiat Robert</v>
      </c>
      <c r="B5017" t="s">
        <v>9335</v>
      </c>
      <c r="C5017" t="s">
        <v>28</v>
      </c>
      <c r="D5017" t="s">
        <v>9336</v>
      </c>
      <c r="E5017" t="s">
        <v>8</v>
      </c>
      <c r="F5017" t="s">
        <v>69</v>
      </c>
      <c r="G5017" t="s">
        <v>8199</v>
      </c>
      <c r="H5017" t="s">
        <v>8200</v>
      </c>
      <c r="I5017" t="s">
        <v>67</v>
      </c>
    </row>
    <row r="5018" spans="1:9" x14ac:dyDescent="0.25">
      <c r="A5018" s="1" t="str">
        <f>HYPERLINK("https://lynxcrm-apac--c.eu19.visual.force.com/0011i000001xoIJAAY","Tan, Tommy")</f>
        <v>Tan, Tommy</v>
      </c>
      <c r="B5018" t="s">
        <v>9337</v>
      </c>
      <c r="C5018" t="s">
        <v>28</v>
      </c>
      <c r="D5018" t="s">
        <v>9338</v>
      </c>
      <c r="E5018" t="s">
        <v>8</v>
      </c>
      <c r="F5018" t="s">
        <v>7259</v>
      </c>
      <c r="G5018" t="s">
        <v>7260</v>
      </c>
      <c r="H5018" t="s">
        <v>7260</v>
      </c>
      <c r="I5018" t="s">
        <v>887</v>
      </c>
    </row>
    <row r="5019" spans="1:9" x14ac:dyDescent="0.25">
      <c r="A5019" s="1" t="str">
        <f>HYPERLINK("https://lynxcrm-apac--c.eu19.visual.force.com/0011i000001xoN1AAI","Tan, Tong Nam Patrick")</f>
        <v>Tan, Tong Nam Patrick</v>
      </c>
      <c r="B5019" t="s">
        <v>9339</v>
      </c>
      <c r="C5019" t="s">
        <v>28</v>
      </c>
      <c r="D5019" t="s">
        <v>2214</v>
      </c>
      <c r="E5019" t="s">
        <v>8</v>
      </c>
      <c r="F5019" t="s">
        <v>2215</v>
      </c>
      <c r="G5019" t="s">
        <v>2216</v>
      </c>
      <c r="H5019" t="s">
        <v>2216</v>
      </c>
      <c r="I5019" t="s">
        <v>2217</v>
      </c>
    </row>
    <row r="5020" spans="1:9" x14ac:dyDescent="0.25">
      <c r="A5020" s="1" t="str">
        <f>HYPERLINK("https://lynxcrm-apac--c.eu19.visual.force.com/0011i000001xntKAAQ","Tan, Tze Lee")</f>
        <v>Tan, Tze Lee</v>
      </c>
      <c r="B5020" t="s">
        <v>9340</v>
      </c>
      <c r="C5020" t="s">
        <v>28</v>
      </c>
      <c r="D5020" t="s">
        <v>4742</v>
      </c>
      <c r="E5020" t="s">
        <v>8</v>
      </c>
      <c r="F5020" t="s">
        <v>4743</v>
      </c>
      <c r="G5020" t="s">
        <v>4744</v>
      </c>
      <c r="H5020" t="s">
        <v>4745</v>
      </c>
      <c r="I5020" t="s">
        <v>4746</v>
      </c>
    </row>
    <row r="5021" spans="1:9" x14ac:dyDescent="0.25">
      <c r="A5021" s="1" t="str">
        <f>HYPERLINK("https://lynxcrm-apac--c.eu19.visual.force.com/0011i000001xopMAAQ","Tan, Tze Liang")</f>
        <v>Tan, Tze Liang</v>
      </c>
      <c r="B5021" t="s">
        <v>9341</v>
      </c>
      <c r="C5021" t="s">
        <v>28</v>
      </c>
      <c r="D5021" t="s">
        <v>12</v>
      </c>
      <c r="E5021" t="s">
        <v>8</v>
      </c>
      <c r="F5021" t="s">
        <v>11</v>
      </c>
      <c r="G5021" t="s">
        <v>11</v>
      </c>
      <c r="H5021" t="s">
        <v>8</v>
      </c>
      <c r="I5021" t="s">
        <v>13</v>
      </c>
    </row>
    <row r="5022" spans="1:9" x14ac:dyDescent="0.25">
      <c r="A5022" s="1" t="str">
        <f>HYPERLINK("https://lynxcrm-apac--c.eu19.visual.force.com/0011i00000ugB2bAAE","Tan, Vicki")</f>
        <v>Tan, Vicki</v>
      </c>
      <c r="B5022" t="s">
        <v>9342</v>
      </c>
      <c r="C5022" t="s">
        <v>28</v>
      </c>
      <c r="D5022" t="s">
        <v>550</v>
      </c>
      <c r="E5022" t="s">
        <v>8</v>
      </c>
      <c r="F5022" t="s">
        <v>2342</v>
      </c>
      <c r="G5022" t="s">
        <v>919</v>
      </c>
      <c r="H5022" t="s">
        <v>919</v>
      </c>
      <c r="I5022" t="s">
        <v>554</v>
      </c>
    </row>
    <row r="5023" spans="1:9" x14ac:dyDescent="0.25">
      <c r="A5023" s="1" t="str">
        <f>HYPERLINK("https://lynxcrm-apac--c.eu19.visual.force.com/0011i000001xntLAAQ","Tan, Wah San")</f>
        <v>Tan, Wah San</v>
      </c>
      <c r="B5023" t="s">
        <v>9343</v>
      </c>
      <c r="C5023" t="s">
        <v>28</v>
      </c>
      <c r="D5023" t="s">
        <v>9344</v>
      </c>
      <c r="E5023" t="s">
        <v>8</v>
      </c>
      <c r="F5023" t="s">
        <v>9345</v>
      </c>
      <c r="G5023" t="s">
        <v>2906</v>
      </c>
      <c r="H5023" t="s">
        <v>4634</v>
      </c>
      <c r="I5023" t="s">
        <v>2766</v>
      </c>
    </row>
    <row r="5024" spans="1:9" x14ac:dyDescent="0.25">
      <c r="A5024" s="1" t="str">
        <f>HYPERLINK("https://lynxcrm-apac--c.eu19.visual.force.com/0011i00000X9NcCAAV","Tan, Wah Siew")</f>
        <v>Tan, Wah Siew</v>
      </c>
      <c r="B5024" t="s">
        <v>9346</v>
      </c>
      <c r="C5024" t="s">
        <v>28</v>
      </c>
      <c r="D5024" t="s">
        <v>5482</v>
      </c>
      <c r="E5024" t="s">
        <v>8</v>
      </c>
      <c r="F5024" t="s">
        <v>5483</v>
      </c>
      <c r="G5024" t="s">
        <v>377</v>
      </c>
      <c r="H5024" t="s">
        <v>8</v>
      </c>
      <c r="I5024" t="s">
        <v>123</v>
      </c>
    </row>
    <row r="5025" spans="1:9" x14ac:dyDescent="0.25">
      <c r="A5025" s="1" t="str">
        <f>HYPERLINK("https://lynxcrm-apac--c.eu19.visual.force.com/0011i00000Xf1H2AAJ","Tan, Wan Ling")</f>
        <v>Tan, Wan Ling</v>
      </c>
      <c r="B5025" t="s">
        <v>9347</v>
      </c>
      <c r="C5025" t="s">
        <v>28</v>
      </c>
      <c r="D5025" t="s">
        <v>2027</v>
      </c>
      <c r="E5025" t="s">
        <v>8</v>
      </c>
      <c r="F5025" t="s">
        <v>2028</v>
      </c>
      <c r="G5025" t="s">
        <v>2029</v>
      </c>
      <c r="H5025" t="s">
        <v>8</v>
      </c>
      <c r="I5025" t="s">
        <v>488</v>
      </c>
    </row>
    <row r="5026" spans="1:9" x14ac:dyDescent="0.25">
      <c r="A5026" s="1" t="str">
        <f>HYPERLINK("https://lynxcrm-apac--c.eu19.visual.force.com/0011i000001xnhmAAA","Tan, Wee Keng Alan")</f>
        <v>Tan, Wee Keng Alan</v>
      </c>
      <c r="B5026" t="s">
        <v>9348</v>
      </c>
      <c r="C5026" t="s">
        <v>28</v>
      </c>
      <c r="D5026" t="s">
        <v>1126</v>
      </c>
      <c r="E5026" t="s">
        <v>8</v>
      </c>
      <c r="F5026" t="s">
        <v>1127</v>
      </c>
      <c r="G5026" t="s">
        <v>1128</v>
      </c>
      <c r="H5026" t="s">
        <v>1128</v>
      </c>
      <c r="I5026" t="s">
        <v>996</v>
      </c>
    </row>
    <row r="5027" spans="1:9" x14ac:dyDescent="0.25">
      <c r="A5027" s="1" t="str">
        <f>HYPERLINK("https://lynxcrm-apac--c.eu19.visual.force.com/0011i000001xoEsAAI","Tan, Wee Kiat")</f>
        <v>Tan, Wee Kiat</v>
      </c>
      <c r="B5027" t="s">
        <v>9349</v>
      </c>
      <c r="C5027" t="s">
        <v>28</v>
      </c>
      <c r="D5027" t="s">
        <v>9350</v>
      </c>
      <c r="E5027" t="s">
        <v>8</v>
      </c>
      <c r="F5027" t="s">
        <v>866</v>
      </c>
      <c r="G5027" t="s">
        <v>564</v>
      </c>
      <c r="H5027" t="s">
        <v>564</v>
      </c>
      <c r="I5027" t="s">
        <v>867</v>
      </c>
    </row>
    <row r="5028" spans="1:9" x14ac:dyDescent="0.25">
      <c r="A5028" s="1" t="str">
        <f>HYPERLINK("https://lynxcrm-apac--c.eu19.visual.force.com/0011i000001xoGZAAY","Tan, Wee Lin")</f>
        <v>Tan, Wee Lin</v>
      </c>
      <c r="B5028" t="s">
        <v>9351</v>
      </c>
      <c r="C5028" t="s">
        <v>28</v>
      </c>
      <c r="D5028" t="s">
        <v>6231</v>
      </c>
      <c r="E5028" t="s">
        <v>8</v>
      </c>
      <c r="F5028" t="s">
        <v>9352</v>
      </c>
      <c r="G5028" t="s">
        <v>9353</v>
      </c>
      <c r="H5028" t="s">
        <v>9353</v>
      </c>
      <c r="I5028" t="s">
        <v>7655</v>
      </c>
    </row>
    <row r="5029" spans="1:9" x14ac:dyDescent="0.25">
      <c r="A5029" s="1" t="str">
        <f>HYPERLINK("https://lynxcrm-apac--c.eu19.visual.force.com/0011i000001xoDGAAY","Tan, Wee Lun Marcus")</f>
        <v>Tan, Wee Lun Marcus</v>
      </c>
      <c r="B5029" t="s">
        <v>9354</v>
      </c>
      <c r="C5029" t="s">
        <v>28</v>
      </c>
      <c r="D5029" t="s">
        <v>8347</v>
      </c>
      <c r="E5029" t="s">
        <v>8</v>
      </c>
      <c r="F5029" t="s">
        <v>8348</v>
      </c>
      <c r="G5029" t="s">
        <v>885</v>
      </c>
      <c r="H5029" t="s">
        <v>8349</v>
      </c>
      <c r="I5029" t="s">
        <v>887</v>
      </c>
    </row>
    <row r="5030" spans="1:9" x14ac:dyDescent="0.25">
      <c r="A5030" s="1" t="str">
        <f>HYPERLINK("https://lynxcrm-apac--c.eu19.visual.force.com/0011i000001xoDGAAY","Tan, Wee Lun Marcus")</f>
        <v>Tan, Wee Lun Marcus</v>
      </c>
      <c r="B5030" t="s">
        <v>9354</v>
      </c>
      <c r="C5030" t="s">
        <v>28</v>
      </c>
      <c r="D5030" t="s">
        <v>8347</v>
      </c>
      <c r="E5030" t="s">
        <v>8</v>
      </c>
      <c r="F5030" t="s">
        <v>8348</v>
      </c>
      <c r="G5030" t="s">
        <v>885</v>
      </c>
      <c r="H5030" t="s">
        <v>885</v>
      </c>
      <c r="I5030" t="s">
        <v>887</v>
      </c>
    </row>
    <row r="5031" spans="1:9" x14ac:dyDescent="0.25">
      <c r="A5031" s="1" t="str">
        <f>HYPERLINK("https://lynxcrm-apac--c.eu19.visual.force.com/0011i000001xodEAAQ","Tan, Wee Meng")</f>
        <v>Tan, Wee Meng</v>
      </c>
      <c r="B5031" t="s">
        <v>9355</v>
      </c>
      <c r="C5031" t="s">
        <v>28</v>
      </c>
      <c r="D5031" t="s">
        <v>9356</v>
      </c>
      <c r="E5031" t="s">
        <v>8</v>
      </c>
      <c r="F5031" t="s">
        <v>6679</v>
      </c>
      <c r="G5031" t="s">
        <v>6680</v>
      </c>
      <c r="H5031" t="s">
        <v>6681</v>
      </c>
      <c r="I5031" t="s">
        <v>6677</v>
      </c>
    </row>
    <row r="5032" spans="1:9" x14ac:dyDescent="0.25">
      <c r="A5032" s="1" t="str">
        <f>HYPERLINK("https://lynxcrm-apac--c.eu19.visual.force.com/0011i000001xntPAAQ","Tan, Wee Teck Gordon")</f>
        <v>Tan, Wee Teck Gordon</v>
      </c>
      <c r="B5032" t="s">
        <v>9357</v>
      </c>
      <c r="C5032" t="s">
        <v>28</v>
      </c>
      <c r="D5032" t="s">
        <v>9358</v>
      </c>
      <c r="E5032" t="s">
        <v>8</v>
      </c>
      <c r="F5032" t="s">
        <v>69</v>
      </c>
      <c r="G5032" t="s">
        <v>9359</v>
      </c>
      <c r="H5032" t="s">
        <v>9360</v>
      </c>
      <c r="I5032" t="s">
        <v>67</v>
      </c>
    </row>
    <row r="5033" spans="1:9" x14ac:dyDescent="0.25">
      <c r="A5033" s="1" t="str">
        <f>HYPERLINK("https://lynxcrm-apac--c.eu19.visual.force.com/0011i000001xoRcAAI","Tan, Wei Cheh Jack")</f>
        <v>Tan, Wei Cheh Jack</v>
      </c>
      <c r="B5033" t="s">
        <v>9361</v>
      </c>
      <c r="C5033" t="s">
        <v>28</v>
      </c>
      <c r="D5033" t="s">
        <v>449</v>
      </c>
      <c r="E5033" t="s">
        <v>8</v>
      </c>
      <c r="F5033" t="s">
        <v>450</v>
      </c>
      <c r="G5033" t="s">
        <v>449</v>
      </c>
      <c r="H5033" t="s">
        <v>449</v>
      </c>
      <c r="I5033" t="s">
        <v>451</v>
      </c>
    </row>
    <row r="5034" spans="1:9" x14ac:dyDescent="0.25">
      <c r="A5034" s="1" t="str">
        <f>HYPERLINK("https://lynxcrm-apac--c.eu19.visual.force.com/0011i000001xoRcAAI","Tan, Wei Cheh Jack")</f>
        <v>Tan, Wei Cheh Jack</v>
      </c>
      <c r="B5034" t="s">
        <v>9361</v>
      </c>
      <c r="C5034" t="s">
        <v>28</v>
      </c>
      <c r="D5034" t="s">
        <v>449</v>
      </c>
      <c r="E5034" t="s">
        <v>8</v>
      </c>
      <c r="F5034" t="s">
        <v>234</v>
      </c>
      <c r="G5034" t="s">
        <v>452</v>
      </c>
      <c r="H5034" t="s">
        <v>453</v>
      </c>
      <c r="I5034" t="s">
        <v>454</v>
      </c>
    </row>
    <row r="5035" spans="1:9" x14ac:dyDescent="0.25">
      <c r="A5035" s="1" t="str">
        <f>HYPERLINK("https://lynxcrm-apac--c.eu19.visual.force.com/0011i000001xoQeAAI","Tan, Wei Liang David")</f>
        <v>Tan, Wei Liang David</v>
      </c>
      <c r="B5035" t="s">
        <v>9362</v>
      </c>
      <c r="C5035" t="s">
        <v>28</v>
      </c>
      <c r="D5035" t="s">
        <v>54</v>
      </c>
      <c r="E5035" t="s">
        <v>8</v>
      </c>
      <c r="F5035" t="s">
        <v>1225</v>
      </c>
      <c r="G5035" t="s">
        <v>1225</v>
      </c>
      <c r="H5035" t="s">
        <v>8</v>
      </c>
      <c r="I5035" t="s">
        <v>55</v>
      </c>
    </row>
    <row r="5036" spans="1:9" x14ac:dyDescent="0.25">
      <c r="A5036" s="1" t="str">
        <f>HYPERLINK("https://lynxcrm-apac--c.eu19.visual.force.com/0011i000001xo6hAAA","Tan, Wei Meng Lawrence")</f>
        <v>Tan, Wei Meng Lawrence</v>
      </c>
      <c r="B5036" t="s">
        <v>9363</v>
      </c>
      <c r="C5036" t="s">
        <v>28</v>
      </c>
      <c r="D5036" t="s">
        <v>501</v>
      </c>
      <c r="E5036" t="s">
        <v>8</v>
      </c>
      <c r="F5036" t="s">
        <v>359</v>
      </c>
      <c r="G5036" t="s">
        <v>502</v>
      </c>
      <c r="H5036" t="s">
        <v>503</v>
      </c>
      <c r="I5036" t="s">
        <v>506</v>
      </c>
    </row>
    <row r="5037" spans="1:9" x14ac:dyDescent="0.25">
      <c r="A5037" s="1" t="str">
        <f>HYPERLINK("https://lynxcrm-apac--c.eu19.visual.force.com/0011i000005IqwsAAC","Tan, Weixian Alex")</f>
        <v>Tan, Weixian Alex</v>
      </c>
      <c r="B5037" t="s">
        <v>9364</v>
      </c>
      <c r="C5037" t="s">
        <v>28</v>
      </c>
      <c r="D5037" t="s">
        <v>449</v>
      </c>
      <c r="E5037" t="s">
        <v>8</v>
      </c>
      <c r="F5037" t="s">
        <v>450</v>
      </c>
      <c r="G5037" t="s">
        <v>449</v>
      </c>
      <c r="H5037" t="s">
        <v>449</v>
      </c>
      <c r="I5037" t="s">
        <v>451</v>
      </c>
    </row>
    <row r="5038" spans="1:9" x14ac:dyDescent="0.25">
      <c r="A5038" s="1" t="str">
        <f>HYPERLINK("https://lynxcrm-apac--c.eu19.visual.force.com/0011i000005IqwsAAC","Tan, Weixian Alex")</f>
        <v>Tan, Weixian Alex</v>
      </c>
      <c r="B5038" t="s">
        <v>9364</v>
      </c>
      <c r="C5038" t="s">
        <v>28</v>
      </c>
      <c r="D5038" t="s">
        <v>449</v>
      </c>
      <c r="E5038" t="s">
        <v>8</v>
      </c>
      <c r="F5038" t="s">
        <v>234</v>
      </c>
      <c r="G5038" t="s">
        <v>452</v>
      </c>
      <c r="H5038" t="s">
        <v>453</v>
      </c>
      <c r="I5038" t="s">
        <v>454</v>
      </c>
    </row>
    <row r="5039" spans="1:9" x14ac:dyDescent="0.25">
      <c r="A5039" s="1" t="str">
        <f>HYPERLINK("https://lynxcrm-apac--c.eu19.visual.force.com/0011i000001xoB7AAI","Tan, Wen Hui")</f>
        <v>Tan, Wen Hui</v>
      </c>
      <c r="B5039" t="s">
        <v>9365</v>
      </c>
      <c r="C5039" t="s">
        <v>28</v>
      </c>
      <c r="D5039" t="s">
        <v>701</v>
      </c>
      <c r="E5039" t="s">
        <v>8</v>
      </c>
      <c r="F5039" t="s">
        <v>1123</v>
      </c>
      <c r="G5039" t="s">
        <v>1123</v>
      </c>
      <c r="H5039" t="s">
        <v>1124</v>
      </c>
      <c r="I5039" t="s">
        <v>703</v>
      </c>
    </row>
    <row r="5040" spans="1:9" x14ac:dyDescent="0.25">
      <c r="A5040" s="1" t="str">
        <f>HYPERLINK("https://lynxcrm-apac--c.eu19.visual.force.com/0011i000001xoB7AAI","Tan, Wen Hui")</f>
        <v>Tan, Wen Hui</v>
      </c>
      <c r="B5040" t="s">
        <v>9365</v>
      </c>
      <c r="C5040" t="s">
        <v>28</v>
      </c>
      <c r="D5040" t="s">
        <v>701</v>
      </c>
      <c r="E5040" t="s">
        <v>8</v>
      </c>
      <c r="F5040" t="s">
        <v>1123</v>
      </c>
      <c r="G5040" t="s">
        <v>1123</v>
      </c>
      <c r="H5040" t="s">
        <v>8</v>
      </c>
      <c r="I5040" t="s">
        <v>703</v>
      </c>
    </row>
    <row r="5041" spans="1:9" x14ac:dyDescent="0.25">
      <c r="A5041" s="1" t="str">
        <f>HYPERLINK("https://lynxcrm-apac--c.eu19.visual.force.com/0011i000001xoIUAAY","Tan, Wooi Keong")</f>
        <v>Tan, Wooi Keong</v>
      </c>
      <c r="B5041" t="s">
        <v>9366</v>
      </c>
      <c r="C5041" t="s">
        <v>28</v>
      </c>
      <c r="D5041" t="s">
        <v>6317</v>
      </c>
      <c r="E5041" t="s">
        <v>8</v>
      </c>
      <c r="F5041" t="s">
        <v>2869</v>
      </c>
      <c r="G5041" t="s">
        <v>2870</v>
      </c>
      <c r="H5041" t="s">
        <v>2871</v>
      </c>
      <c r="I5041" t="s">
        <v>2874</v>
      </c>
    </row>
    <row r="5042" spans="1:9" x14ac:dyDescent="0.25">
      <c r="A5042" s="1" t="str">
        <f>HYPERLINK("https://lynxcrm-apac--c.eu19.visual.force.com/0011i000001xntwAAA","Tan, Xue Mei")</f>
        <v>Tan, Xue Mei</v>
      </c>
      <c r="B5042" t="s">
        <v>9367</v>
      </c>
      <c r="C5042" t="s">
        <v>28</v>
      </c>
      <c r="D5042" t="s">
        <v>578</v>
      </c>
      <c r="E5042" t="s">
        <v>8</v>
      </c>
      <c r="F5042" t="s">
        <v>5632</v>
      </c>
      <c r="G5042" t="s">
        <v>5633</v>
      </c>
      <c r="H5042" t="s">
        <v>5633</v>
      </c>
      <c r="I5042" t="s">
        <v>733</v>
      </c>
    </row>
    <row r="5043" spans="1:9" x14ac:dyDescent="0.25">
      <c r="A5043" s="1" t="str">
        <f>HYPERLINK("https://lynxcrm-apac--c.eu19.visual.force.com/0011i000001xoOxAAI","Tan, Yan Fang")</f>
        <v>Tan, Yan Fang</v>
      </c>
      <c r="B5043" t="s">
        <v>9368</v>
      </c>
      <c r="C5043" t="s">
        <v>28</v>
      </c>
      <c r="D5043" t="s">
        <v>583</v>
      </c>
      <c r="E5043" t="s">
        <v>8</v>
      </c>
      <c r="F5043" t="s">
        <v>583</v>
      </c>
      <c r="G5043" t="s">
        <v>584</v>
      </c>
      <c r="H5043" t="s">
        <v>584</v>
      </c>
      <c r="I5043" t="s">
        <v>585</v>
      </c>
    </row>
    <row r="5044" spans="1:9" x14ac:dyDescent="0.25">
      <c r="A5044" s="1" t="str">
        <f>HYPERLINK("https://lynxcrm-apac--c.eu19.visual.force.com/0011i000001xntQAAQ","Tan, Yang Khai")</f>
        <v>Tan, Yang Khai</v>
      </c>
      <c r="B5044" t="s">
        <v>9369</v>
      </c>
      <c r="C5044" t="s">
        <v>28</v>
      </c>
      <c r="D5044" t="s">
        <v>4980</v>
      </c>
      <c r="E5044" t="s">
        <v>8</v>
      </c>
      <c r="F5044" t="s">
        <v>9370</v>
      </c>
      <c r="G5044" t="s">
        <v>4982</v>
      </c>
      <c r="H5044" t="s">
        <v>9371</v>
      </c>
      <c r="I5044" t="s">
        <v>4984</v>
      </c>
    </row>
    <row r="5045" spans="1:9" x14ac:dyDescent="0.25">
      <c r="A5045" s="1" t="str">
        <f>HYPERLINK("https://lynxcrm-apac--c.eu19.visual.force.com/0011i000007FFcUAAW","Tan, Yan Ru")</f>
        <v>Tan, Yan Ru</v>
      </c>
      <c r="B5045" t="s">
        <v>9372</v>
      </c>
      <c r="C5045" t="s">
        <v>28</v>
      </c>
      <c r="D5045" t="s">
        <v>261</v>
      </c>
      <c r="E5045" t="s">
        <v>8</v>
      </c>
      <c r="F5045" t="s">
        <v>261</v>
      </c>
      <c r="G5045" t="s">
        <v>347</v>
      </c>
      <c r="H5045" t="s">
        <v>347</v>
      </c>
      <c r="I5045" t="s">
        <v>260</v>
      </c>
    </row>
    <row r="5046" spans="1:9" x14ac:dyDescent="0.25">
      <c r="A5046" s="1" t="str">
        <f>HYPERLINK("https://lynxcrm-apac--c.eu19.visual.force.com/0011i000001xoaOAAQ","Tan, Yan Sheng")</f>
        <v>Tan, Yan Sheng</v>
      </c>
      <c r="B5046" t="s">
        <v>9373</v>
      </c>
      <c r="C5046" t="s">
        <v>28</v>
      </c>
      <c r="D5046" t="s">
        <v>545</v>
      </c>
      <c r="E5046" t="s">
        <v>8</v>
      </c>
      <c r="F5046" t="s">
        <v>546</v>
      </c>
      <c r="G5046" t="s">
        <v>547</v>
      </c>
      <c r="H5046" t="s">
        <v>547</v>
      </c>
      <c r="I5046" t="s">
        <v>548</v>
      </c>
    </row>
    <row r="5047" spans="1:9" x14ac:dyDescent="0.25">
      <c r="A5047" s="1" t="str">
        <f>HYPERLINK("https://lynxcrm-apac--c.eu19.visual.force.com/0011i000001xoa9AAA","Tan, Yean Choon")</f>
        <v>Tan, Yean Choon</v>
      </c>
      <c r="B5047" t="s">
        <v>9374</v>
      </c>
      <c r="C5047" t="s">
        <v>28</v>
      </c>
      <c r="D5047" t="s">
        <v>6511</v>
      </c>
      <c r="E5047" t="s">
        <v>8</v>
      </c>
      <c r="F5047" t="s">
        <v>6512</v>
      </c>
      <c r="G5047" t="s">
        <v>749</v>
      </c>
      <c r="H5047" t="s">
        <v>749</v>
      </c>
      <c r="I5047" t="s">
        <v>6513</v>
      </c>
    </row>
    <row r="5048" spans="1:9" x14ac:dyDescent="0.25">
      <c r="A5048" s="1" t="str">
        <f>HYPERLINK("https://lynxcrm-apac--c.eu19.visual.force.com/0011i000001xntRAAQ","Tan, Yeang Tin Nee")</f>
        <v>Tan, Yeang Tin Nee</v>
      </c>
      <c r="B5048" t="s">
        <v>9375</v>
      </c>
      <c r="C5048" t="s">
        <v>28</v>
      </c>
      <c r="D5048" t="s">
        <v>9376</v>
      </c>
      <c r="E5048" t="s">
        <v>8</v>
      </c>
      <c r="F5048" t="s">
        <v>2739</v>
      </c>
      <c r="G5048" t="s">
        <v>2740</v>
      </c>
      <c r="H5048" t="s">
        <v>2740</v>
      </c>
      <c r="I5048" t="s">
        <v>200</v>
      </c>
    </row>
    <row r="5049" spans="1:9" x14ac:dyDescent="0.25">
      <c r="A5049" s="1" t="str">
        <f>HYPERLINK("https://lynxcrm-apac--c.eu19.visual.force.com/0011i000001xo6RAAQ","Tan, Yeh Hong")</f>
        <v>Tan, Yeh Hong</v>
      </c>
      <c r="B5049" t="s">
        <v>9377</v>
      </c>
      <c r="C5049" t="s">
        <v>28</v>
      </c>
      <c r="D5049" t="s">
        <v>251</v>
      </c>
      <c r="E5049" t="s">
        <v>8</v>
      </c>
      <c r="F5049" t="s">
        <v>251</v>
      </c>
      <c r="G5049" t="s">
        <v>252</v>
      </c>
      <c r="H5049" t="s">
        <v>252</v>
      </c>
      <c r="I5049" t="s">
        <v>253</v>
      </c>
    </row>
    <row r="5050" spans="1:9" x14ac:dyDescent="0.25">
      <c r="A5050" s="1" t="str">
        <f>HYPERLINK("https://lynxcrm-apac--c.eu19.visual.force.com/0011i000001xo6RAAQ","Tan, Yeh Hong")</f>
        <v>Tan, Yeh Hong</v>
      </c>
      <c r="B5050" t="s">
        <v>9377</v>
      </c>
      <c r="C5050" t="s">
        <v>28</v>
      </c>
      <c r="D5050" t="s">
        <v>1623</v>
      </c>
      <c r="E5050" t="s">
        <v>8</v>
      </c>
      <c r="F5050" t="s">
        <v>252</v>
      </c>
      <c r="G5050" t="s">
        <v>251</v>
      </c>
      <c r="H5050" t="s">
        <v>251</v>
      </c>
      <c r="I5050" t="s">
        <v>253</v>
      </c>
    </row>
    <row r="5051" spans="1:9" x14ac:dyDescent="0.25">
      <c r="A5051" s="1" t="str">
        <f>HYPERLINK("https://lynxcrm-apac--c.eu19.visual.force.com/0011i000001xoMsAAI","Tan, Yen Yee Juliet")</f>
        <v>Tan, Yen Yee Juliet</v>
      </c>
      <c r="B5051" t="s">
        <v>9378</v>
      </c>
      <c r="C5051" t="s">
        <v>28</v>
      </c>
      <c r="D5051" t="s">
        <v>1242</v>
      </c>
      <c r="E5051" t="s">
        <v>8</v>
      </c>
      <c r="F5051" t="s">
        <v>252</v>
      </c>
      <c r="G5051" t="s">
        <v>251</v>
      </c>
      <c r="H5051" t="s">
        <v>251</v>
      </c>
      <c r="I5051" t="s">
        <v>253</v>
      </c>
    </row>
    <row r="5052" spans="1:9" x14ac:dyDescent="0.25">
      <c r="A5052" s="1" t="str">
        <f>HYPERLINK("https://lynxcrm-apac--c.eu19.visual.force.com/0011i000001xoMsAAI","Tan, Yen Yee Juliet")</f>
        <v>Tan, Yen Yee Juliet</v>
      </c>
      <c r="B5052" t="s">
        <v>9378</v>
      </c>
      <c r="C5052" t="s">
        <v>28</v>
      </c>
      <c r="D5052" t="s">
        <v>251</v>
      </c>
      <c r="E5052" t="s">
        <v>8</v>
      </c>
      <c r="F5052" t="s">
        <v>251</v>
      </c>
      <c r="G5052" t="s">
        <v>252</v>
      </c>
      <c r="H5052" t="s">
        <v>252</v>
      </c>
      <c r="I5052" t="s">
        <v>253</v>
      </c>
    </row>
    <row r="5053" spans="1:9" x14ac:dyDescent="0.25">
      <c r="A5053" s="1" t="str">
        <f>HYPERLINK("https://lynxcrm-apac--c.eu19.visual.force.com/0011i000001xnfTAAQ","Tan, Yew Sang")</f>
        <v>Tan, Yew Sang</v>
      </c>
      <c r="B5053" t="s">
        <v>9379</v>
      </c>
      <c r="C5053" t="s">
        <v>28</v>
      </c>
      <c r="D5053" t="s">
        <v>1126</v>
      </c>
      <c r="E5053" t="s">
        <v>8</v>
      </c>
      <c r="F5053" t="s">
        <v>994</v>
      </c>
      <c r="G5053" t="s">
        <v>995</v>
      </c>
      <c r="H5053" t="s">
        <v>998</v>
      </c>
      <c r="I5053" t="s">
        <v>996</v>
      </c>
    </row>
    <row r="5054" spans="1:9" x14ac:dyDescent="0.25">
      <c r="A5054" s="1" t="str">
        <f>HYPERLINK("https://lynxcrm-apac--c.eu19.visual.force.com/0011i000001xoJgAAI","Tan, Yew Teck Tony")</f>
        <v>Tan, Yew Teck Tony</v>
      </c>
      <c r="B5054" t="s">
        <v>9380</v>
      </c>
      <c r="C5054" t="s">
        <v>28</v>
      </c>
      <c r="D5054" t="s">
        <v>228</v>
      </c>
      <c r="E5054" t="s">
        <v>8</v>
      </c>
      <c r="F5054" t="s">
        <v>9381</v>
      </c>
      <c r="G5054" t="s">
        <v>9382</v>
      </c>
      <c r="H5054" t="s">
        <v>242</v>
      </c>
      <c r="I5054" t="s">
        <v>165</v>
      </c>
    </row>
    <row r="5055" spans="1:9" x14ac:dyDescent="0.25">
      <c r="A5055" s="1" t="str">
        <f>HYPERLINK("https://lynxcrm-apac--c.eu19.visual.force.com/0011i000001xoVdAAI","Tan, Yi Lin Alina")</f>
        <v>Tan, Yi Lin Alina</v>
      </c>
      <c r="B5055" t="s">
        <v>9383</v>
      </c>
      <c r="C5055" t="s">
        <v>28</v>
      </c>
      <c r="D5055" t="s">
        <v>9384</v>
      </c>
      <c r="E5055" t="s">
        <v>8</v>
      </c>
      <c r="F5055" t="s">
        <v>906</v>
      </c>
      <c r="G5055" t="s">
        <v>545</v>
      </c>
      <c r="H5055" t="s">
        <v>545</v>
      </c>
      <c r="I5055" t="s">
        <v>847</v>
      </c>
    </row>
    <row r="5056" spans="1:9" x14ac:dyDescent="0.25">
      <c r="A5056" s="1" t="str">
        <f>HYPERLINK("https://lynxcrm-apac--c.eu19.visual.force.com/0011i000001xoVdAAI","Tan, Yi Lin Alina")</f>
        <v>Tan, Yi Lin Alina</v>
      </c>
      <c r="B5056" t="s">
        <v>9383</v>
      </c>
      <c r="C5056" t="s">
        <v>28</v>
      </c>
      <c r="D5056" t="s">
        <v>545</v>
      </c>
      <c r="E5056" t="s">
        <v>8</v>
      </c>
      <c r="F5056" t="s">
        <v>546</v>
      </c>
      <c r="G5056" t="s">
        <v>547</v>
      </c>
      <c r="H5056" t="s">
        <v>547</v>
      </c>
      <c r="I5056" t="s">
        <v>548</v>
      </c>
    </row>
    <row r="5057" spans="1:9" x14ac:dyDescent="0.25">
      <c r="A5057" s="1" t="str">
        <f>HYPERLINK("https://lynxcrm-apac--c.eu19.visual.force.com/0011i000001xntWAAQ","Tan, Yin Yin")</f>
        <v>Tan, Yin Yin</v>
      </c>
      <c r="B5057" t="s">
        <v>9385</v>
      </c>
      <c r="C5057" t="s">
        <v>28</v>
      </c>
      <c r="D5057" t="s">
        <v>9386</v>
      </c>
      <c r="E5057" t="s">
        <v>8</v>
      </c>
      <c r="F5057" t="s">
        <v>9105</v>
      </c>
      <c r="G5057" t="s">
        <v>9387</v>
      </c>
      <c r="H5057" t="s">
        <v>9388</v>
      </c>
      <c r="I5057" t="s">
        <v>9107</v>
      </c>
    </row>
    <row r="5058" spans="1:9" x14ac:dyDescent="0.25">
      <c r="A5058" s="1" t="str">
        <f>HYPERLINK("https://lynxcrm-apac--c.eu19.visual.force.com/0011i000001xoq8AAA","Tan, Yi Ryh")</f>
        <v>Tan, Yi Ryh</v>
      </c>
      <c r="B5058" t="s">
        <v>9389</v>
      </c>
      <c r="C5058" t="s">
        <v>28</v>
      </c>
      <c r="D5058" t="s">
        <v>9390</v>
      </c>
      <c r="E5058" t="s">
        <v>8</v>
      </c>
      <c r="F5058" t="s">
        <v>4041</v>
      </c>
      <c r="G5058" t="s">
        <v>4042</v>
      </c>
      <c r="H5058" t="s">
        <v>4042</v>
      </c>
      <c r="I5058" t="s">
        <v>4043</v>
      </c>
    </row>
    <row r="5059" spans="1:9" x14ac:dyDescent="0.25">
      <c r="A5059" s="1" t="str">
        <f>HYPERLINK("https://lynxcrm-apac--c.eu19.visual.force.com/0011i000001xo6SAAQ","Tan, Yoke Khim")</f>
        <v>Tan, Yoke Khim</v>
      </c>
      <c r="B5059" t="s">
        <v>9391</v>
      </c>
      <c r="C5059" t="s">
        <v>28</v>
      </c>
      <c r="D5059" t="s">
        <v>9392</v>
      </c>
      <c r="E5059" t="s">
        <v>8</v>
      </c>
      <c r="F5059" t="s">
        <v>69</v>
      </c>
      <c r="G5059" t="s">
        <v>8184</v>
      </c>
      <c r="H5059" t="s">
        <v>8185</v>
      </c>
      <c r="I5059" t="s">
        <v>67</v>
      </c>
    </row>
    <row r="5060" spans="1:9" x14ac:dyDescent="0.25">
      <c r="A5060" s="1" t="str">
        <f>HYPERLINK("https://lynxcrm-apac--c.eu19.visual.force.com/0011i000001xoDbAAI","Tan, Yong Hui Alvin")</f>
        <v>Tan, Yong Hui Alvin</v>
      </c>
      <c r="B5060" t="s">
        <v>9393</v>
      </c>
      <c r="C5060" t="s">
        <v>28</v>
      </c>
      <c r="D5060" t="s">
        <v>583</v>
      </c>
      <c r="E5060" t="s">
        <v>8</v>
      </c>
      <c r="F5060" t="s">
        <v>583</v>
      </c>
      <c r="G5060" t="s">
        <v>584</v>
      </c>
      <c r="H5060" t="s">
        <v>584</v>
      </c>
      <c r="I5060" t="s">
        <v>585</v>
      </c>
    </row>
    <row r="5061" spans="1:9" x14ac:dyDescent="0.25">
      <c r="A5061" s="1" t="str">
        <f>HYPERLINK("https://lynxcrm-apac--c.eu19.visual.force.com/0011i000001xocXAAQ","Tan, Yong Kuan Adrian")</f>
        <v>Tan, Yong Kuan Adrian</v>
      </c>
      <c r="B5061" t="s">
        <v>9394</v>
      </c>
      <c r="C5061" t="s">
        <v>28</v>
      </c>
      <c r="D5061" t="s">
        <v>8791</v>
      </c>
      <c r="E5061" t="s">
        <v>8</v>
      </c>
      <c r="F5061" t="s">
        <v>8792</v>
      </c>
      <c r="G5061" t="s">
        <v>8793</v>
      </c>
      <c r="H5061" t="s">
        <v>8793</v>
      </c>
      <c r="I5061" t="s">
        <v>3839</v>
      </c>
    </row>
    <row r="5062" spans="1:9" x14ac:dyDescent="0.25">
      <c r="A5062" s="1" t="str">
        <f>HYPERLINK("https://lynxcrm-apac--c.eu19.visual.force.com/0011i000001xntYAAQ","Tan, Yong Teck")</f>
        <v>Tan, Yong Teck</v>
      </c>
      <c r="B5062" t="s">
        <v>9395</v>
      </c>
      <c r="C5062" t="s">
        <v>28</v>
      </c>
      <c r="D5062" t="s">
        <v>9396</v>
      </c>
      <c r="E5062" t="s">
        <v>8</v>
      </c>
      <c r="F5062" t="s">
        <v>9397</v>
      </c>
      <c r="G5062" t="s">
        <v>9398</v>
      </c>
      <c r="H5062" t="s">
        <v>9399</v>
      </c>
      <c r="I5062" t="s">
        <v>9400</v>
      </c>
    </row>
    <row r="5063" spans="1:9" x14ac:dyDescent="0.25">
      <c r="A5063" s="1" t="str">
        <f>HYPERLINK("https://lynxcrm-apac--c.eu19.visual.force.com/0011i000001xooTAAQ","Tan, You Hong")</f>
        <v>Tan, You Hong</v>
      </c>
      <c r="B5063" t="s">
        <v>9401</v>
      </c>
      <c r="C5063" t="s">
        <v>28</v>
      </c>
      <c r="D5063" t="s">
        <v>1333</v>
      </c>
      <c r="E5063" t="s">
        <v>8</v>
      </c>
      <c r="F5063" t="s">
        <v>9402</v>
      </c>
      <c r="G5063" t="s">
        <v>225</v>
      </c>
      <c r="H5063" t="s">
        <v>225</v>
      </c>
      <c r="I5063" t="s">
        <v>940</v>
      </c>
    </row>
    <row r="5064" spans="1:9" x14ac:dyDescent="0.25">
      <c r="A5064" s="1" t="str">
        <f>HYPERLINK("https://lynxcrm-apac--c.eu19.visual.force.com/0011i000001xntaAAA","Tan, Yu Sing Lucienn")</f>
        <v>Tan, Yu Sing Lucienn</v>
      </c>
      <c r="B5064" t="s">
        <v>9403</v>
      </c>
      <c r="C5064" t="s">
        <v>28</v>
      </c>
      <c r="D5064" t="s">
        <v>3619</v>
      </c>
      <c r="E5064" t="s">
        <v>8</v>
      </c>
      <c r="F5064" t="s">
        <v>191</v>
      </c>
      <c r="G5064" t="s">
        <v>192</v>
      </c>
      <c r="H5064" t="s">
        <v>192</v>
      </c>
      <c r="I5064" t="s">
        <v>193</v>
      </c>
    </row>
    <row r="5065" spans="1:9" x14ac:dyDescent="0.25">
      <c r="A5065" s="1" t="str">
        <f>HYPERLINK("https://lynxcrm-apac--c.eu19.visual.force.com/0011i000001xnhFAAQ","Tan, Yvonne")</f>
        <v>Tan, Yvonne</v>
      </c>
      <c r="B5065" t="s">
        <v>9404</v>
      </c>
      <c r="C5065" t="s">
        <v>28</v>
      </c>
      <c r="D5065" t="s">
        <v>1661</v>
      </c>
      <c r="E5065" t="s">
        <v>8</v>
      </c>
      <c r="F5065" t="s">
        <v>627</v>
      </c>
      <c r="G5065" t="s">
        <v>628</v>
      </c>
      <c r="H5065" t="s">
        <v>628</v>
      </c>
      <c r="I5065" t="s">
        <v>624</v>
      </c>
    </row>
    <row r="5066" spans="1:9" x14ac:dyDescent="0.25">
      <c r="A5066" s="1" t="str">
        <f>HYPERLINK("https://lynxcrm-apac--c.eu19.visual.force.com/0011i000001xnk7AAA","Tan, Ziyang Johnathan")</f>
        <v>Tan, Ziyang Johnathan</v>
      </c>
      <c r="B5066" t="s">
        <v>9405</v>
      </c>
      <c r="C5066" t="s">
        <v>28</v>
      </c>
      <c r="D5066" t="s">
        <v>937</v>
      </c>
      <c r="E5066" t="s">
        <v>8</v>
      </c>
      <c r="F5066" t="s">
        <v>191</v>
      </c>
      <c r="G5066" t="s">
        <v>2223</v>
      </c>
      <c r="H5066" t="s">
        <v>2223</v>
      </c>
      <c r="I5066" t="s">
        <v>193</v>
      </c>
    </row>
    <row r="5067" spans="1:9" x14ac:dyDescent="0.25">
      <c r="A5067" s="1" t="str">
        <f>HYPERLINK("https://lynxcrm-apac--c.eu19.visual.force.com/0011i000001xmjEAAQ","Tan's T &amp; T Clinic &amp; Surgery")</f>
        <v>Tan's T &amp; T Clinic &amp; Surgery</v>
      </c>
      <c r="B5067" t="s">
        <v>9406</v>
      </c>
      <c r="C5067" t="s">
        <v>10</v>
      </c>
      <c r="D5067" t="s">
        <v>8</v>
      </c>
      <c r="E5067" t="s">
        <v>8</v>
      </c>
      <c r="F5067" t="s">
        <v>2802</v>
      </c>
      <c r="G5067" t="s">
        <v>3611</v>
      </c>
      <c r="H5067" t="s">
        <v>3612</v>
      </c>
      <c r="I5067" t="s">
        <v>2805</v>
      </c>
    </row>
    <row r="5068" spans="1:9" x14ac:dyDescent="0.25">
      <c r="A5068" s="1" t="str">
        <f>HYPERLINK("https://lynxcrm-apac--c.eu19.visual.force.com/0011i000001xnWCAAY","Tan &amp; Koh Clinic &amp; Surgery")</f>
        <v>Tan &amp; Koh Clinic &amp; Surgery</v>
      </c>
      <c r="B5068" t="s">
        <v>9407</v>
      </c>
      <c r="C5068" t="s">
        <v>10</v>
      </c>
      <c r="D5068" t="s">
        <v>8</v>
      </c>
      <c r="E5068" t="s">
        <v>8</v>
      </c>
      <c r="F5068" t="s">
        <v>9068</v>
      </c>
      <c r="G5068" t="s">
        <v>9069</v>
      </c>
      <c r="H5068" t="s">
        <v>9070</v>
      </c>
      <c r="I5068" t="s">
        <v>9071</v>
      </c>
    </row>
    <row r="5069" spans="1:9" x14ac:dyDescent="0.25">
      <c r="A5069" s="1" t="str">
        <f>HYPERLINK("https://lynxcrm-apac--c.eu19.visual.force.com/0011i000001xmbEAAQ","Tan &amp; Yik Clinic &amp; Surgery")</f>
        <v>Tan &amp; Yik Clinic &amp; Surgery</v>
      </c>
      <c r="B5069" t="s">
        <v>9408</v>
      </c>
      <c r="C5069" t="s">
        <v>10</v>
      </c>
      <c r="D5069" t="s">
        <v>8</v>
      </c>
      <c r="E5069" t="s">
        <v>8</v>
      </c>
      <c r="F5069" t="s">
        <v>9098</v>
      </c>
      <c r="G5069" t="s">
        <v>2465</v>
      </c>
      <c r="H5069" t="s">
        <v>9099</v>
      </c>
      <c r="I5069" t="s">
        <v>9100</v>
      </c>
    </row>
    <row r="5070" spans="1:9" x14ac:dyDescent="0.25">
      <c r="A5070" s="1" t="str">
        <f>HYPERLINK("https://lynxcrm-apac--c.eu19.visual.force.com/0011i000001xnX5AAI","Tan &amp; Yik Clinic &amp; Surgery")</f>
        <v>Tan &amp; Yik Clinic &amp; Surgery</v>
      </c>
      <c r="B5070" t="s">
        <v>9409</v>
      </c>
      <c r="C5070" t="s">
        <v>10</v>
      </c>
      <c r="D5070" t="s">
        <v>8</v>
      </c>
      <c r="E5070" t="s">
        <v>8</v>
      </c>
      <c r="F5070" t="s">
        <v>9098</v>
      </c>
      <c r="G5070" t="s">
        <v>2465</v>
      </c>
      <c r="H5070" t="s">
        <v>9099</v>
      </c>
      <c r="I5070" t="s">
        <v>9100</v>
      </c>
    </row>
    <row r="5071" spans="1:9" x14ac:dyDescent="0.25">
      <c r="A5071" s="1" t="str">
        <f>HYPERLINK("https://lynxcrm-apac--c.eu19.visual.force.com/0011i000001xn8jAAA","Tanamera Clinic")</f>
        <v>Tanamera Clinic</v>
      </c>
      <c r="B5071" t="s">
        <v>9410</v>
      </c>
      <c r="C5071" t="s">
        <v>10</v>
      </c>
      <c r="D5071" t="s">
        <v>8</v>
      </c>
      <c r="E5071" t="s">
        <v>8</v>
      </c>
      <c r="F5071" t="s">
        <v>5763</v>
      </c>
      <c r="G5071" t="s">
        <v>6260</v>
      </c>
      <c r="H5071" t="s">
        <v>9411</v>
      </c>
      <c r="I5071" t="s">
        <v>5765</v>
      </c>
    </row>
    <row r="5072" spans="1:9" x14ac:dyDescent="0.25">
      <c r="A5072" s="1" t="str">
        <f>HYPERLINK("https://lynxcrm-apac--c.eu19.visual.force.com/0011i000001xmlOAAQ","Tan Clinic &amp; Surgery - Dr Tan Kin Theng")</f>
        <v>Tan Clinic &amp; Surgery - Dr Tan Kin Theng</v>
      </c>
      <c r="B5072" t="s">
        <v>9412</v>
      </c>
      <c r="C5072" t="s">
        <v>10</v>
      </c>
      <c r="D5072" t="s">
        <v>8</v>
      </c>
      <c r="E5072" t="s">
        <v>8</v>
      </c>
      <c r="F5072" t="s">
        <v>9413</v>
      </c>
      <c r="G5072" t="s">
        <v>9414</v>
      </c>
      <c r="H5072" t="s">
        <v>9415</v>
      </c>
      <c r="I5072" t="s">
        <v>9416</v>
      </c>
    </row>
    <row r="5073" spans="1:9" x14ac:dyDescent="0.25">
      <c r="A5073" s="1" t="str">
        <f t="shared" ref="A5073:A5078" si="49">HYPERLINK("https://lynxcrm-apac--c.eu19.visual.force.com/0011i000001xoffAAA","Tang, I-Shing Justin")</f>
        <v>Tang, I-Shing Justin</v>
      </c>
      <c r="B5073" t="s">
        <v>9417</v>
      </c>
      <c r="C5073" t="s">
        <v>28</v>
      </c>
      <c r="D5073" t="s">
        <v>501</v>
      </c>
      <c r="E5073" t="s">
        <v>8</v>
      </c>
      <c r="F5073" t="s">
        <v>501</v>
      </c>
      <c r="G5073" t="s">
        <v>502</v>
      </c>
      <c r="H5073" t="s">
        <v>502</v>
      </c>
      <c r="I5073" t="s">
        <v>506</v>
      </c>
    </row>
    <row r="5074" spans="1:9" x14ac:dyDescent="0.25">
      <c r="A5074" s="1" t="str">
        <f t="shared" si="49"/>
        <v>Tang, I-Shing Justin</v>
      </c>
      <c r="B5074" t="s">
        <v>9417</v>
      </c>
      <c r="C5074" t="s">
        <v>28</v>
      </c>
      <c r="D5074" t="s">
        <v>501</v>
      </c>
      <c r="E5074" t="s">
        <v>8</v>
      </c>
      <c r="F5074" t="s">
        <v>502</v>
      </c>
      <c r="G5074" t="s">
        <v>502</v>
      </c>
      <c r="H5074" t="s">
        <v>503</v>
      </c>
      <c r="I5074" t="s">
        <v>504</v>
      </c>
    </row>
    <row r="5075" spans="1:9" x14ac:dyDescent="0.25">
      <c r="A5075" s="1" t="str">
        <f t="shared" si="49"/>
        <v>Tang, I-Shing Justin</v>
      </c>
      <c r="B5075" t="s">
        <v>9417</v>
      </c>
      <c r="C5075" t="s">
        <v>28</v>
      </c>
      <c r="D5075" t="s">
        <v>501</v>
      </c>
      <c r="E5075" t="s">
        <v>8</v>
      </c>
      <c r="F5075" t="s">
        <v>246</v>
      </c>
      <c r="G5075" t="s">
        <v>502</v>
      </c>
      <c r="H5075" t="s">
        <v>503</v>
      </c>
      <c r="I5075" t="s">
        <v>504</v>
      </c>
    </row>
    <row r="5076" spans="1:9" x14ac:dyDescent="0.25">
      <c r="A5076" s="1" t="str">
        <f t="shared" si="49"/>
        <v>Tang, I-Shing Justin</v>
      </c>
      <c r="B5076" t="s">
        <v>9417</v>
      </c>
      <c r="C5076" t="s">
        <v>28</v>
      </c>
      <c r="D5076" t="s">
        <v>501</v>
      </c>
      <c r="E5076" t="s">
        <v>8</v>
      </c>
      <c r="F5076" t="s">
        <v>246</v>
      </c>
      <c r="G5076" t="s">
        <v>502</v>
      </c>
      <c r="H5076" t="s">
        <v>503</v>
      </c>
      <c r="I5076" t="s">
        <v>505</v>
      </c>
    </row>
    <row r="5077" spans="1:9" x14ac:dyDescent="0.25">
      <c r="A5077" s="1" t="str">
        <f t="shared" si="49"/>
        <v>Tang, I-Shing Justin</v>
      </c>
      <c r="B5077" t="s">
        <v>9417</v>
      </c>
      <c r="C5077" t="s">
        <v>28</v>
      </c>
      <c r="D5077" t="s">
        <v>501</v>
      </c>
      <c r="E5077" t="s">
        <v>8</v>
      </c>
      <c r="F5077" t="s">
        <v>234</v>
      </c>
      <c r="G5077" t="s">
        <v>502</v>
      </c>
      <c r="H5077" t="s">
        <v>503</v>
      </c>
      <c r="I5077" t="s">
        <v>504</v>
      </c>
    </row>
    <row r="5078" spans="1:9" x14ac:dyDescent="0.25">
      <c r="A5078" s="1" t="str">
        <f t="shared" si="49"/>
        <v>Tang, I-Shing Justin</v>
      </c>
      <c r="B5078" t="s">
        <v>9417</v>
      </c>
      <c r="C5078" t="s">
        <v>28</v>
      </c>
      <c r="D5078" t="s">
        <v>501</v>
      </c>
      <c r="E5078" t="s">
        <v>8</v>
      </c>
      <c r="F5078" t="s">
        <v>359</v>
      </c>
      <c r="G5078" t="s">
        <v>502</v>
      </c>
      <c r="H5078" t="s">
        <v>503</v>
      </c>
      <c r="I5078" t="s">
        <v>506</v>
      </c>
    </row>
    <row r="5079" spans="1:9" x14ac:dyDescent="0.25">
      <c r="A5079" s="1" t="str">
        <f>HYPERLINK("https://lynxcrm-apac--c.eu19.visual.force.com/0011i000001xngiAAA","Tang, Jessica")</f>
        <v>Tang, Jessica</v>
      </c>
      <c r="B5079" t="s">
        <v>9418</v>
      </c>
      <c r="C5079" t="s">
        <v>28</v>
      </c>
      <c r="D5079" t="s">
        <v>335</v>
      </c>
      <c r="E5079" t="s">
        <v>8</v>
      </c>
      <c r="F5079" t="s">
        <v>336</v>
      </c>
      <c r="G5079" t="s">
        <v>337</v>
      </c>
      <c r="H5079" t="s">
        <v>337</v>
      </c>
      <c r="I5079" t="s">
        <v>338</v>
      </c>
    </row>
    <row r="5080" spans="1:9" x14ac:dyDescent="0.25">
      <c r="A5080" s="1" t="str">
        <f>HYPERLINK("https://lynxcrm-apac--c.eu19.visual.force.com/0011i000001xoChAAI","Tang, Kim Lian")</f>
        <v>Tang, Kim Lian</v>
      </c>
      <c r="B5080" t="s">
        <v>9419</v>
      </c>
      <c r="C5080" t="s">
        <v>28</v>
      </c>
      <c r="D5080" t="s">
        <v>6059</v>
      </c>
      <c r="E5080" t="s">
        <v>8</v>
      </c>
      <c r="F5080" t="s">
        <v>9420</v>
      </c>
      <c r="G5080" t="s">
        <v>4037</v>
      </c>
      <c r="H5080" t="s">
        <v>4037</v>
      </c>
      <c r="I5080" t="s">
        <v>4038</v>
      </c>
    </row>
    <row r="5081" spans="1:9" x14ac:dyDescent="0.25">
      <c r="A5081" s="1" t="str">
        <f>HYPERLINK("https://lynxcrm-apac--c.eu19.visual.force.com/0011i000001xo6VAAQ","Tang, Kok Kee")</f>
        <v>Tang, Kok Kee</v>
      </c>
      <c r="B5081" t="s">
        <v>9421</v>
      </c>
      <c r="C5081" t="s">
        <v>28</v>
      </c>
      <c r="D5081" t="s">
        <v>9422</v>
      </c>
      <c r="E5081" t="s">
        <v>8</v>
      </c>
      <c r="F5081" t="s">
        <v>4926</v>
      </c>
      <c r="G5081" t="s">
        <v>1838</v>
      </c>
      <c r="H5081" t="s">
        <v>1838</v>
      </c>
      <c r="I5081" t="s">
        <v>344</v>
      </c>
    </row>
    <row r="5082" spans="1:9" x14ac:dyDescent="0.25">
      <c r="A5082" s="1" t="str">
        <f>HYPERLINK("https://lynxcrm-apac--c.eu19.visual.force.com/0011i000001xoOjAAI","Tang, Teck Nguong")</f>
        <v>Tang, Teck Nguong</v>
      </c>
      <c r="B5082" t="s">
        <v>9423</v>
      </c>
      <c r="C5082" t="s">
        <v>28</v>
      </c>
      <c r="D5082" t="s">
        <v>578</v>
      </c>
      <c r="E5082" t="s">
        <v>8</v>
      </c>
      <c r="F5082" t="s">
        <v>730</v>
      </c>
      <c r="G5082" t="s">
        <v>731</v>
      </c>
      <c r="H5082" t="s">
        <v>731</v>
      </c>
      <c r="I5082" t="s">
        <v>733</v>
      </c>
    </row>
    <row r="5083" spans="1:9" x14ac:dyDescent="0.25">
      <c r="A5083" s="1" t="str">
        <f>HYPERLINK("https://lynxcrm-apac--c.eu19.visual.force.com/0011i000001xoFNAAY","Tang, Terence")</f>
        <v>Tang, Terence</v>
      </c>
      <c r="B5083" t="s">
        <v>9424</v>
      </c>
      <c r="C5083" t="s">
        <v>28</v>
      </c>
      <c r="D5083" t="s">
        <v>501</v>
      </c>
      <c r="E5083" t="s">
        <v>8</v>
      </c>
      <c r="F5083" t="s">
        <v>359</v>
      </c>
      <c r="G5083" t="s">
        <v>502</v>
      </c>
      <c r="H5083" t="s">
        <v>503</v>
      </c>
      <c r="I5083" t="s">
        <v>506</v>
      </c>
    </row>
    <row r="5084" spans="1:9" x14ac:dyDescent="0.25">
      <c r="A5084" s="1" t="str">
        <f>HYPERLINK("https://lynxcrm-apac--c.eu19.visual.force.com/0011i00000Xf1GcAAJ","Tang, Tiffany")</f>
        <v>Tang, Tiffany</v>
      </c>
      <c r="B5084" t="s">
        <v>9425</v>
      </c>
      <c r="C5084" t="s">
        <v>28</v>
      </c>
      <c r="D5084" t="s">
        <v>2027</v>
      </c>
      <c r="E5084" t="s">
        <v>8</v>
      </c>
      <c r="F5084" t="s">
        <v>2028</v>
      </c>
      <c r="G5084" t="s">
        <v>2029</v>
      </c>
      <c r="H5084" t="s">
        <v>8</v>
      </c>
      <c r="I5084" t="s">
        <v>488</v>
      </c>
    </row>
    <row r="5085" spans="1:9" x14ac:dyDescent="0.25">
      <c r="A5085" s="1" t="str">
        <f>HYPERLINK("https://lynxcrm-apac--c.eu19.visual.force.com/0011i000001xoVFAAY","Tang, Wern Ee")</f>
        <v>Tang, Wern Ee</v>
      </c>
      <c r="B5085" t="s">
        <v>9426</v>
      </c>
      <c r="C5085" t="s">
        <v>28</v>
      </c>
      <c r="D5085" t="s">
        <v>148</v>
      </c>
      <c r="E5085" t="s">
        <v>8</v>
      </c>
      <c r="F5085" t="s">
        <v>147</v>
      </c>
      <c r="G5085" t="s">
        <v>147</v>
      </c>
      <c r="H5085" t="s">
        <v>534</v>
      </c>
      <c r="I5085" t="s">
        <v>149</v>
      </c>
    </row>
    <row r="5086" spans="1:9" x14ac:dyDescent="0.25">
      <c r="A5086" s="1" t="str">
        <f>HYPERLINK("https://lynxcrm-apac--c.eu19.visual.force.com/0011i00000S3HGrAAN","Tang, Xin Kai")</f>
        <v>Tang, Xin Kai</v>
      </c>
      <c r="B5086" t="s">
        <v>9427</v>
      </c>
      <c r="C5086" t="s">
        <v>28</v>
      </c>
      <c r="D5086" t="s">
        <v>147</v>
      </c>
      <c r="E5086" t="s">
        <v>8</v>
      </c>
      <c r="F5086" t="s">
        <v>147</v>
      </c>
      <c r="G5086" t="s">
        <v>148</v>
      </c>
      <c r="H5086" t="s">
        <v>148</v>
      </c>
      <c r="I5086" t="s">
        <v>149</v>
      </c>
    </row>
    <row r="5087" spans="1:9" x14ac:dyDescent="0.25">
      <c r="A5087" s="1" t="str">
        <f>HYPERLINK("https://lynxcrm-apac--c.eu19.visual.force.com/0011i000001xoCiAAI","Tang, Yen Ho Andrew")</f>
        <v>Tang, Yen Ho Andrew</v>
      </c>
      <c r="B5087" t="s">
        <v>9428</v>
      </c>
      <c r="C5087" t="s">
        <v>28</v>
      </c>
      <c r="D5087" t="s">
        <v>9429</v>
      </c>
      <c r="E5087" t="s">
        <v>8</v>
      </c>
      <c r="F5087" t="s">
        <v>9430</v>
      </c>
      <c r="G5087" t="s">
        <v>1521</v>
      </c>
      <c r="H5087" t="s">
        <v>1521</v>
      </c>
      <c r="I5087" t="s">
        <v>7533</v>
      </c>
    </row>
    <row r="5088" spans="1:9" x14ac:dyDescent="0.25">
      <c r="A5088" s="1" t="str">
        <f>HYPERLINK("https://lynxcrm-apac--c.eu19.visual.force.com/0011i000001xnPxAAI","Tang Family Clinic")</f>
        <v>Tang Family Clinic</v>
      </c>
      <c r="B5088" t="s">
        <v>9431</v>
      </c>
      <c r="C5088" t="s">
        <v>10</v>
      </c>
      <c r="D5088" t="s">
        <v>8</v>
      </c>
      <c r="E5088" t="s">
        <v>8</v>
      </c>
      <c r="F5088" t="s">
        <v>9432</v>
      </c>
      <c r="G5088" t="s">
        <v>9432</v>
      </c>
      <c r="H5088" t="s">
        <v>8</v>
      </c>
      <c r="I5088" t="s">
        <v>9433</v>
      </c>
    </row>
    <row r="5089" spans="1:9" x14ac:dyDescent="0.25">
      <c r="A5089" s="1" t="str">
        <f>HYPERLINK("https://lynxcrm-apac--c.eu19.visual.force.com/0011i000001xmd0AAA","Tanglin Clinic")</f>
        <v>Tanglin Clinic</v>
      </c>
      <c r="B5089" t="s">
        <v>9434</v>
      </c>
      <c r="C5089" t="s">
        <v>10</v>
      </c>
      <c r="D5089" t="s">
        <v>8</v>
      </c>
      <c r="E5089" t="s">
        <v>8</v>
      </c>
      <c r="F5089" t="s">
        <v>377</v>
      </c>
      <c r="G5089" t="s">
        <v>5483</v>
      </c>
      <c r="H5089" t="s">
        <v>9435</v>
      </c>
      <c r="I5089" t="s">
        <v>123</v>
      </c>
    </row>
    <row r="5090" spans="1:9" x14ac:dyDescent="0.25">
      <c r="A5090" s="1" t="str">
        <f>HYPERLINK("https://lynxcrm-apac--c.eu19.visual.force.com/0011i000001xnD8AAI","Tanglin Clinic Pte Ltd")</f>
        <v>Tanglin Clinic Pte Ltd</v>
      </c>
      <c r="B5090" t="s">
        <v>9436</v>
      </c>
      <c r="C5090" t="s">
        <v>10</v>
      </c>
      <c r="D5090" t="s">
        <v>8</v>
      </c>
      <c r="E5090" t="s">
        <v>8</v>
      </c>
      <c r="F5090" t="s">
        <v>377</v>
      </c>
      <c r="G5090" t="s">
        <v>5483</v>
      </c>
      <c r="H5090" t="s">
        <v>5483</v>
      </c>
      <c r="I5090" t="s">
        <v>123</v>
      </c>
    </row>
    <row r="5091" spans="1:9" x14ac:dyDescent="0.25">
      <c r="A5091" s="1" t="str">
        <f>HYPERLINK("https://lynxcrm-apac--c.eu19.visual.force.com/0011i000001xmfcAAA","Tanglin Halt Clinic")</f>
        <v>Tanglin Halt Clinic</v>
      </c>
      <c r="B5091" t="s">
        <v>9437</v>
      </c>
      <c r="C5091" t="s">
        <v>10</v>
      </c>
      <c r="D5091" t="s">
        <v>8</v>
      </c>
      <c r="E5091" t="s">
        <v>8</v>
      </c>
      <c r="F5091" t="s">
        <v>9438</v>
      </c>
      <c r="G5091" t="s">
        <v>9439</v>
      </c>
      <c r="H5091" t="s">
        <v>9440</v>
      </c>
      <c r="I5091" t="s">
        <v>9441</v>
      </c>
    </row>
    <row r="5092" spans="1:9" x14ac:dyDescent="0.25">
      <c r="A5092" s="1" t="str">
        <f>HYPERLINK("https://lynxcrm-apac--c.eu19.visual.force.com/0011i000001xnW6AAI","Tanglin Medical Clinic")</f>
        <v>Tanglin Medical Clinic</v>
      </c>
      <c r="B5092" t="s">
        <v>9442</v>
      </c>
      <c r="C5092" t="s">
        <v>10</v>
      </c>
      <c r="D5092" t="s">
        <v>8</v>
      </c>
      <c r="E5092" t="s">
        <v>8</v>
      </c>
      <c r="F5092" t="s">
        <v>1768</v>
      </c>
      <c r="G5092" t="s">
        <v>9443</v>
      </c>
      <c r="H5092" t="s">
        <v>9444</v>
      </c>
      <c r="I5092" t="s">
        <v>47</v>
      </c>
    </row>
    <row r="5093" spans="1:9" x14ac:dyDescent="0.25">
      <c r="A5093" s="1" t="str">
        <f>HYPERLINK("https://lynxcrm-apac--c.eu19.visual.force.com/0011i000001xmdUAAQ","Tang Neurology &amp; Medical Clinic")</f>
        <v>Tang Neurology &amp; Medical Clinic</v>
      </c>
      <c r="B5093" t="s">
        <v>9445</v>
      </c>
      <c r="C5093" t="s">
        <v>10</v>
      </c>
      <c r="D5093" t="s">
        <v>8</v>
      </c>
      <c r="E5093" t="s">
        <v>8</v>
      </c>
      <c r="F5093" t="s">
        <v>377</v>
      </c>
      <c r="G5093" t="s">
        <v>9446</v>
      </c>
      <c r="H5093" t="s">
        <v>9447</v>
      </c>
      <c r="I5093" t="s">
        <v>123</v>
      </c>
    </row>
    <row r="5094" spans="1:9" x14ac:dyDescent="0.25">
      <c r="A5094" s="1" t="str">
        <f>HYPERLINK("https://lynxcrm-apac--c.eu19.visual.force.com/0011i000001xmdTAAQ","Tan Medicare Clinic Pte Ltd")</f>
        <v>Tan Medicare Clinic Pte Ltd</v>
      </c>
      <c r="B5094" t="s">
        <v>9448</v>
      </c>
      <c r="C5094" t="s">
        <v>10</v>
      </c>
      <c r="D5094" t="s">
        <v>8</v>
      </c>
      <c r="E5094" t="s">
        <v>8</v>
      </c>
      <c r="F5094" t="s">
        <v>9449</v>
      </c>
      <c r="G5094" t="s">
        <v>9450</v>
      </c>
      <c r="H5094" t="s">
        <v>9451</v>
      </c>
      <c r="I5094" t="s">
        <v>3066</v>
      </c>
    </row>
    <row r="5095" spans="1:9" x14ac:dyDescent="0.25">
      <c r="A5095" s="1" t="str">
        <f>HYPERLINK("https://lynxcrm-apac--c.eu19.visual.force.com/0011i000001xnEvAAI","Tanny Chan Women Clinic")</f>
        <v>Tanny Chan Women Clinic</v>
      </c>
      <c r="B5095" t="s">
        <v>9452</v>
      </c>
      <c r="C5095" t="s">
        <v>10</v>
      </c>
      <c r="D5095" t="s">
        <v>8</v>
      </c>
      <c r="E5095" t="s">
        <v>8</v>
      </c>
      <c r="F5095" t="s">
        <v>69</v>
      </c>
      <c r="G5095" t="s">
        <v>1284</v>
      </c>
      <c r="H5095" t="s">
        <v>1285</v>
      </c>
      <c r="I5095" t="s">
        <v>67</v>
      </c>
    </row>
    <row r="5096" spans="1:9" x14ac:dyDescent="0.25">
      <c r="A5096" s="1" t="str">
        <f>HYPERLINK("https://lynxcrm-apac--c.eu19.visual.force.com/0011i000001xmxyAAA","Tanny Chan Women Clinic")</f>
        <v>Tanny Chan Women Clinic</v>
      </c>
      <c r="B5096" t="s">
        <v>9453</v>
      </c>
      <c r="C5096" t="s">
        <v>10</v>
      </c>
      <c r="D5096" t="s">
        <v>8</v>
      </c>
      <c r="E5096" t="s">
        <v>8</v>
      </c>
      <c r="F5096" t="s">
        <v>69</v>
      </c>
      <c r="G5096" t="s">
        <v>1284</v>
      </c>
      <c r="H5096" t="s">
        <v>1285</v>
      </c>
      <c r="I5096" t="s">
        <v>67</v>
      </c>
    </row>
    <row r="5097" spans="1:9" x14ac:dyDescent="0.25">
      <c r="A5097" s="1" t="str">
        <f>HYPERLINK("https://lynxcrm-apac--c.eu19.visual.force.com/0011i000001xnR4AAI","Tan Peng Kok Urology")</f>
        <v>Tan Peng Kok Urology</v>
      </c>
      <c r="B5097" t="s">
        <v>9454</v>
      </c>
      <c r="C5097" t="s">
        <v>10</v>
      </c>
      <c r="D5097" t="s">
        <v>8</v>
      </c>
      <c r="E5097" t="s">
        <v>8</v>
      </c>
      <c r="F5097" t="s">
        <v>9243</v>
      </c>
      <c r="G5097" t="s">
        <v>9244</v>
      </c>
      <c r="H5097" t="s">
        <v>9244</v>
      </c>
      <c r="I5097" t="s">
        <v>200</v>
      </c>
    </row>
    <row r="5098" spans="1:9" x14ac:dyDescent="0.25">
      <c r="A5098" s="1" t="str">
        <f>HYPERLINK("https://lynxcrm-apac--c.eu19.visual.force.com/0011i000001xmfNAAQ","Tan-Teoh Clinic &amp; Surgery")</f>
        <v>Tan-Teoh Clinic &amp; Surgery</v>
      </c>
      <c r="B5098" t="s">
        <v>9455</v>
      </c>
      <c r="C5098" t="s">
        <v>10</v>
      </c>
      <c r="D5098" t="s">
        <v>8</v>
      </c>
      <c r="E5098" t="s">
        <v>8</v>
      </c>
      <c r="F5098" t="s">
        <v>34</v>
      </c>
      <c r="G5098" t="s">
        <v>9011</v>
      </c>
      <c r="H5098" t="s">
        <v>9012</v>
      </c>
      <c r="I5098" t="s">
        <v>36</v>
      </c>
    </row>
    <row r="5099" spans="1:9" x14ac:dyDescent="0.25">
      <c r="A5099" s="1" t="str">
        <f>HYPERLINK("https://lynxcrm-apac--c.eu19.visual.force.com/0011i000001xn2hAAA","Tan-Teoh Clinic &amp; Surgery")</f>
        <v>Tan-Teoh Clinic &amp; Surgery</v>
      </c>
      <c r="B5099" t="s">
        <v>9456</v>
      </c>
      <c r="C5099" t="s">
        <v>10</v>
      </c>
      <c r="D5099" t="s">
        <v>8</v>
      </c>
      <c r="E5099" t="s">
        <v>8</v>
      </c>
      <c r="F5099" t="s">
        <v>9457</v>
      </c>
      <c r="G5099" t="s">
        <v>9011</v>
      </c>
      <c r="H5099" t="s">
        <v>9011</v>
      </c>
      <c r="I5099" t="s">
        <v>36</v>
      </c>
    </row>
    <row r="5100" spans="1:9" x14ac:dyDescent="0.25">
      <c r="A5100" s="1" t="str">
        <f>HYPERLINK("https://lynxcrm-apac--c.eu19.visual.force.com/0011i000001xmcuAAA","Tan Tock Seng Hospital")</f>
        <v>Tan Tock Seng Hospital</v>
      </c>
      <c r="B5100" t="s">
        <v>9458</v>
      </c>
      <c r="C5100" t="s">
        <v>10</v>
      </c>
      <c r="D5100" t="s">
        <v>8</v>
      </c>
      <c r="E5100" t="s">
        <v>8</v>
      </c>
      <c r="F5100" t="s">
        <v>248</v>
      </c>
      <c r="G5100" t="s">
        <v>258</v>
      </c>
      <c r="H5100" t="s">
        <v>259</v>
      </c>
      <c r="I5100" t="s">
        <v>260</v>
      </c>
    </row>
    <row r="5101" spans="1:9" x14ac:dyDescent="0.25">
      <c r="A5101" s="1" t="str">
        <f>HYPERLINK("https://lynxcrm-apac--c.eu19.visual.force.com/0011i000001xmdMAAQ","Tan Tock Seng Hospital")</f>
        <v>Tan Tock Seng Hospital</v>
      </c>
      <c r="B5101" t="s">
        <v>9459</v>
      </c>
      <c r="C5101" t="s">
        <v>10</v>
      </c>
      <c r="D5101" t="s">
        <v>8</v>
      </c>
      <c r="E5101" t="s">
        <v>8</v>
      </c>
      <c r="F5101" t="s">
        <v>248</v>
      </c>
      <c r="G5101" t="s">
        <v>258</v>
      </c>
      <c r="H5101" t="s">
        <v>259</v>
      </c>
      <c r="I5101" t="s">
        <v>260</v>
      </c>
    </row>
    <row r="5102" spans="1:9" x14ac:dyDescent="0.25">
      <c r="A5102" s="1" t="str">
        <f>HYPERLINK("https://lynxcrm-apac--c.eu19.visual.force.com/0011i000001xmgkAAA","Tan Tock Seng Hospital")</f>
        <v>Tan Tock Seng Hospital</v>
      </c>
      <c r="B5102" t="s">
        <v>9460</v>
      </c>
      <c r="C5102" t="s">
        <v>10</v>
      </c>
      <c r="D5102" t="s">
        <v>8</v>
      </c>
      <c r="E5102" t="s">
        <v>8</v>
      </c>
      <c r="F5102" t="s">
        <v>9223</v>
      </c>
      <c r="G5102" t="s">
        <v>258</v>
      </c>
      <c r="H5102" t="s">
        <v>258</v>
      </c>
      <c r="I5102" t="s">
        <v>260</v>
      </c>
    </row>
    <row r="5103" spans="1:9" x14ac:dyDescent="0.25">
      <c r="A5103" s="1" t="str">
        <f>HYPERLINK("https://lynxcrm-apac--c.eu19.visual.force.com/0011i000001xmnuAAA","Tan Tock Seng Hospital")</f>
        <v>Tan Tock Seng Hospital</v>
      </c>
      <c r="B5103" t="s">
        <v>9461</v>
      </c>
      <c r="C5103" t="s">
        <v>10</v>
      </c>
      <c r="D5103" t="s">
        <v>8</v>
      </c>
      <c r="E5103" t="s">
        <v>8</v>
      </c>
      <c r="F5103" t="s">
        <v>9462</v>
      </c>
      <c r="G5103" t="s">
        <v>258</v>
      </c>
      <c r="H5103" t="s">
        <v>259</v>
      </c>
      <c r="I5103" t="s">
        <v>260</v>
      </c>
    </row>
    <row r="5104" spans="1:9" x14ac:dyDescent="0.25">
      <c r="A5104" s="1" t="str">
        <f>HYPERLINK("https://lynxcrm-apac--c.eu19.visual.force.com/0011i000001xmo0AAA","Tan Tock Seng Hospital")</f>
        <v>Tan Tock Seng Hospital</v>
      </c>
      <c r="B5104" t="s">
        <v>9463</v>
      </c>
      <c r="C5104" t="s">
        <v>10</v>
      </c>
      <c r="D5104" t="s">
        <v>8</v>
      </c>
      <c r="E5104" t="s">
        <v>8</v>
      </c>
      <c r="F5104" t="s">
        <v>427</v>
      </c>
      <c r="G5104" t="s">
        <v>347</v>
      </c>
      <c r="H5104" t="s">
        <v>1386</v>
      </c>
      <c r="I5104" t="s">
        <v>8</v>
      </c>
    </row>
    <row r="5105" spans="1:9" x14ac:dyDescent="0.25">
      <c r="A5105" s="1" t="str">
        <f>HYPERLINK("https://lynxcrm-apac--c.eu19.visual.force.com/0011i000001xmoyAAA","Tan Tock Seng Hospital")</f>
        <v>Tan Tock Seng Hospital</v>
      </c>
      <c r="B5105" t="s">
        <v>9464</v>
      </c>
      <c r="C5105" t="s">
        <v>10</v>
      </c>
      <c r="D5105" t="s">
        <v>8</v>
      </c>
      <c r="E5105" t="s">
        <v>8</v>
      </c>
      <c r="F5105" t="s">
        <v>1417</v>
      </c>
      <c r="G5105" t="s">
        <v>258</v>
      </c>
      <c r="H5105" t="s">
        <v>259</v>
      </c>
      <c r="I5105" t="s">
        <v>260</v>
      </c>
    </row>
    <row r="5106" spans="1:9" x14ac:dyDescent="0.25">
      <c r="A5106" s="1" t="str">
        <f>HYPERLINK("https://lynxcrm-apac--c.eu19.visual.force.com/0011i000001xmqrAAA","Tan Tock Seng Hospital")</f>
        <v>Tan Tock Seng Hospital</v>
      </c>
      <c r="B5106" t="s">
        <v>9465</v>
      </c>
      <c r="C5106" t="s">
        <v>10</v>
      </c>
      <c r="D5106" t="s">
        <v>8</v>
      </c>
      <c r="E5106" t="s">
        <v>8</v>
      </c>
      <c r="F5106" t="s">
        <v>9466</v>
      </c>
      <c r="G5106" t="s">
        <v>258</v>
      </c>
      <c r="H5106" t="s">
        <v>259</v>
      </c>
      <c r="I5106" t="s">
        <v>260</v>
      </c>
    </row>
    <row r="5107" spans="1:9" x14ac:dyDescent="0.25">
      <c r="A5107" s="1" t="str">
        <f>HYPERLINK("https://lynxcrm-apac--c.eu19.visual.force.com/0011i000001xmtgAAA","Tan Tock Seng Hospital")</f>
        <v>Tan Tock Seng Hospital</v>
      </c>
      <c r="B5107" t="s">
        <v>9467</v>
      </c>
      <c r="C5107" t="s">
        <v>10</v>
      </c>
      <c r="D5107" t="s">
        <v>8</v>
      </c>
      <c r="E5107" t="s">
        <v>8</v>
      </c>
      <c r="F5107" t="s">
        <v>359</v>
      </c>
      <c r="G5107" t="s">
        <v>258</v>
      </c>
      <c r="H5107" t="s">
        <v>259</v>
      </c>
      <c r="I5107" t="s">
        <v>260</v>
      </c>
    </row>
    <row r="5108" spans="1:9" x14ac:dyDescent="0.25">
      <c r="A5108" s="1" t="str">
        <f>HYPERLINK("https://lynxcrm-apac--c.eu19.visual.force.com/0011i000001xn40AAA","Tan Tock Seng Hospital")</f>
        <v>Tan Tock Seng Hospital</v>
      </c>
      <c r="B5108" t="s">
        <v>9468</v>
      </c>
      <c r="C5108" t="s">
        <v>10</v>
      </c>
      <c r="D5108" t="s">
        <v>8</v>
      </c>
      <c r="E5108" t="s">
        <v>8</v>
      </c>
      <c r="F5108" t="s">
        <v>1318</v>
      </c>
      <c r="G5108" t="s">
        <v>258</v>
      </c>
      <c r="H5108" t="s">
        <v>259</v>
      </c>
      <c r="I5108" t="s">
        <v>260</v>
      </c>
    </row>
    <row r="5109" spans="1:9" x14ac:dyDescent="0.25">
      <c r="A5109" s="1" t="str">
        <f>HYPERLINK("https://lynxcrm-apac--c.eu19.visual.force.com/0011i000001xnIiAAI","Tan Tock Seng Hospital")</f>
        <v>Tan Tock Seng Hospital</v>
      </c>
      <c r="B5109" t="s">
        <v>9469</v>
      </c>
      <c r="C5109" t="s">
        <v>10</v>
      </c>
      <c r="D5109" t="s">
        <v>8</v>
      </c>
      <c r="E5109" t="s">
        <v>8</v>
      </c>
      <c r="F5109" t="s">
        <v>9470</v>
      </c>
      <c r="G5109" t="s">
        <v>258</v>
      </c>
      <c r="H5109" t="s">
        <v>259</v>
      </c>
      <c r="I5109" t="s">
        <v>260</v>
      </c>
    </row>
    <row r="5110" spans="1:9" x14ac:dyDescent="0.25">
      <c r="A5110" s="1" t="str">
        <f>HYPERLINK("https://lynxcrm-apac--c.eu19.visual.force.com/0011i000001xnNcAAI","Tan Tock Seng Hospital")</f>
        <v>Tan Tock Seng Hospital</v>
      </c>
      <c r="B5110" t="s">
        <v>9471</v>
      </c>
      <c r="C5110" t="s">
        <v>10</v>
      </c>
      <c r="D5110" t="s">
        <v>8</v>
      </c>
      <c r="E5110" t="s">
        <v>8</v>
      </c>
      <c r="F5110" t="s">
        <v>1263</v>
      </c>
      <c r="G5110" t="s">
        <v>258</v>
      </c>
      <c r="H5110" t="s">
        <v>259</v>
      </c>
      <c r="I5110" t="s">
        <v>260</v>
      </c>
    </row>
    <row r="5111" spans="1:9" x14ac:dyDescent="0.25">
      <c r="A5111" s="1" t="str">
        <f>HYPERLINK("https://lynxcrm-apac--c.eu19.visual.force.com/0011i000001xnUeAAI","Tan Tock Seng Hospital")</f>
        <v>Tan Tock Seng Hospital</v>
      </c>
      <c r="B5111" t="s">
        <v>9472</v>
      </c>
      <c r="C5111" t="s">
        <v>10</v>
      </c>
      <c r="D5111" t="s">
        <v>8</v>
      </c>
      <c r="E5111" t="s">
        <v>8</v>
      </c>
      <c r="F5111" t="s">
        <v>257</v>
      </c>
      <c r="G5111" t="s">
        <v>258</v>
      </c>
      <c r="H5111" t="s">
        <v>259</v>
      </c>
      <c r="I5111" t="s">
        <v>260</v>
      </c>
    </row>
    <row r="5112" spans="1:9" x14ac:dyDescent="0.25">
      <c r="A5112" s="1" t="str">
        <f>HYPERLINK("https://lynxcrm-apac--c.eu19.visual.force.com/0011i000001xnY9AAI","Tan Tock Seng Hospital")</f>
        <v>Tan Tock Seng Hospital</v>
      </c>
      <c r="B5112" t="s">
        <v>9473</v>
      </c>
      <c r="C5112" t="s">
        <v>10</v>
      </c>
      <c r="D5112" t="s">
        <v>8</v>
      </c>
      <c r="E5112" t="s">
        <v>8</v>
      </c>
      <c r="F5112" t="s">
        <v>9474</v>
      </c>
      <c r="G5112" t="s">
        <v>9475</v>
      </c>
      <c r="H5112" t="s">
        <v>9475</v>
      </c>
      <c r="I5112" t="s">
        <v>260</v>
      </c>
    </row>
    <row r="5113" spans="1:9" x14ac:dyDescent="0.25">
      <c r="A5113" s="1" t="str">
        <f>HYPERLINK("https://lynxcrm-apac--c.eu19.visual.force.com/0011i000001xnYBAAY","Tan Tock Seng Hospital")</f>
        <v>Tan Tock Seng Hospital</v>
      </c>
      <c r="B5113" t="s">
        <v>9476</v>
      </c>
      <c r="C5113" t="s">
        <v>10</v>
      </c>
      <c r="D5113" t="s">
        <v>8</v>
      </c>
      <c r="E5113" t="s">
        <v>8</v>
      </c>
      <c r="F5113" t="s">
        <v>239</v>
      </c>
      <c r="G5113" t="s">
        <v>258</v>
      </c>
      <c r="H5113" t="s">
        <v>259</v>
      </c>
      <c r="I5113" t="s">
        <v>260</v>
      </c>
    </row>
    <row r="5114" spans="1:9" x14ac:dyDescent="0.25">
      <c r="A5114" s="1" t="str">
        <f>HYPERLINK("https://lynxcrm-apac--c.eu19.visual.force.com/0011i000001xnYMAAY","Tan Tock Seng Hospital")</f>
        <v>Tan Tock Seng Hospital</v>
      </c>
      <c r="B5114" t="s">
        <v>9477</v>
      </c>
      <c r="C5114" t="s">
        <v>10</v>
      </c>
      <c r="D5114" t="s">
        <v>8</v>
      </c>
      <c r="E5114" t="s">
        <v>8</v>
      </c>
      <c r="F5114" t="s">
        <v>514</v>
      </c>
      <c r="G5114" t="s">
        <v>258</v>
      </c>
      <c r="H5114" t="s">
        <v>259</v>
      </c>
      <c r="I5114" t="s">
        <v>260</v>
      </c>
    </row>
    <row r="5115" spans="1:9" x14ac:dyDescent="0.25">
      <c r="A5115" s="1" t="str">
        <f>HYPERLINK("https://lynxcrm-apac--c.eu19.visual.force.com/0011i000001xnZNAAY","Tan Tock Seng Hospital")</f>
        <v>Tan Tock Seng Hospital</v>
      </c>
      <c r="B5115" t="s">
        <v>9478</v>
      </c>
      <c r="C5115" t="s">
        <v>10</v>
      </c>
      <c r="D5115" t="s">
        <v>8</v>
      </c>
      <c r="E5115" t="s">
        <v>8</v>
      </c>
      <c r="F5115" t="s">
        <v>514</v>
      </c>
      <c r="G5115" t="s">
        <v>258</v>
      </c>
      <c r="H5115" t="s">
        <v>259</v>
      </c>
      <c r="I5115" t="s">
        <v>260</v>
      </c>
    </row>
    <row r="5116" spans="1:9" x14ac:dyDescent="0.25">
      <c r="A5116" s="1" t="str">
        <f>HYPERLINK("https://lynxcrm-apac--c.eu19.visual.force.com/0011i000001xnb3AAA","Tan Tock Seng Hospital")</f>
        <v>Tan Tock Seng Hospital</v>
      </c>
      <c r="B5116" t="s">
        <v>9479</v>
      </c>
      <c r="C5116" t="s">
        <v>10</v>
      </c>
      <c r="D5116" t="s">
        <v>8</v>
      </c>
      <c r="E5116" t="s">
        <v>8</v>
      </c>
      <c r="F5116" t="s">
        <v>1605</v>
      </c>
      <c r="G5116" t="s">
        <v>258</v>
      </c>
      <c r="H5116" t="s">
        <v>258</v>
      </c>
      <c r="I5116" t="s">
        <v>260</v>
      </c>
    </row>
    <row r="5117" spans="1:9" x14ac:dyDescent="0.25">
      <c r="A5117" s="1" t="str">
        <f>HYPERLINK("https://lynxcrm-apac--c.eu19.visual.force.com/0011i000001xnbUAAQ","Tan Tock Seng Hospital")</f>
        <v>Tan Tock Seng Hospital</v>
      </c>
      <c r="B5117" t="s">
        <v>9480</v>
      </c>
      <c r="C5117" t="s">
        <v>10</v>
      </c>
      <c r="D5117" t="s">
        <v>8</v>
      </c>
      <c r="E5117" t="s">
        <v>8</v>
      </c>
      <c r="F5117" t="s">
        <v>427</v>
      </c>
      <c r="G5117" t="s">
        <v>258</v>
      </c>
      <c r="H5117" t="s">
        <v>259</v>
      </c>
      <c r="I5117" t="s">
        <v>415</v>
      </c>
    </row>
    <row r="5118" spans="1:9" x14ac:dyDescent="0.25">
      <c r="A5118" s="1" t="str">
        <f>HYPERLINK("https://lynxcrm-apac--c.eu19.visual.force.com/0011i000001xmgxAAA","Tan Tock Seng Hospital")</f>
        <v>Tan Tock Seng Hospital</v>
      </c>
      <c r="B5118" t="s">
        <v>9481</v>
      </c>
      <c r="C5118" t="s">
        <v>10</v>
      </c>
      <c r="D5118" t="s">
        <v>8</v>
      </c>
      <c r="E5118" t="s">
        <v>8</v>
      </c>
      <c r="F5118" t="s">
        <v>258</v>
      </c>
      <c r="G5118" t="s">
        <v>9482</v>
      </c>
      <c r="H5118" t="s">
        <v>9482</v>
      </c>
      <c r="I5118" t="s">
        <v>260</v>
      </c>
    </row>
    <row r="5119" spans="1:9" x14ac:dyDescent="0.25">
      <c r="A5119" s="1" t="str">
        <f>HYPERLINK("https://lynxcrm-apac--c.eu19.visual.force.com/0011i000001xmk4AAA","Tan Tock Seng Hospital")</f>
        <v>Tan Tock Seng Hospital</v>
      </c>
      <c r="B5119" t="s">
        <v>9483</v>
      </c>
      <c r="C5119" t="s">
        <v>10</v>
      </c>
      <c r="D5119" t="s">
        <v>8</v>
      </c>
      <c r="E5119" t="s">
        <v>8</v>
      </c>
      <c r="F5119" t="s">
        <v>514</v>
      </c>
      <c r="G5119" t="s">
        <v>258</v>
      </c>
      <c r="H5119" t="s">
        <v>259</v>
      </c>
      <c r="I5119" t="s">
        <v>260</v>
      </c>
    </row>
    <row r="5120" spans="1:9" x14ac:dyDescent="0.25">
      <c r="A5120" s="1" t="str">
        <f>HYPERLINK("https://lynxcrm-apac--c.eu19.visual.force.com/0011i000001xn3QAAQ","Tan Tock Seng Hospital")</f>
        <v>Tan Tock Seng Hospital</v>
      </c>
      <c r="B5120" t="s">
        <v>9484</v>
      </c>
      <c r="C5120" t="s">
        <v>10</v>
      </c>
      <c r="D5120" t="s">
        <v>8</v>
      </c>
      <c r="E5120" t="s">
        <v>8</v>
      </c>
      <c r="F5120" t="s">
        <v>239</v>
      </c>
      <c r="G5120" t="s">
        <v>258</v>
      </c>
      <c r="H5120" t="s">
        <v>259</v>
      </c>
      <c r="I5120" t="s">
        <v>260</v>
      </c>
    </row>
    <row r="5121" spans="1:9" x14ac:dyDescent="0.25">
      <c r="A5121" s="1" t="str">
        <f>HYPERLINK("https://lynxcrm-apac--c.eu19.visual.force.com/0011i000001xn3tAAA","Tan Tock Seng Hospital")</f>
        <v>Tan Tock Seng Hospital</v>
      </c>
      <c r="B5121" t="s">
        <v>9485</v>
      </c>
      <c r="C5121" t="s">
        <v>10</v>
      </c>
      <c r="D5121" t="s">
        <v>8</v>
      </c>
      <c r="E5121" t="s">
        <v>8</v>
      </c>
      <c r="F5121" t="s">
        <v>5343</v>
      </c>
      <c r="G5121" t="s">
        <v>258</v>
      </c>
      <c r="H5121" t="s">
        <v>259</v>
      </c>
      <c r="I5121" t="s">
        <v>260</v>
      </c>
    </row>
    <row r="5122" spans="1:9" x14ac:dyDescent="0.25">
      <c r="A5122" s="1" t="str">
        <f>HYPERLINK("https://lynxcrm-apac--c.eu19.visual.force.com/0011i000001xn4hAAA","Tan Tock Seng Hospital")</f>
        <v>Tan Tock Seng Hospital</v>
      </c>
      <c r="B5122" t="s">
        <v>9486</v>
      </c>
      <c r="C5122" t="s">
        <v>10</v>
      </c>
      <c r="D5122" t="s">
        <v>8</v>
      </c>
      <c r="E5122" t="s">
        <v>8</v>
      </c>
      <c r="F5122" t="s">
        <v>514</v>
      </c>
      <c r="G5122" t="s">
        <v>258</v>
      </c>
      <c r="H5122" t="s">
        <v>259</v>
      </c>
      <c r="I5122" t="s">
        <v>260</v>
      </c>
    </row>
    <row r="5123" spans="1:9" x14ac:dyDescent="0.25">
      <c r="A5123" s="1" t="str">
        <f>HYPERLINK("https://lynxcrm-apac--c.eu19.visual.force.com/0011i000001xnFmAAI","Tan Tock Seng Hospital")</f>
        <v>Tan Tock Seng Hospital</v>
      </c>
      <c r="B5123" t="s">
        <v>9487</v>
      </c>
      <c r="C5123" t="s">
        <v>10</v>
      </c>
      <c r="D5123" t="s">
        <v>8</v>
      </c>
      <c r="E5123" t="s">
        <v>8</v>
      </c>
      <c r="F5123" t="s">
        <v>359</v>
      </c>
      <c r="G5123" t="s">
        <v>258</v>
      </c>
      <c r="H5123" t="s">
        <v>259</v>
      </c>
      <c r="I5123" t="s">
        <v>260</v>
      </c>
    </row>
    <row r="5124" spans="1:9" x14ac:dyDescent="0.25">
      <c r="A5124" s="1" t="str">
        <f>HYPERLINK("https://lynxcrm-apac--c.eu19.visual.force.com/0011i000001xnXSAAY","Tan Tock Seng Hospital")</f>
        <v>Tan Tock Seng Hospital</v>
      </c>
      <c r="B5124" t="s">
        <v>9488</v>
      </c>
      <c r="C5124" t="s">
        <v>10</v>
      </c>
      <c r="D5124" t="s">
        <v>8</v>
      </c>
      <c r="E5124" t="s">
        <v>8</v>
      </c>
      <c r="F5124" t="s">
        <v>239</v>
      </c>
      <c r="G5124" t="s">
        <v>258</v>
      </c>
      <c r="H5124" t="s">
        <v>259</v>
      </c>
      <c r="I5124" t="s">
        <v>260</v>
      </c>
    </row>
    <row r="5125" spans="1:9" x14ac:dyDescent="0.25">
      <c r="A5125" s="1" t="str">
        <f>HYPERLINK("https://lynxcrm-apac--c.eu19.visual.force.com/0011i000001xnaUAAQ","Tan Tock Seng Hospital")</f>
        <v>Tan Tock Seng Hospital</v>
      </c>
      <c r="B5125" t="s">
        <v>9489</v>
      </c>
      <c r="C5125" t="s">
        <v>10</v>
      </c>
      <c r="D5125" t="s">
        <v>8</v>
      </c>
      <c r="E5125" t="s">
        <v>8</v>
      </c>
      <c r="F5125" t="s">
        <v>248</v>
      </c>
      <c r="G5125" t="s">
        <v>258</v>
      </c>
      <c r="H5125" t="s">
        <v>259</v>
      </c>
      <c r="I5125" t="s">
        <v>260</v>
      </c>
    </row>
    <row r="5126" spans="1:9" x14ac:dyDescent="0.25">
      <c r="A5126" s="1" t="str">
        <f>HYPERLINK("https://lynxcrm-apac--c.eu19.visual.force.com/0011i000001xnb2AAA","Tan Tock Seng Hospital")</f>
        <v>Tan Tock Seng Hospital</v>
      </c>
      <c r="B5126" t="s">
        <v>9490</v>
      </c>
      <c r="C5126" t="s">
        <v>10</v>
      </c>
      <c r="D5126" t="s">
        <v>8</v>
      </c>
      <c r="E5126" t="s">
        <v>8</v>
      </c>
      <c r="F5126" t="s">
        <v>1605</v>
      </c>
      <c r="G5126" t="s">
        <v>258</v>
      </c>
      <c r="H5126" t="s">
        <v>259</v>
      </c>
      <c r="I5126" t="s">
        <v>260</v>
      </c>
    </row>
    <row r="5127" spans="1:9" x14ac:dyDescent="0.25">
      <c r="A5127" s="1" t="str">
        <f>HYPERLINK("https://lynxcrm-apac--c.eu19.visual.force.com/0011i000001xmj9AAA","Tan Tock Seng Hospital")</f>
        <v>Tan Tock Seng Hospital</v>
      </c>
      <c r="B5127" t="s">
        <v>9491</v>
      </c>
      <c r="C5127" t="s">
        <v>10</v>
      </c>
      <c r="D5127" t="s">
        <v>8</v>
      </c>
      <c r="E5127" t="s">
        <v>8</v>
      </c>
      <c r="F5127" t="s">
        <v>359</v>
      </c>
      <c r="G5127" t="s">
        <v>347</v>
      </c>
      <c r="H5127" t="s">
        <v>347</v>
      </c>
      <c r="I5127" t="s">
        <v>415</v>
      </c>
    </row>
    <row r="5128" spans="1:9" x14ac:dyDescent="0.25">
      <c r="A5128" s="1" t="str">
        <f>HYPERLINK("https://lynxcrm-apac--c.eu19.visual.force.com/0011i000001xmocAAA","Tan Tock Seng Hospital")</f>
        <v>Tan Tock Seng Hospital</v>
      </c>
      <c r="B5128" t="s">
        <v>9492</v>
      </c>
      <c r="C5128" t="s">
        <v>10</v>
      </c>
      <c r="D5128" t="s">
        <v>8</v>
      </c>
      <c r="E5128" t="s">
        <v>8</v>
      </c>
      <c r="F5128" t="s">
        <v>366</v>
      </c>
      <c r="G5128" t="s">
        <v>258</v>
      </c>
      <c r="H5128" t="s">
        <v>258</v>
      </c>
      <c r="I5128" t="s">
        <v>260</v>
      </c>
    </row>
    <row r="5129" spans="1:9" x14ac:dyDescent="0.25">
      <c r="A5129" s="1" t="str">
        <f>HYPERLINK("https://lynxcrm-apac--c.eu19.visual.force.com/0011i000001xmrxAAA","Tan Tock Seng Hospital")</f>
        <v>Tan Tock Seng Hospital</v>
      </c>
      <c r="B5129" t="s">
        <v>9493</v>
      </c>
      <c r="C5129" t="s">
        <v>10</v>
      </c>
      <c r="D5129" t="s">
        <v>8</v>
      </c>
      <c r="E5129" t="s">
        <v>8</v>
      </c>
      <c r="F5129" t="s">
        <v>258</v>
      </c>
      <c r="G5129" t="s">
        <v>261</v>
      </c>
      <c r="H5129" t="s">
        <v>261</v>
      </c>
      <c r="I5129" t="s">
        <v>260</v>
      </c>
    </row>
    <row r="5130" spans="1:9" x14ac:dyDescent="0.25">
      <c r="A5130" s="1" t="str">
        <f>HYPERLINK("https://lynxcrm-apac--c.eu19.visual.force.com/0011i000001xmsXAAQ","Tan Tock Seng Hospital")</f>
        <v>Tan Tock Seng Hospital</v>
      </c>
      <c r="B5130" t="s">
        <v>9494</v>
      </c>
      <c r="C5130" t="s">
        <v>10</v>
      </c>
      <c r="D5130" t="s">
        <v>8</v>
      </c>
      <c r="E5130" t="s">
        <v>8</v>
      </c>
      <c r="F5130" t="s">
        <v>257</v>
      </c>
      <c r="G5130" t="s">
        <v>258</v>
      </c>
      <c r="H5130" t="s">
        <v>259</v>
      </c>
      <c r="I5130" t="s">
        <v>260</v>
      </c>
    </row>
    <row r="5131" spans="1:9" x14ac:dyDescent="0.25">
      <c r="A5131" s="1" t="str">
        <f>HYPERLINK("https://lynxcrm-apac--c.eu19.visual.force.com/0011i000001xmsmAAA","Tan Tock Seng Hospital")</f>
        <v>Tan Tock Seng Hospital</v>
      </c>
      <c r="B5131" t="s">
        <v>9495</v>
      </c>
      <c r="C5131" t="s">
        <v>10</v>
      </c>
      <c r="D5131" t="s">
        <v>8</v>
      </c>
      <c r="E5131" t="s">
        <v>8</v>
      </c>
      <c r="F5131" t="s">
        <v>234</v>
      </c>
      <c r="G5131" t="s">
        <v>258</v>
      </c>
      <c r="H5131" t="s">
        <v>259</v>
      </c>
      <c r="I5131" t="s">
        <v>260</v>
      </c>
    </row>
    <row r="5132" spans="1:9" x14ac:dyDescent="0.25">
      <c r="A5132" s="1" t="str">
        <f>HYPERLINK("https://lynxcrm-apac--c.eu19.visual.force.com/0011i000001xnFHAAY","Tan Tock Seng Hospital")</f>
        <v>Tan Tock Seng Hospital</v>
      </c>
      <c r="B5132" t="s">
        <v>9496</v>
      </c>
      <c r="C5132" t="s">
        <v>10</v>
      </c>
      <c r="D5132" t="s">
        <v>8</v>
      </c>
      <c r="E5132" t="s">
        <v>8</v>
      </c>
      <c r="F5132" t="s">
        <v>427</v>
      </c>
      <c r="G5132" t="s">
        <v>258</v>
      </c>
      <c r="H5132" t="s">
        <v>259</v>
      </c>
      <c r="I5132" t="s">
        <v>260</v>
      </c>
    </row>
    <row r="5133" spans="1:9" x14ac:dyDescent="0.25">
      <c r="A5133" s="1" t="str">
        <f>HYPERLINK("https://lynxcrm-apac--c.eu19.visual.force.com/0011i000001xnIvAAI","Tan Tock Seng Hospital")</f>
        <v>Tan Tock Seng Hospital</v>
      </c>
      <c r="B5133" t="s">
        <v>9497</v>
      </c>
      <c r="C5133" t="s">
        <v>10</v>
      </c>
      <c r="D5133" t="s">
        <v>8</v>
      </c>
      <c r="E5133" t="s">
        <v>8</v>
      </c>
      <c r="F5133" t="s">
        <v>6541</v>
      </c>
      <c r="G5133" t="s">
        <v>258</v>
      </c>
      <c r="H5133" t="s">
        <v>259</v>
      </c>
      <c r="I5133" t="s">
        <v>260</v>
      </c>
    </row>
    <row r="5134" spans="1:9" x14ac:dyDescent="0.25">
      <c r="A5134" s="1" t="str">
        <f>HYPERLINK("https://lynxcrm-apac--c.eu19.visual.force.com/0011i000001xnJuAAI","Tan Tock Seng Hospital")</f>
        <v>Tan Tock Seng Hospital</v>
      </c>
      <c r="B5134" t="s">
        <v>9498</v>
      </c>
      <c r="C5134" t="s">
        <v>10</v>
      </c>
      <c r="D5134" t="s">
        <v>8</v>
      </c>
      <c r="E5134" t="s">
        <v>8</v>
      </c>
      <c r="F5134" t="s">
        <v>514</v>
      </c>
      <c r="G5134" t="s">
        <v>258</v>
      </c>
      <c r="H5134" t="s">
        <v>258</v>
      </c>
      <c r="I5134" t="s">
        <v>260</v>
      </c>
    </row>
    <row r="5135" spans="1:9" x14ac:dyDescent="0.25">
      <c r="A5135" s="1" t="str">
        <f>HYPERLINK("https://lynxcrm-apac--c.eu19.visual.force.com/0011i000001xnM3AAI","Tan Tock Seng Hospital")</f>
        <v>Tan Tock Seng Hospital</v>
      </c>
      <c r="B5135" t="s">
        <v>9499</v>
      </c>
      <c r="C5135" t="s">
        <v>10</v>
      </c>
      <c r="D5135" t="s">
        <v>8</v>
      </c>
      <c r="E5135" t="s">
        <v>8</v>
      </c>
      <c r="F5135" t="s">
        <v>1263</v>
      </c>
      <c r="G5135" t="s">
        <v>258</v>
      </c>
      <c r="H5135" t="s">
        <v>258</v>
      </c>
      <c r="I5135" t="s">
        <v>260</v>
      </c>
    </row>
    <row r="5136" spans="1:9" x14ac:dyDescent="0.25">
      <c r="A5136" s="1" t="str">
        <f>HYPERLINK("https://lynxcrm-apac--c.eu19.visual.force.com/0011i000001xnQZAAY","Tan Tock Seng Hospital")</f>
        <v>Tan Tock Seng Hospital</v>
      </c>
      <c r="B5136" t="s">
        <v>9500</v>
      </c>
      <c r="C5136" t="s">
        <v>10</v>
      </c>
      <c r="D5136" t="s">
        <v>8</v>
      </c>
      <c r="E5136" t="s">
        <v>8</v>
      </c>
      <c r="F5136" t="s">
        <v>248</v>
      </c>
      <c r="G5136" t="s">
        <v>258</v>
      </c>
      <c r="H5136" t="s">
        <v>258</v>
      </c>
      <c r="I5136" t="s">
        <v>260</v>
      </c>
    </row>
    <row r="5137" spans="1:9" x14ac:dyDescent="0.25">
      <c r="A5137" s="1" t="str">
        <f>HYPERLINK("https://lynxcrm-apac--c.eu19.visual.force.com/0011i000001xnSmAAI","Tan Tock Seng Hospital")</f>
        <v>Tan Tock Seng Hospital</v>
      </c>
      <c r="B5137" t="s">
        <v>9501</v>
      </c>
      <c r="C5137" t="s">
        <v>10</v>
      </c>
      <c r="D5137" t="s">
        <v>8</v>
      </c>
      <c r="E5137" t="s">
        <v>8</v>
      </c>
      <c r="F5137" t="s">
        <v>229</v>
      </c>
      <c r="G5137" t="s">
        <v>258</v>
      </c>
      <c r="H5137" t="s">
        <v>259</v>
      </c>
      <c r="I5137" t="s">
        <v>260</v>
      </c>
    </row>
    <row r="5138" spans="1:9" x14ac:dyDescent="0.25">
      <c r="A5138" s="1" t="str">
        <f>HYPERLINK("https://lynxcrm-apac--c.eu19.visual.force.com/0011i000001xnXgAAI","Tan Tock Seng Hospital")</f>
        <v>Tan Tock Seng Hospital</v>
      </c>
      <c r="B5138" t="s">
        <v>9502</v>
      </c>
      <c r="C5138" t="s">
        <v>10</v>
      </c>
      <c r="D5138" t="s">
        <v>8</v>
      </c>
      <c r="E5138" t="s">
        <v>8</v>
      </c>
      <c r="F5138" t="s">
        <v>257</v>
      </c>
      <c r="G5138" t="s">
        <v>258</v>
      </c>
      <c r="H5138" t="s">
        <v>259</v>
      </c>
      <c r="I5138" t="s">
        <v>260</v>
      </c>
    </row>
    <row r="5139" spans="1:9" x14ac:dyDescent="0.25">
      <c r="A5139" s="1" t="str">
        <f>HYPERLINK("https://lynxcrm-apac--c.eu19.visual.force.com/0011i000001xnXtAAI","Tan Tock Seng Hospital")</f>
        <v>Tan Tock Seng Hospital</v>
      </c>
      <c r="B5139" t="s">
        <v>9503</v>
      </c>
      <c r="C5139" t="s">
        <v>10</v>
      </c>
      <c r="D5139" t="s">
        <v>8</v>
      </c>
      <c r="E5139" t="s">
        <v>8</v>
      </c>
      <c r="F5139" t="s">
        <v>1417</v>
      </c>
      <c r="G5139" t="s">
        <v>258</v>
      </c>
      <c r="H5139" t="s">
        <v>259</v>
      </c>
      <c r="I5139" t="s">
        <v>260</v>
      </c>
    </row>
    <row r="5140" spans="1:9" x14ac:dyDescent="0.25">
      <c r="A5140" s="1" t="str">
        <f>HYPERLINK("https://lynxcrm-apac--c.eu19.visual.force.com/0011i000001xnaVAAQ","Tan Tock Seng Hospital")</f>
        <v>Tan Tock Seng Hospital</v>
      </c>
      <c r="B5140" t="s">
        <v>9504</v>
      </c>
      <c r="C5140" t="s">
        <v>10</v>
      </c>
      <c r="D5140" t="s">
        <v>8</v>
      </c>
      <c r="E5140" t="s">
        <v>8</v>
      </c>
      <c r="F5140" t="s">
        <v>368</v>
      </c>
      <c r="G5140" t="s">
        <v>258</v>
      </c>
      <c r="H5140" t="s">
        <v>258</v>
      </c>
      <c r="I5140" t="s">
        <v>260</v>
      </c>
    </row>
    <row r="5141" spans="1:9" x14ac:dyDescent="0.25">
      <c r="A5141" s="1" t="str">
        <f>HYPERLINK("https://lynxcrm-apac--c.eu19.visual.force.com/0011i000001xmbQAAQ","Tan Tock Seng Hospital")</f>
        <v>Tan Tock Seng Hospital</v>
      </c>
      <c r="B5141" t="s">
        <v>9505</v>
      </c>
      <c r="C5141" t="s">
        <v>10</v>
      </c>
      <c r="D5141" t="s">
        <v>8</v>
      </c>
      <c r="E5141" t="s">
        <v>8</v>
      </c>
      <c r="F5141" t="s">
        <v>514</v>
      </c>
      <c r="G5141" t="s">
        <v>258</v>
      </c>
      <c r="H5141" t="s">
        <v>259</v>
      </c>
      <c r="I5141" t="s">
        <v>260</v>
      </c>
    </row>
    <row r="5142" spans="1:9" x14ac:dyDescent="0.25">
      <c r="A5142" s="1" t="str">
        <f>HYPERLINK("https://lynxcrm-apac--c.eu19.visual.force.com/0011i000001xmdhAAA","Tan Tock Seng Hospital")</f>
        <v>Tan Tock Seng Hospital</v>
      </c>
      <c r="B5142" t="s">
        <v>9506</v>
      </c>
      <c r="C5142" t="s">
        <v>10</v>
      </c>
      <c r="D5142" t="s">
        <v>8</v>
      </c>
      <c r="E5142" t="s">
        <v>8</v>
      </c>
      <c r="F5142" t="s">
        <v>5343</v>
      </c>
      <c r="G5142" t="s">
        <v>258</v>
      </c>
      <c r="H5142" t="s">
        <v>259</v>
      </c>
      <c r="I5142" t="s">
        <v>260</v>
      </c>
    </row>
    <row r="5143" spans="1:9" x14ac:dyDescent="0.25">
      <c r="A5143" s="1" t="str">
        <f>HYPERLINK("https://lynxcrm-apac--c.eu19.visual.force.com/0011i000001xmhHAAQ","Tan Tock Seng Hospital")</f>
        <v>Tan Tock Seng Hospital</v>
      </c>
      <c r="B5143" t="s">
        <v>9507</v>
      </c>
      <c r="C5143" t="s">
        <v>10</v>
      </c>
      <c r="D5143" t="s">
        <v>8</v>
      </c>
      <c r="E5143" t="s">
        <v>8</v>
      </c>
      <c r="F5143" t="s">
        <v>258</v>
      </c>
      <c r="G5143" t="s">
        <v>261</v>
      </c>
      <c r="H5143" t="s">
        <v>261</v>
      </c>
      <c r="I5143" t="s">
        <v>260</v>
      </c>
    </row>
    <row r="5144" spans="1:9" x14ac:dyDescent="0.25">
      <c r="A5144" s="1" t="str">
        <f>HYPERLINK("https://lynxcrm-apac--c.eu19.visual.force.com/0011i000001xmjeAAA","Tan Tock Seng Hospital")</f>
        <v>Tan Tock Seng Hospital</v>
      </c>
      <c r="B5144" t="s">
        <v>9508</v>
      </c>
      <c r="C5144" t="s">
        <v>10</v>
      </c>
      <c r="D5144" t="s">
        <v>8</v>
      </c>
      <c r="E5144" t="s">
        <v>8</v>
      </c>
      <c r="F5144" t="s">
        <v>514</v>
      </c>
      <c r="G5144" t="s">
        <v>258</v>
      </c>
      <c r="H5144" t="s">
        <v>259</v>
      </c>
      <c r="I5144" t="s">
        <v>260</v>
      </c>
    </row>
    <row r="5145" spans="1:9" x14ac:dyDescent="0.25">
      <c r="A5145" s="1" t="str">
        <f>HYPERLINK("https://lynxcrm-apac--c.eu19.visual.force.com/0011i000001xmkMAAQ","Tan Tock Seng Hospital")</f>
        <v>Tan Tock Seng Hospital</v>
      </c>
      <c r="B5145" t="s">
        <v>9509</v>
      </c>
      <c r="C5145" t="s">
        <v>10</v>
      </c>
      <c r="D5145" t="s">
        <v>8</v>
      </c>
      <c r="E5145" t="s">
        <v>8</v>
      </c>
      <c r="F5145" t="s">
        <v>257</v>
      </c>
      <c r="G5145" t="s">
        <v>258</v>
      </c>
      <c r="H5145" t="s">
        <v>259</v>
      </c>
      <c r="I5145" t="s">
        <v>260</v>
      </c>
    </row>
    <row r="5146" spans="1:9" x14ac:dyDescent="0.25">
      <c r="A5146" s="1" t="str">
        <f>HYPERLINK("https://lynxcrm-apac--c.eu19.visual.force.com/0011i000001xmopAAA","Tan Tock Seng Hospital")</f>
        <v>Tan Tock Seng Hospital</v>
      </c>
      <c r="B5146" t="s">
        <v>9510</v>
      </c>
      <c r="C5146" t="s">
        <v>10</v>
      </c>
      <c r="D5146" t="s">
        <v>8</v>
      </c>
      <c r="E5146" t="s">
        <v>8</v>
      </c>
      <c r="F5146" t="s">
        <v>514</v>
      </c>
      <c r="G5146" t="s">
        <v>258</v>
      </c>
      <c r="H5146" t="s">
        <v>259</v>
      </c>
      <c r="I5146" t="s">
        <v>260</v>
      </c>
    </row>
    <row r="5147" spans="1:9" x14ac:dyDescent="0.25">
      <c r="A5147" s="1" t="str">
        <f>HYPERLINK("https://lynxcrm-apac--c.eu19.visual.force.com/0011i000001xmpgAAA","Tan Tock Seng Hospital")</f>
        <v>Tan Tock Seng Hospital</v>
      </c>
      <c r="B5147" t="s">
        <v>9511</v>
      </c>
      <c r="C5147" t="s">
        <v>10</v>
      </c>
      <c r="D5147" t="s">
        <v>8</v>
      </c>
      <c r="E5147" t="s">
        <v>8</v>
      </c>
      <c r="F5147" t="s">
        <v>359</v>
      </c>
      <c r="G5147" t="s">
        <v>258</v>
      </c>
      <c r="H5147" t="s">
        <v>259</v>
      </c>
      <c r="I5147" t="s">
        <v>260</v>
      </c>
    </row>
    <row r="5148" spans="1:9" x14ac:dyDescent="0.25">
      <c r="A5148" s="1" t="str">
        <f>HYPERLINK("https://lynxcrm-apac--c.eu19.visual.force.com/0011i000001xmrEAAQ","Tan Tock Seng Hospital")</f>
        <v>Tan Tock Seng Hospital</v>
      </c>
      <c r="B5148" t="s">
        <v>9512</v>
      </c>
      <c r="C5148" t="s">
        <v>10</v>
      </c>
      <c r="D5148" t="s">
        <v>8</v>
      </c>
      <c r="E5148" t="s">
        <v>8</v>
      </c>
      <c r="F5148" t="s">
        <v>248</v>
      </c>
      <c r="G5148" t="s">
        <v>258</v>
      </c>
      <c r="H5148" t="s">
        <v>259</v>
      </c>
      <c r="I5148" t="s">
        <v>260</v>
      </c>
    </row>
    <row r="5149" spans="1:9" x14ac:dyDescent="0.25">
      <c r="A5149" s="1" t="str">
        <f>HYPERLINK("https://lynxcrm-apac--c.eu19.visual.force.com/0011i000001xmrzAAA","Tan Tock Seng Hospital")</f>
        <v>Tan Tock Seng Hospital</v>
      </c>
      <c r="B5149" t="s">
        <v>9513</v>
      </c>
      <c r="C5149" t="s">
        <v>10</v>
      </c>
      <c r="D5149" t="s">
        <v>8</v>
      </c>
      <c r="E5149" t="s">
        <v>8</v>
      </c>
      <c r="F5149" t="s">
        <v>9514</v>
      </c>
      <c r="G5149" t="s">
        <v>258</v>
      </c>
      <c r="H5149" t="s">
        <v>259</v>
      </c>
      <c r="I5149" t="s">
        <v>260</v>
      </c>
    </row>
    <row r="5150" spans="1:9" x14ac:dyDescent="0.25">
      <c r="A5150" s="1" t="str">
        <f>HYPERLINK("https://lynxcrm-apac--c.eu19.visual.force.com/0011i000001xmzDAAQ","Tan Tock Seng Hospital")</f>
        <v>Tan Tock Seng Hospital</v>
      </c>
      <c r="B5150" t="s">
        <v>9515</v>
      </c>
      <c r="C5150" t="s">
        <v>10</v>
      </c>
      <c r="D5150" t="s">
        <v>8</v>
      </c>
      <c r="E5150" t="s">
        <v>8</v>
      </c>
      <c r="F5150" t="s">
        <v>8295</v>
      </c>
      <c r="G5150" t="s">
        <v>258</v>
      </c>
      <c r="H5150" t="s">
        <v>259</v>
      </c>
      <c r="I5150" t="s">
        <v>415</v>
      </c>
    </row>
    <row r="5151" spans="1:9" x14ac:dyDescent="0.25">
      <c r="A5151" s="1" t="str">
        <f>HYPERLINK("https://lynxcrm-apac--c.eu19.visual.force.com/0011i000001xn0dAAA","Tan Tock Seng Hospital")</f>
        <v>Tan Tock Seng Hospital</v>
      </c>
      <c r="B5151" t="s">
        <v>9516</v>
      </c>
      <c r="C5151" t="s">
        <v>10</v>
      </c>
      <c r="D5151" t="s">
        <v>8</v>
      </c>
      <c r="E5151" t="s">
        <v>8</v>
      </c>
      <c r="F5151" t="s">
        <v>427</v>
      </c>
      <c r="G5151" t="s">
        <v>258</v>
      </c>
      <c r="H5151" t="s">
        <v>259</v>
      </c>
      <c r="I5151" t="s">
        <v>260</v>
      </c>
    </row>
    <row r="5152" spans="1:9" x14ac:dyDescent="0.25">
      <c r="A5152" s="1" t="str">
        <f>HYPERLINK("https://lynxcrm-apac--c.eu19.visual.force.com/0011i000001xn3sAAA","Tan Tock Seng Hospital")</f>
        <v>Tan Tock Seng Hospital</v>
      </c>
      <c r="B5152" t="s">
        <v>9517</v>
      </c>
      <c r="C5152" t="s">
        <v>10</v>
      </c>
      <c r="D5152" t="s">
        <v>8</v>
      </c>
      <c r="E5152" t="s">
        <v>8</v>
      </c>
      <c r="F5152" t="s">
        <v>248</v>
      </c>
      <c r="G5152" t="s">
        <v>258</v>
      </c>
      <c r="H5152" t="s">
        <v>259</v>
      </c>
      <c r="I5152" t="s">
        <v>260</v>
      </c>
    </row>
    <row r="5153" spans="1:9" x14ac:dyDescent="0.25">
      <c r="A5153" s="1" t="str">
        <f>HYPERLINK("https://lynxcrm-apac--c.eu19.visual.force.com/0011i000001xn4KAAQ","Tan Tock Seng Hospital")</f>
        <v>Tan Tock Seng Hospital</v>
      </c>
      <c r="B5153" t="s">
        <v>9518</v>
      </c>
      <c r="C5153" t="s">
        <v>10</v>
      </c>
      <c r="D5153" t="s">
        <v>8</v>
      </c>
      <c r="E5153" t="s">
        <v>8</v>
      </c>
      <c r="F5153" t="s">
        <v>257</v>
      </c>
      <c r="G5153" t="s">
        <v>258</v>
      </c>
      <c r="H5153" t="s">
        <v>259</v>
      </c>
      <c r="I5153" t="s">
        <v>260</v>
      </c>
    </row>
    <row r="5154" spans="1:9" x14ac:dyDescent="0.25">
      <c r="A5154" s="1" t="str">
        <f>HYPERLINK("https://lynxcrm-apac--c.eu19.visual.force.com/0011i000001xn4rAAA","Tan Tock Seng Hospital")</f>
        <v>Tan Tock Seng Hospital</v>
      </c>
      <c r="B5154" t="s">
        <v>9519</v>
      </c>
      <c r="C5154" t="s">
        <v>10</v>
      </c>
      <c r="D5154" t="s">
        <v>8</v>
      </c>
      <c r="E5154" t="s">
        <v>8</v>
      </c>
      <c r="F5154" t="s">
        <v>257</v>
      </c>
      <c r="G5154" t="s">
        <v>258</v>
      </c>
      <c r="H5154" t="s">
        <v>259</v>
      </c>
      <c r="I5154" t="s">
        <v>260</v>
      </c>
    </row>
    <row r="5155" spans="1:9" x14ac:dyDescent="0.25">
      <c r="A5155" s="1" t="str">
        <f>HYPERLINK("https://lynxcrm-apac--c.eu19.visual.force.com/0011i000001xnI2AAI","Tan Tock Seng Hospital")</f>
        <v>Tan Tock Seng Hospital</v>
      </c>
      <c r="B5155" t="s">
        <v>9520</v>
      </c>
      <c r="C5155" t="s">
        <v>10</v>
      </c>
      <c r="D5155" t="s">
        <v>8</v>
      </c>
      <c r="E5155" t="s">
        <v>8</v>
      </c>
      <c r="F5155" t="s">
        <v>258</v>
      </c>
      <c r="G5155" t="s">
        <v>258</v>
      </c>
      <c r="H5155" t="s">
        <v>259</v>
      </c>
      <c r="I5155" t="s">
        <v>260</v>
      </c>
    </row>
    <row r="5156" spans="1:9" x14ac:dyDescent="0.25">
      <c r="A5156" s="1" t="str">
        <f>HYPERLINK("https://lynxcrm-apac--c.eu19.visual.force.com/0011i000001xnMYAAY","Tan Tock Seng Hospital")</f>
        <v>Tan Tock Seng Hospital</v>
      </c>
      <c r="B5156" t="s">
        <v>9521</v>
      </c>
      <c r="C5156" t="s">
        <v>10</v>
      </c>
      <c r="D5156" t="s">
        <v>8</v>
      </c>
      <c r="E5156" t="s">
        <v>8</v>
      </c>
      <c r="F5156" t="s">
        <v>514</v>
      </c>
      <c r="G5156" t="s">
        <v>258</v>
      </c>
      <c r="H5156" t="s">
        <v>258</v>
      </c>
      <c r="I5156" t="s">
        <v>260</v>
      </c>
    </row>
    <row r="5157" spans="1:9" x14ac:dyDescent="0.25">
      <c r="A5157" s="1" t="str">
        <f>HYPERLINK("https://lynxcrm-apac--c.eu19.visual.force.com/0011i000001xnMzAAI","Tan Tock Seng Hospital")</f>
        <v>Tan Tock Seng Hospital</v>
      </c>
      <c r="B5157" t="s">
        <v>9522</v>
      </c>
      <c r="C5157" t="s">
        <v>10</v>
      </c>
      <c r="D5157" t="s">
        <v>8</v>
      </c>
      <c r="E5157" t="s">
        <v>8</v>
      </c>
      <c r="F5157" t="s">
        <v>234</v>
      </c>
      <c r="G5157" t="s">
        <v>258</v>
      </c>
      <c r="H5157" t="s">
        <v>259</v>
      </c>
      <c r="I5157" t="s">
        <v>260</v>
      </c>
    </row>
    <row r="5158" spans="1:9" x14ac:dyDescent="0.25">
      <c r="A5158" s="1" t="str">
        <f t="shared" ref="A5158:A5166" si="50">HYPERLINK("https://lynxcrm-apac--c.eu19.visual.force.com/0011i000001xnVLAAY","Tan Tock Seng Hospital")</f>
        <v>Tan Tock Seng Hospital</v>
      </c>
      <c r="B5158" t="s">
        <v>9523</v>
      </c>
      <c r="C5158" t="s">
        <v>10</v>
      </c>
      <c r="D5158" t="s">
        <v>8</v>
      </c>
      <c r="E5158" t="s">
        <v>8</v>
      </c>
      <c r="F5158" t="s">
        <v>246</v>
      </c>
      <c r="G5158" t="s">
        <v>258</v>
      </c>
      <c r="H5158" t="s">
        <v>259</v>
      </c>
      <c r="I5158" t="s">
        <v>260</v>
      </c>
    </row>
    <row r="5159" spans="1:9" x14ac:dyDescent="0.25">
      <c r="A5159" s="1" t="str">
        <f t="shared" si="50"/>
        <v>Tan Tock Seng Hospital</v>
      </c>
      <c r="B5159" t="s">
        <v>9523</v>
      </c>
      <c r="C5159" t="s">
        <v>10</v>
      </c>
      <c r="D5159" t="s">
        <v>8</v>
      </c>
      <c r="E5159" t="s">
        <v>8</v>
      </c>
      <c r="F5159" t="s">
        <v>257</v>
      </c>
      <c r="G5159" t="s">
        <v>258</v>
      </c>
      <c r="H5159" t="s">
        <v>259</v>
      </c>
      <c r="I5159" t="s">
        <v>260</v>
      </c>
    </row>
    <row r="5160" spans="1:9" x14ac:dyDescent="0.25">
      <c r="A5160" s="1" t="str">
        <f t="shared" si="50"/>
        <v>Tan Tock Seng Hospital</v>
      </c>
      <c r="B5160" t="s">
        <v>9523</v>
      </c>
      <c r="C5160" t="s">
        <v>10</v>
      </c>
      <c r="D5160" t="s">
        <v>8</v>
      </c>
      <c r="E5160" t="s">
        <v>8</v>
      </c>
      <c r="F5160" t="s">
        <v>258</v>
      </c>
      <c r="G5160" t="s">
        <v>258</v>
      </c>
      <c r="H5160" t="s">
        <v>8</v>
      </c>
      <c r="I5160" t="s">
        <v>415</v>
      </c>
    </row>
    <row r="5161" spans="1:9" x14ac:dyDescent="0.25">
      <c r="A5161" s="1" t="str">
        <f t="shared" si="50"/>
        <v>Tan Tock Seng Hospital</v>
      </c>
      <c r="B5161" t="s">
        <v>9523</v>
      </c>
      <c r="C5161" t="s">
        <v>10</v>
      </c>
      <c r="D5161" t="s">
        <v>8</v>
      </c>
      <c r="E5161" t="s">
        <v>8</v>
      </c>
      <c r="F5161" t="s">
        <v>234</v>
      </c>
      <c r="G5161" t="s">
        <v>258</v>
      </c>
      <c r="H5161" t="s">
        <v>258</v>
      </c>
      <c r="I5161" t="s">
        <v>260</v>
      </c>
    </row>
    <row r="5162" spans="1:9" x14ac:dyDescent="0.25">
      <c r="A5162" s="1" t="str">
        <f t="shared" si="50"/>
        <v>Tan Tock Seng Hospital</v>
      </c>
      <c r="B5162" t="s">
        <v>9523</v>
      </c>
      <c r="C5162" t="s">
        <v>10</v>
      </c>
      <c r="D5162" t="s">
        <v>8</v>
      </c>
      <c r="E5162" t="s">
        <v>8</v>
      </c>
      <c r="F5162" t="s">
        <v>3268</v>
      </c>
      <c r="G5162" t="s">
        <v>258</v>
      </c>
      <c r="H5162" t="s">
        <v>259</v>
      </c>
      <c r="I5162" t="s">
        <v>260</v>
      </c>
    </row>
    <row r="5163" spans="1:9" x14ac:dyDescent="0.25">
      <c r="A5163" s="1" t="str">
        <f t="shared" si="50"/>
        <v>Tan Tock Seng Hospital</v>
      </c>
      <c r="B5163" t="s">
        <v>9523</v>
      </c>
      <c r="C5163" t="s">
        <v>10</v>
      </c>
      <c r="D5163" t="s">
        <v>8</v>
      </c>
      <c r="E5163" t="s">
        <v>8</v>
      </c>
      <c r="F5163" t="s">
        <v>234</v>
      </c>
      <c r="G5163" t="s">
        <v>258</v>
      </c>
      <c r="H5163" t="s">
        <v>258</v>
      </c>
      <c r="I5163" t="s">
        <v>415</v>
      </c>
    </row>
    <row r="5164" spans="1:9" x14ac:dyDescent="0.25">
      <c r="A5164" s="1" t="str">
        <f t="shared" si="50"/>
        <v>Tan Tock Seng Hospital</v>
      </c>
      <c r="B5164" t="s">
        <v>9523</v>
      </c>
      <c r="C5164" t="s">
        <v>10</v>
      </c>
      <c r="D5164" t="s">
        <v>8</v>
      </c>
      <c r="E5164" t="s">
        <v>8</v>
      </c>
      <c r="F5164" t="s">
        <v>246</v>
      </c>
      <c r="G5164" t="s">
        <v>258</v>
      </c>
      <c r="H5164" t="s">
        <v>258</v>
      </c>
      <c r="I5164" t="s">
        <v>260</v>
      </c>
    </row>
    <row r="5165" spans="1:9" x14ac:dyDescent="0.25">
      <c r="A5165" s="1" t="str">
        <f t="shared" si="50"/>
        <v>Tan Tock Seng Hospital</v>
      </c>
      <c r="B5165" t="s">
        <v>9523</v>
      </c>
      <c r="C5165" t="s">
        <v>10</v>
      </c>
      <c r="D5165" t="s">
        <v>8</v>
      </c>
      <c r="E5165" t="s">
        <v>8</v>
      </c>
      <c r="F5165" t="s">
        <v>261</v>
      </c>
      <c r="G5165" t="s">
        <v>347</v>
      </c>
      <c r="H5165" t="s">
        <v>347</v>
      </c>
      <c r="I5165" t="s">
        <v>260</v>
      </c>
    </row>
    <row r="5166" spans="1:9" x14ac:dyDescent="0.25">
      <c r="A5166" s="1" t="str">
        <f t="shared" si="50"/>
        <v>Tan Tock Seng Hospital</v>
      </c>
      <c r="B5166" t="s">
        <v>9523</v>
      </c>
      <c r="C5166" t="s">
        <v>10</v>
      </c>
      <c r="D5166" t="s">
        <v>8</v>
      </c>
      <c r="E5166" t="s">
        <v>8</v>
      </c>
      <c r="F5166" t="s">
        <v>258</v>
      </c>
      <c r="G5166" t="s">
        <v>258</v>
      </c>
      <c r="H5166" t="s">
        <v>8</v>
      </c>
      <c r="I5166" t="s">
        <v>9524</v>
      </c>
    </row>
    <row r="5167" spans="1:9" x14ac:dyDescent="0.25">
      <c r="A5167" s="1" t="str">
        <f>HYPERLINK("https://lynxcrm-apac--c.eu19.visual.force.com/0011i000001xnXbAAI","Tan Tock Seng Hospital")</f>
        <v>Tan Tock Seng Hospital</v>
      </c>
      <c r="B5167" t="s">
        <v>9525</v>
      </c>
      <c r="C5167" t="s">
        <v>10</v>
      </c>
      <c r="D5167" t="s">
        <v>8</v>
      </c>
      <c r="E5167" t="s">
        <v>8</v>
      </c>
      <c r="F5167" t="s">
        <v>514</v>
      </c>
      <c r="G5167" t="s">
        <v>258</v>
      </c>
      <c r="H5167" t="s">
        <v>259</v>
      </c>
      <c r="I5167" t="s">
        <v>260</v>
      </c>
    </row>
    <row r="5168" spans="1:9" x14ac:dyDescent="0.25">
      <c r="A5168" s="1" t="str">
        <f>HYPERLINK("https://lynxcrm-apac--c.eu19.visual.force.com/0011i000001xn11AAA","Tan Tock Seng Hospital Pharmacy")</f>
        <v>Tan Tock Seng Hospital Pharmacy</v>
      </c>
      <c r="B5168" t="s">
        <v>9526</v>
      </c>
      <c r="C5168" t="s">
        <v>10</v>
      </c>
      <c r="D5168" t="s">
        <v>8</v>
      </c>
      <c r="E5168" t="s">
        <v>8</v>
      </c>
      <c r="F5168" t="s">
        <v>258</v>
      </c>
      <c r="G5168" t="s">
        <v>258</v>
      </c>
      <c r="H5168" t="s">
        <v>8</v>
      </c>
      <c r="I5168" t="s">
        <v>260</v>
      </c>
    </row>
    <row r="5169" spans="1:9" x14ac:dyDescent="0.25">
      <c r="A5169" s="1" t="str">
        <f>HYPERLINK("https://lynxcrm-apac--c.eu19.visual.force.com/0011i000001xntdAAA","Tao, Yi-Hou Mildred")</f>
        <v>Tao, Yi-Hou Mildred</v>
      </c>
      <c r="B5169" t="s">
        <v>9527</v>
      </c>
      <c r="C5169" t="s">
        <v>28</v>
      </c>
      <c r="D5169" t="s">
        <v>5554</v>
      </c>
      <c r="E5169" t="s">
        <v>8</v>
      </c>
      <c r="F5169" t="s">
        <v>377</v>
      </c>
      <c r="G5169" t="s">
        <v>5555</v>
      </c>
      <c r="H5169" t="s">
        <v>5555</v>
      </c>
      <c r="I5169" t="s">
        <v>123</v>
      </c>
    </row>
    <row r="5170" spans="1:9" x14ac:dyDescent="0.25">
      <c r="A5170" s="1" t="str">
        <f>HYPERLINK("https://lynxcrm-apac--c.eu19.visual.force.com/0011i000001xohVAAQ","Tashima, Rina")</f>
        <v>Tashima, Rina</v>
      </c>
      <c r="B5170" t="s">
        <v>9528</v>
      </c>
      <c r="C5170" t="s">
        <v>28</v>
      </c>
      <c r="D5170" t="s">
        <v>6722</v>
      </c>
      <c r="E5170" t="s">
        <v>8</v>
      </c>
      <c r="F5170" t="s">
        <v>163</v>
      </c>
      <c r="G5170" t="s">
        <v>6723</v>
      </c>
      <c r="H5170" t="s">
        <v>8113</v>
      </c>
      <c r="I5170" t="s">
        <v>165</v>
      </c>
    </row>
    <row r="5171" spans="1:9" x14ac:dyDescent="0.25">
      <c r="A5171" s="1" t="str">
        <f>HYPERLINK("https://lynxcrm-apac--c.eu19.visual.force.com/0011i000001xnteAAA","Tay, Boon Chong")</f>
        <v>Tay, Boon Chong</v>
      </c>
      <c r="B5171" t="s">
        <v>9529</v>
      </c>
      <c r="C5171" t="s">
        <v>28</v>
      </c>
      <c r="D5171" t="s">
        <v>9530</v>
      </c>
      <c r="E5171" t="s">
        <v>8</v>
      </c>
      <c r="F5171" t="s">
        <v>9531</v>
      </c>
      <c r="G5171" t="s">
        <v>9531</v>
      </c>
      <c r="H5171" t="s">
        <v>9532</v>
      </c>
      <c r="I5171" t="s">
        <v>9533</v>
      </c>
    </row>
    <row r="5172" spans="1:9" x14ac:dyDescent="0.25">
      <c r="A5172" s="1" t="str">
        <f>HYPERLINK("https://lynxcrm-apac--c.eu19.visual.force.com/0011i000001xo6WAAQ","Tay, Boon Keng")</f>
        <v>Tay, Boon Keng</v>
      </c>
      <c r="B5172" t="s">
        <v>9534</v>
      </c>
      <c r="C5172" t="s">
        <v>28</v>
      </c>
      <c r="D5172" t="s">
        <v>251</v>
      </c>
      <c r="E5172" t="s">
        <v>8</v>
      </c>
      <c r="F5172" t="s">
        <v>1352</v>
      </c>
      <c r="G5172" t="s">
        <v>252</v>
      </c>
      <c r="H5172" t="s">
        <v>858</v>
      </c>
      <c r="I5172" t="s">
        <v>253</v>
      </c>
    </row>
    <row r="5173" spans="1:9" x14ac:dyDescent="0.25">
      <c r="A5173" s="1" t="str">
        <f>HYPERLINK("https://lynxcrm-apac--c.eu19.visual.force.com/0011i000001xnqRAAQ","Tay, Chin Tong")</f>
        <v>Tay, Chin Tong</v>
      </c>
      <c r="B5173" t="s">
        <v>9535</v>
      </c>
      <c r="C5173" t="s">
        <v>28</v>
      </c>
      <c r="D5173" t="s">
        <v>9530</v>
      </c>
      <c r="E5173" t="s">
        <v>8</v>
      </c>
      <c r="F5173" t="s">
        <v>9536</v>
      </c>
      <c r="G5173" t="s">
        <v>9537</v>
      </c>
      <c r="H5173" t="s">
        <v>9537</v>
      </c>
      <c r="I5173" t="s">
        <v>9538</v>
      </c>
    </row>
    <row r="5174" spans="1:9" x14ac:dyDescent="0.25">
      <c r="A5174" s="1" t="str">
        <f>HYPERLINK("https://lynxcrm-apac--c.eu19.visual.force.com/0011i000001xntgAAA","Tay, Chong Hai")</f>
        <v>Tay, Chong Hai</v>
      </c>
      <c r="B5174" t="s">
        <v>9539</v>
      </c>
      <c r="C5174" t="s">
        <v>28</v>
      </c>
      <c r="D5174" t="s">
        <v>9540</v>
      </c>
      <c r="E5174" t="s">
        <v>8</v>
      </c>
      <c r="F5174" t="s">
        <v>377</v>
      </c>
      <c r="G5174" t="s">
        <v>5483</v>
      </c>
      <c r="H5174" t="s">
        <v>9435</v>
      </c>
      <c r="I5174" t="s">
        <v>123</v>
      </c>
    </row>
    <row r="5175" spans="1:9" x14ac:dyDescent="0.25">
      <c r="A5175" s="1" t="str">
        <f>HYPERLINK("https://lynxcrm-apac--c.eu19.visual.force.com/0011i000001xnxHAAQ","Tay, Eileen")</f>
        <v>Tay, Eileen</v>
      </c>
      <c r="B5175" t="s">
        <v>9541</v>
      </c>
      <c r="C5175" t="s">
        <v>28</v>
      </c>
      <c r="D5175" t="s">
        <v>1486</v>
      </c>
      <c r="E5175" t="s">
        <v>8</v>
      </c>
      <c r="F5175" t="s">
        <v>1486</v>
      </c>
      <c r="G5175" t="s">
        <v>1487</v>
      </c>
      <c r="H5175" t="s">
        <v>1487</v>
      </c>
      <c r="I5175" t="s">
        <v>1488</v>
      </c>
    </row>
    <row r="5176" spans="1:9" x14ac:dyDescent="0.25">
      <c r="A5176" s="1" t="str">
        <f>HYPERLINK("https://lynxcrm-apac--c.eu19.visual.force.com/0011i000001xo6YAAQ","Tay, Guan Yu Jeff")</f>
        <v>Tay, Guan Yu Jeff</v>
      </c>
      <c r="B5176" t="s">
        <v>9542</v>
      </c>
      <c r="C5176" t="s">
        <v>28</v>
      </c>
      <c r="D5176" t="s">
        <v>261</v>
      </c>
      <c r="E5176" t="s">
        <v>8</v>
      </c>
      <c r="F5176" t="s">
        <v>261</v>
      </c>
      <c r="G5176" t="s">
        <v>347</v>
      </c>
      <c r="H5176" t="s">
        <v>347</v>
      </c>
      <c r="I5176" t="s">
        <v>260</v>
      </c>
    </row>
    <row r="5177" spans="1:9" x14ac:dyDescent="0.25">
      <c r="A5177" s="1" t="str">
        <f>HYPERLINK("https://lynxcrm-apac--c.eu19.visual.force.com/0011i000001xo6YAAQ","Tay, Guan Yu Jeff")</f>
        <v>Tay, Guan Yu Jeff</v>
      </c>
      <c r="B5177" t="s">
        <v>9542</v>
      </c>
      <c r="C5177" t="s">
        <v>28</v>
      </c>
      <c r="D5177" t="s">
        <v>368</v>
      </c>
      <c r="E5177" t="s">
        <v>8</v>
      </c>
      <c r="F5177" t="s">
        <v>258</v>
      </c>
      <c r="G5177" t="s">
        <v>261</v>
      </c>
      <c r="H5177" t="s">
        <v>261</v>
      </c>
      <c r="I5177" t="s">
        <v>260</v>
      </c>
    </row>
    <row r="5178" spans="1:9" x14ac:dyDescent="0.25">
      <c r="A5178" s="1" t="str">
        <f>HYPERLINK("https://lynxcrm-apac--c.eu19.visual.force.com/0011i000001xnldAAA","Tay, Huey Chieng")</f>
        <v>Tay, Huey Chieng</v>
      </c>
      <c r="B5178" t="s">
        <v>9543</v>
      </c>
      <c r="C5178" t="s">
        <v>28</v>
      </c>
      <c r="D5178" t="s">
        <v>701</v>
      </c>
      <c r="E5178" t="s">
        <v>8</v>
      </c>
      <c r="F5178" t="s">
        <v>1123</v>
      </c>
      <c r="G5178" t="s">
        <v>1123</v>
      </c>
      <c r="H5178" t="s">
        <v>8</v>
      </c>
      <c r="I5178" t="s">
        <v>703</v>
      </c>
    </row>
    <row r="5179" spans="1:9" x14ac:dyDescent="0.25">
      <c r="A5179" s="1" t="str">
        <f>HYPERLINK("https://lynxcrm-apac--c.eu19.visual.force.com/0011i000001xohiAAA","Tay, Jia SHeng")</f>
        <v>Tay, Jia SHeng</v>
      </c>
      <c r="B5179" t="s">
        <v>9544</v>
      </c>
      <c r="C5179" t="s">
        <v>28</v>
      </c>
      <c r="D5179" t="s">
        <v>583</v>
      </c>
      <c r="E5179" t="s">
        <v>8</v>
      </c>
      <c r="F5179" t="s">
        <v>583</v>
      </c>
      <c r="G5179" t="s">
        <v>584</v>
      </c>
      <c r="H5179" t="s">
        <v>584</v>
      </c>
      <c r="I5179" t="s">
        <v>585</v>
      </c>
    </row>
    <row r="5180" spans="1:9" x14ac:dyDescent="0.25">
      <c r="A5180" s="1" t="str">
        <f>HYPERLINK("https://lynxcrm-apac--c.eu19.visual.force.com/0011i000001xntjAAA","Tay, Ka Choon Stephen")</f>
        <v>Tay, Ka Choon Stephen</v>
      </c>
      <c r="B5180" t="s">
        <v>9545</v>
      </c>
      <c r="C5180" t="s">
        <v>28</v>
      </c>
      <c r="D5180" t="s">
        <v>9546</v>
      </c>
      <c r="E5180" t="s">
        <v>8</v>
      </c>
      <c r="F5180" t="s">
        <v>9547</v>
      </c>
      <c r="G5180" t="s">
        <v>9548</v>
      </c>
      <c r="H5180" t="s">
        <v>9549</v>
      </c>
      <c r="I5180" t="s">
        <v>9550</v>
      </c>
    </row>
    <row r="5181" spans="1:9" x14ac:dyDescent="0.25">
      <c r="A5181" s="1" t="str">
        <f>HYPERLINK("https://lynxcrm-apac--c.eu19.visual.force.com/0011i000001xntkAAA","Tay, Kah Phuan")</f>
        <v>Tay, Kah Phuan</v>
      </c>
      <c r="B5181" t="s">
        <v>9551</v>
      </c>
      <c r="C5181" t="s">
        <v>28</v>
      </c>
      <c r="D5181" t="s">
        <v>9552</v>
      </c>
      <c r="E5181" t="s">
        <v>8</v>
      </c>
      <c r="F5181" t="s">
        <v>69</v>
      </c>
      <c r="G5181" t="s">
        <v>9553</v>
      </c>
      <c r="H5181" t="s">
        <v>9554</v>
      </c>
      <c r="I5181" t="s">
        <v>67</v>
      </c>
    </row>
    <row r="5182" spans="1:9" x14ac:dyDescent="0.25">
      <c r="A5182" s="1" t="str">
        <f>HYPERLINK("https://lynxcrm-apac--c.eu19.visual.force.com/0011i00000Xf1IYAAZ","Tay, Kelvin")</f>
        <v>Tay, Kelvin</v>
      </c>
      <c r="B5182" t="s">
        <v>9555</v>
      </c>
      <c r="C5182" t="s">
        <v>28</v>
      </c>
      <c r="D5182" t="s">
        <v>9556</v>
      </c>
      <c r="E5182" t="s">
        <v>8</v>
      </c>
      <c r="F5182" t="s">
        <v>7316</v>
      </c>
      <c r="G5182" t="s">
        <v>7317</v>
      </c>
      <c r="H5182" t="s">
        <v>8</v>
      </c>
      <c r="I5182" t="s">
        <v>344</v>
      </c>
    </row>
    <row r="5183" spans="1:9" x14ac:dyDescent="0.25">
      <c r="A5183" s="1" t="str">
        <f>HYPERLINK("https://lynxcrm-apac--c.eu19.visual.force.com/0011i000001xoLiAAI","Tay, Kew Wei David")</f>
        <v>Tay, Kew Wei David</v>
      </c>
      <c r="B5183" t="s">
        <v>9557</v>
      </c>
      <c r="C5183" t="s">
        <v>28</v>
      </c>
      <c r="D5183" t="s">
        <v>9546</v>
      </c>
      <c r="E5183" t="s">
        <v>8</v>
      </c>
      <c r="F5183" t="s">
        <v>9547</v>
      </c>
      <c r="G5183" t="s">
        <v>9548</v>
      </c>
      <c r="H5183" t="s">
        <v>9549</v>
      </c>
      <c r="I5183" t="s">
        <v>9558</v>
      </c>
    </row>
    <row r="5184" spans="1:9" x14ac:dyDescent="0.25">
      <c r="A5184" s="1" t="str">
        <f>HYPERLINK("https://lynxcrm-apac--c.eu19.visual.force.com/0011i000001xntlAAA","Tay, Kim Teng Tony")</f>
        <v>Tay, Kim Teng Tony</v>
      </c>
      <c r="B5184" t="s">
        <v>9559</v>
      </c>
      <c r="C5184" t="s">
        <v>28</v>
      </c>
      <c r="D5184" t="s">
        <v>9560</v>
      </c>
      <c r="E5184" t="s">
        <v>8</v>
      </c>
      <c r="F5184" t="s">
        <v>9561</v>
      </c>
      <c r="G5184" t="s">
        <v>7665</v>
      </c>
      <c r="H5184" t="s">
        <v>9562</v>
      </c>
      <c r="I5184" t="s">
        <v>9563</v>
      </c>
    </row>
    <row r="5185" spans="1:9" x14ac:dyDescent="0.25">
      <c r="A5185" s="1" t="str">
        <f>HYPERLINK("https://lynxcrm-apac--c.eu19.visual.force.com/0011i000001xntnAAA","Tay, Kok Ling")</f>
        <v>Tay, Kok Ling</v>
      </c>
      <c r="B5185" t="s">
        <v>9564</v>
      </c>
      <c r="C5185" t="s">
        <v>28</v>
      </c>
      <c r="D5185" t="s">
        <v>9565</v>
      </c>
      <c r="E5185" t="s">
        <v>8</v>
      </c>
      <c r="F5185" t="s">
        <v>7612</v>
      </c>
      <c r="G5185" t="s">
        <v>9566</v>
      </c>
      <c r="H5185" t="s">
        <v>9567</v>
      </c>
      <c r="I5185" t="s">
        <v>7615</v>
      </c>
    </row>
    <row r="5186" spans="1:9" x14ac:dyDescent="0.25">
      <c r="A5186" s="1" t="str">
        <f>HYPERLINK("https://lynxcrm-apac--c.eu19.visual.force.com/0011i000001xoCkAAI","Tay, Leslie")</f>
        <v>Tay, Leslie</v>
      </c>
      <c r="B5186" t="s">
        <v>9568</v>
      </c>
      <c r="C5186" t="s">
        <v>28</v>
      </c>
      <c r="D5186" t="s">
        <v>9196</v>
      </c>
      <c r="E5186" t="s">
        <v>8</v>
      </c>
      <c r="F5186" t="s">
        <v>7506</v>
      </c>
      <c r="G5186" t="s">
        <v>121</v>
      </c>
      <c r="H5186" t="s">
        <v>121</v>
      </c>
      <c r="I5186" t="s">
        <v>123</v>
      </c>
    </row>
    <row r="5187" spans="1:9" x14ac:dyDescent="0.25">
      <c r="A5187" s="1" t="str">
        <f>HYPERLINK("https://lynxcrm-apac--c.eu19.visual.force.com/0011i000001xoCkAAI","Tay, Leslie")</f>
        <v>Tay, Leslie</v>
      </c>
      <c r="B5187" t="s">
        <v>9568</v>
      </c>
      <c r="C5187" t="s">
        <v>28</v>
      </c>
      <c r="D5187" t="s">
        <v>9196</v>
      </c>
      <c r="E5187" t="s">
        <v>8</v>
      </c>
      <c r="F5187" t="s">
        <v>7505</v>
      </c>
      <c r="G5187" t="s">
        <v>121</v>
      </c>
      <c r="H5187" t="s">
        <v>121</v>
      </c>
      <c r="I5187" t="s">
        <v>123</v>
      </c>
    </row>
    <row r="5188" spans="1:9" x14ac:dyDescent="0.25">
      <c r="A5188" s="1" t="str">
        <f>HYPERLINK("https://lynxcrm-apac--c.eu19.visual.force.com/0011i000001xntqAAA","Tay, Liam Kai")</f>
        <v>Tay, Liam Kai</v>
      </c>
      <c r="B5188" t="s">
        <v>9569</v>
      </c>
      <c r="C5188" t="s">
        <v>28</v>
      </c>
      <c r="D5188" t="s">
        <v>9570</v>
      </c>
      <c r="E5188" t="s">
        <v>8</v>
      </c>
      <c r="F5188" t="s">
        <v>9571</v>
      </c>
      <c r="G5188" t="s">
        <v>9572</v>
      </c>
      <c r="H5188" t="s">
        <v>9572</v>
      </c>
      <c r="I5188" t="s">
        <v>344</v>
      </c>
    </row>
    <row r="5189" spans="1:9" x14ac:dyDescent="0.25">
      <c r="A5189" s="1" t="str">
        <f>HYPERLINK("https://lynxcrm-apac--c.eu19.visual.force.com/0011i000001xoCoAAI","Tay, Miah Hiang")</f>
        <v>Tay, Miah Hiang</v>
      </c>
      <c r="B5189" t="s">
        <v>9573</v>
      </c>
      <c r="C5189" t="s">
        <v>28</v>
      </c>
      <c r="D5189" t="s">
        <v>486</v>
      </c>
      <c r="E5189" t="s">
        <v>8</v>
      </c>
      <c r="F5189" t="s">
        <v>487</v>
      </c>
      <c r="G5189" t="s">
        <v>486</v>
      </c>
      <c r="H5189" t="s">
        <v>486</v>
      </c>
      <c r="I5189" t="s">
        <v>488</v>
      </c>
    </row>
    <row r="5190" spans="1:9" x14ac:dyDescent="0.25">
      <c r="A5190" s="1" t="str">
        <f>HYPERLINK("https://lynxcrm-apac--c.eu19.visual.force.com/0011i00000Xf1IOAAZ","Tay, Miah Hiang")</f>
        <v>Tay, Miah Hiang</v>
      </c>
      <c r="B5190" t="s">
        <v>9574</v>
      </c>
      <c r="C5190" t="s">
        <v>28</v>
      </c>
      <c r="D5190" t="s">
        <v>567</v>
      </c>
      <c r="E5190" t="s">
        <v>8</v>
      </c>
      <c r="F5190" t="s">
        <v>9575</v>
      </c>
      <c r="G5190" t="s">
        <v>65</v>
      </c>
      <c r="H5190" t="s">
        <v>8</v>
      </c>
      <c r="I5190" t="s">
        <v>67</v>
      </c>
    </row>
    <row r="5191" spans="1:9" x14ac:dyDescent="0.25">
      <c r="A5191" s="1" t="str">
        <f>HYPERLINK("https://lynxcrm-apac--c.eu19.visual.force.com/0011i000001xofGAAQ","Tay, Ser Wee")</f>
        <v>Tay, Ser Wee</v>
      </c>
      <c r="B5191" t="s">
        <v>9576</v>
      </c>
      <c r="C5191" t="s">
        <v>28</v>
      </c>
      <c r="D5191" t="s">
        <v>4702</v>
      </c>
      <c r="E5191" t="s">
        <v>8</v>
      </c>
      <c r="F5191" t="s">
        <v>4703</v>
      </c>
      <c r="G5191" t="s">
        <v>4703</v>
      </c>
      <c r="H5191" t="s">
        <v>4704</v>
      </c>
      <c r="I5191" t="s">
        <v>4705</v>
      </c>
    </row>
    <row r="5192" spans="1:9" x14ac:dyDescent="0.25">
      <c r="A5192" s="1" t="str">
        <f>HYPERLINK("https://lynxcrm-apac--c.eu19.visual.force.com/0011i000001xoiXAAQ","Tay, Sharon")</f>
        <v>Tay, Sharon</v>
      </c>
      <c r="B5192" t="s">
        <v>9577</v>
      </c>
      <c r="C5192" t="s">
        <v>28</v>
      </c>
      <c r="D5192" t="s">
        <v>937</v>
      </c>
      <c r="E5192" t="s">
        <v>8</v>
      </c>
      <c r="F5192" t="s">
        <v>4069</v>
      </c>
      <c r="G5192" t="s">
        <v>4070</v>
      </c>
      <c r="H5192" t="s">
        <v>4070</v>
      </c>
      <c r="I5192" t="s">
        <v>4071</v>
      </c>
    </row>
    <row r="5193" spans="1:9" x14ac:dyDescent="0.25">
      <c r="A5193" s="1" t="str">
        <f>HYPERLINK("https://lynxcrm-apac--c.eu19.visual.force.com/0011i000001xoACAAY","Tay, Siew Noh")</f>
        <v>Tay, Siew Noh</v>
      </c>
      <c r="B5193" t="s">
        <v>9578</v>
      </c>
      <c r="C5193" t="s">
        <v>28</v>
      </c>
      <c r="D5193" t="s">
        <v>1244</v>
      </c>
      <c r="E5193" t="s">
        <v>8</v>
      </c>
      <c r="F5193" t="s">
        <v>1245</v>
      </c>
      <c r="G5193" t="s">
        <v>2776</v>
      </c>
      <c r="H5193" t="s">
        <v>2777</v>
      </c>
      <c r="I5193" t="s">
        <v>1247</v>
      </c>
    </row>
    <row r="5194" spans="1:9" x14ac:dyDescent="0.25">
      <c r="A5194" s="1" t="str">
        <f>HYPERLINK("https://lynxcrm-apac--c.eu19.visual.force.com/0011i000001xntrAAA","Tay, Siew Tee Celena")</f>
        <v>Tay, Siew Tee Celena</v>
      </c>
      <c r="B5194" t="s">
        <v>9579</v>
      </c>
      <c r="C5194" t="s">
        <v>28</v>
      </c>
      <c r="D5194" t="s">
        <v>9580</v>
      </c>
      <c r="E5194" t="s">
        <v>8</v>
      </c>
      <c r="F5194" t="s">
        <v>9581</v>
      </c>
      <c r="G5194" t="s">
        <v>9582</v>
      </c>
      <c r="H5194" t="s">
        <v>9583</v>
      </c>
      <c r="I5194" t="s">
        <v>9584</v>
      </c>
    </row>
    <row r="5195" spans="1:9" x14ac:dyDescent="0.25">
      <c r="A5195" s="1" t="str">
        <f>HYPERLINK("https://lynxcrm-apac--c.eu19.visual.force.com/0011i000001xntsAAA","Tay, Soi Kheng")</f>
        <v>Tay, Soi Kheng</v>
      </c>
      <c r="B5195" t="s">
        <v>9585</v>
      </c>
      <c r="C5195" t="s">
        <v>28</v>
      </c>
      <c r="D5195" t="s">
        <v>9586</v>
      </c>
      <c r="E5195" t="s">
        <v>8</v>
      </c>
      <c r="F5195" t="s">
        <v>9587</v>
      </c>
      <c r="G5195" t="s">
        <v>9588</v>
      </c>
      <c r="H5195" t="s">
        <v>9589</v>
      </c>
      <c r="I5195" t="s">
        <v>9590</v>
      </c>
    </row>
    <row r="5196" spans="1:9" x14ac:dyDescent="0.25">
      <c r="A5196" s="1" t="str">
        <f>HYPERLINK("https://lynxcrm-apac--c.eu19.visual.force.com/0011i000001xnttAAA","Tay, Sok Hoon")</f>
        <v>Tay, Sok Hoon</v>
      </c>
      <c r="B5196" t="s">
        <v>9591</v>
      </c>
      <c r="C5196" t="s">
        <v>28</v>
      </c>
      <c r="D5196" t="s">
        <v>9592</v>
      </c>
      <c r="E5196" t="s">
        <v>8</v>
      </c>
      <c r="F5196" t="s">
        <v>6277</v>
      </c>
      <c r="G5196" t="s">
        <v>6199</v>
      </c>
      <c r="H5196" t="s">
        <v>6200</v>
      </c>
      <c r="I5196" t="s">
        <v>4144</v>
      </c>
    </row>
    <row r="5197" spans="1:9" x14ac:dyDescent="0.25">
      <c r="A5197" s="1" t="str">
        <f>HYPERLINK("https://lynxcrm-apac--c.eu19.visual.force.com/0011i000001xoJYAAY","Tay, Stanley")</f>
        <v>Tay, Stanley</v>
      </c>
      <c r="B5197" t="s">
        <v>9593</v>
      </c>
      <c r="C5197" t="s">
        <v>28</v>
      </c>
      <c r="D5197" t="s">
        <v>9594</v>
      </c>
      <c r="E5197" t="s">
        <v>8</v>
      </c>
      <c r="F5197" t="s">
        <v>360</v>
      </c>
      <c r="G5197" t="s">
        <v>1253</v>
      </c>
      <c r="H5197" t="s">
        <v>1253</v>
      </c>
      <c r="I5197" t="s">
        <v>362</v>
      </c>
    </row>
    <row r="5198" spans="1:9" x14ac:dyDescent="0.25">
      <c r="A5198" s="1" t="str">
        <f>HYPERLINK("https://lynxcrm-apac--c.eu19.visual.force.com/0011i000001xoIOAAY","Tay, Teck Sng Andre")</f>
        <v>Tay, Teck Sng Andre</v>
      </c>
      <c r="B5198" t="s">
        <v>9595</v>
      </c>
      <c r="C5198" t="s">
        <v>28</v>
      </c>
      <c r="D5198" t="s">
        <v>583</v>
      </c>
      <c r="E5198" t="s">
        <v>8</v>
      </c>
      <c r="F5198" t="s">
        <v>1399</v>
      </c>
      <c r="G5198" t="s">
        <v>1400</v>
      </c>
      <c r="H5198" t="s">
        <v>1400</v>
      </c>
      <c r="I5198" t="s">
        <v>585</v>
      </c>
    </row>
    <row r="5199" spans="1:9" x14ac:dyDescent="0.25">
      <c r="A5199" s="1" t="str">
        <f>HYPERLINK("https://lynxcrm-apac--c.eu19.visual.force.com/0011i000001xnvQAAQ","Tay, Terence")</f>
        <v>Tay, Terence</v>
      </c>
      <c r="B5199" t="s">
        <v>9596</v>
      </c>
      <c r="C5199" t="s">
        <v>28</v>
      </c>
      <c r="D5199" t="s">
        <v>9597</v>
      </c>
      <c r="E5199" t="s">
        <v>8</v>
      </c>
      <c r="F5199" t="s">
        <v>3863</v>
      </c>
      <c r="G5199" t="s">
        <v>1348</v>
      </c>
      <c r="H5199" t="s">
        <v>1348</v>
      </c>
      <c r="I5199" t="s">
        <v>3864</v>
      </c>
    </row>
    <row r="5200" spans="1:9" x14ac:dyDescent="0.25">
      <c r="A5200" s="1" t="str">
        <f>HYPERLINK("https://lynxcrm-apac--c.eu19.visual.force.com/0011i000001xntuAAA","Tay, Tiong Hum")</f>
        <v>Tay, Tiong Hum</v>
      </c>
      <c r="B5200" t="s">
        <v>9598</v>
      </c>
      <c r="C5200" t="s">
        <v>28</v>
      </c>
      <c r="D5200" t="s">
        <v>9530</v>
      </c>
      <c r="E5200" t="s">
        <v>8</v>
      </c>
      <c r="F5200" t="s">
        <v>4807</v>
      </c>
      <c r="G5200" t="s">
        <v>4808</v>
      </c>
      <c r="H5200" t="s">
        <v>4808</v>
      </c>
      <c r="I5200" t="s">
        <v>4809</v>
      </c>
    </row>
    <row r="5201" spans="1:9" x14ac:dyDescent="0.25">
      <c r="A5201" s="1" t="str">
        <f>HYPERLINK("https://lynxcrm-apac--c.eu19.visual.force.com/0011i000001xo7xAAA","Tay, Tunn Lin")</f>
        <v>Tay, Tunn Lin</v>
      </c>
      <c r="B5201" t="s">
        <v>9599</v>
      </c>
      <c r="C5201" t="s">
        <v>28</v>
      </c>
      <c r="D5201" t="s">
        <v>583</v>
      </c>
      <c r="E5201" t="s">
        <v>8</v>
      </c>
      <c r="F5201" t="s">
        <v>246</v>
      </c>
      <c r="G5201" t="s">
        <v>584</v>
      </c>
      <c r="H5201" t="s">
        <v>1386</v>
      </c>
      <c r="I5201" t="s">
        <v>585</v>
      </c>
    </row>
    <row r="5202" spans="1:9" x14ac:dyDescent="0.25">
      <c r="A5202" s="1" t="str">
        <f>HYPERLINK("https://lynxcrm-apac--c.eu19.visual.force.com/0011i000001xo7xAAA","Tay, Tunn Lin")</f>
        <v>Tay, Tunn Lin</v>
      </c>
      <c r="B5202" t="s">
        <v>9599</v>
      </c>
      <c r="C5202" t="s">
        <v>28</v>
      </c>
      <c r="D5202" t="s">
        <v>9600</v>
      </c>
      <c r="E5202" t="s">
        <v>8</v>
      </c>
      <c r="F5202" t="s">
        <v>1324</v>
      </c>
      <c r="G5202" t="s">
        <v>6240</v>
      </c>
      <c r="H5202" t="s">
        <v>8</v>
      </c>
      <c r="I5202" t="s">
        <v>200</v>
      </c>
    </row>
    <row r="5203" spans="1:9" x14ac:dyDescent="0.25">
      <c r="A5203" s="1" t="str">
        <f>HYPERLINK("https://lynxcrm-apac--c.eu19.visual.force.com/0011i000001xoLoAAI","Tay, Veronica")</f>
        <v>Tay, Veronica</v>
      </c>
      <c r="B5203" t="s">
        <v>9601</v>
      </c>
      <c r="C5203" t="s">
        <v>28</v>
      </c>
      <c r="D5203" t="s">
        <v>709</v>
      </c>
      <c r="E5203" t="s">
        <v>8</v>
      </c>
      <c r="F5203" t="s">
        <v>710</v>
      </c>
      <c r="G5203" t="s">
        <v>135</v>
      </c>
      <c r="H5203" t="s">
        <v>135</v>
      </c>
      <c r="I5203" t="s">
        <v>711</v>
      </c>
    </row>
    <row r="5204" spans="1:9" x14ac:dyDescent="0.25">
      <c r="A5204" s="1" t="str">
        <f>HYPERLINK("https://lynxcrm-apac--c.eu19.visual.force.com/0011i000001xoAEAAY","Tay, Wey Tut Noel Stanley")</f>
        <v>Tay, Wey Tut Noel Stanley</v>
      </c>
      <c r="B5204" t="s">
        <v>9602</v>
      </c>
      <c r="C5204" t="s">
        <v>28</v>
      </c>
      <c r="D5204" t="s">
        <v>261</v>
      </c>
      <c r="E5204" t="s">
        <v>8</v>
      </c>
      <c r="F5204" t="s">
        <v>261</v>
      </c>
      <c r="G5204" t="s">
        <v>347</v>
      </c>
      <c r="H5204" t="s">
        <v>347</v>
      </c>
      <c r="I5204" t="s">
        <v>260</v>
      </c>
    </row>
    <row r="5205" spans="1:9" x14ac:dyDescent="0.25">
      <c r="A5205" s="1" t="str">
        <f>HYPERLINK("https://lynxcrm-apac--c.eu19.visual.force.com/0011i000001xoAEAAY","Tay, Wey Tut Noel Stanley")</f>
        <v>Tay, Wey Tut Noel Stanley</v>
      </c>
      <c r="B5205" t="s">
        <v>9602</v>
      </c>
      <c r="C5205" t="s">
        <v>28</v>
      </c>
      <c r="D5205" t="s">
        <v>261</v>
      </c>
      <c r="E5205" t="s">
        <v>8</v>
      </c>
      <c r="F5205" t="s">
        <v>239</v>
      </c>
      <c r="G5205" t="s">
        <v>258</v>
      </c>
      <c r="H5205" t="s">
        <v>259</v>
      </c>
      <c r="I5205" t="s">
        <v>260</v>
      </c>
    </row>
    <row r="5206" spans="1:9" x14ac:dyDescent="0.25">
      <c r="A5206" s="1" t="str">
        <f>HYPERLINK("https://lynxcrm-apac--c.eu19.visual.force.com/0011i000001xoGUAAY","Tay, Xian Khing Kenny")</f>
        <v>Tay, Xian Khing Kenny</v>
      </c>
      <c r="B5206" t="s">
        <v>9603</v>
      </c>
      <c r="C5206" t="s">
        <v>28</v>
      </c>
      <c r="D5206" t="s">
        <v>251</v>
      </c>
      <c r="E5206" t="s">
        <v>8</v>
      </c>
      <c r="F5206" t="s">
        <v>251</v>
      </c>
      <c r="G5206" t="s">
        <v>252</v>
      </c>
      <c r="H5206" t="s">
        <v>252</v>
      </c>
      <c r="I5206" t="s">
        <v>253</v>
      </c>
    </row>
    <row r="5207" spans="1:9" x14ac:dyDescent="0.25">
      <c r="A5207" s="1" t="str">
        <f>HYPERLINK("https://lynxcrm-apac--c.eu19.visual.force.com/0011i000001xos9AAA","Tay, Yu Kwang Donovan")</f>
        <v>Tay, Yu Kwang Donovan</v>
      </c>
      <c r="B5207" t="s">
        <v>9604</v>
      </c>
      <c r="C5207" t="s">
        <v>28</v>
      </c>
      <c r="D5207" t="s">
        <v>1486</v>
      </c>
      <c r="E5207" t="s">
        <v>8</v>
      </c>
      <c r="F5207" t="s">
        <v>1486</v>
      </c>
      <c r="G5207" t="s">
        <v>1487</v>
      </c>
      <c r="H5207" t="s">
        <v>1487</v>
      </c>
      <c r="I5207" t="s">
        <v>1488</v>
      </c>
    </row>
    <row r="5208" spans="1:9" x14ac:dyDescent="0.25">
      <c r="A5208" s="1" t="str">
        <f>HYPERLINK("https://lynxcrm-apac--c.eu19.visual.force.com/0011i000001xmfVAAQ","Tay Clinic")</f>
        <v>Tay Clinic</v>
      </c>
      <c r="B5208" t="s">
        <v>9605</v>
      </c>
      <c r="C5208" t="s">
        <v>10</v>
      </c>
      <c r="D5208" t="s">
        <v>8</v>
      </c>
      <c r="E5208" t="s">
        <v>8</v>
      </c>
      <c r="F5208" t="s">
        <v>4807</v>
      </c>
      <c r="G5208" t="s">
        <v>4808</v>
      </c>
      <c r="H5208" t="s">
        <v>4808</v>
      </c>
      <c r="I5208" t="s">
        <v>4809</v>
      </c>
    </row>
    <row r="5209" spans="1:9" x14ac:dyDescent="0.25">
      <c r="A5209" s="1" t="str">
        <f>HYPERLINK("https://lynxcrm-apac--c.eu19.visual.force.com/0011i000001xmmWAAQ","Tay Clinic")</f>
        <v>Tay Clinic</v>
      </c>
      <c r="B5209" t="s">
        <v>9606</v>
      </c>
      <c r="C5209" t="s">
        <v>10</v>
      </c>
      <c r="D5209" t="s">
        <v>8</v>
      </c>
      <c r="E5209" t="s">
        <v>8</v>
      </c>
      <c r="F5209" t="s">
        <v>9531</v>
      </c>
      <c r="G5209" t="s">
        <v>9531</v>
      </c>
      <c r="H5209" t="s">
        <v>9532</v>
      </c>
      <c r="I5209" t="s">
        <v>9533</v>
      </c>
    </row>
    <row r="5210" spans="1:9" x14ac:dyDescent="0.25">
      <c r="A5210" s="1" t="str">
        <f>HYPERLINK("https://lynxcrm-apac--c.eu19.visual.force.com/0011i000001xnXyAAI","Tay Family Clinic")</f>
        <v>Tay Family Clinic</v>
      </c>
      <c r="B5210" t="s">
        <v>9607</v>
      </c>
      <c r="C5210" t="s">
        <v>10</v>
      </c>
      <c r="D5210" t="s">
        <v>8</v>
      </c>
      <c r="E5210" t="s">
        <v>8</v>
      </c>
      <c r="F5210" t="s">
        <v>1934</v>
      </c>
      <c r="G5210" t="s">
        <v>1935</v>
      </c>
      <c r="H5210" t="s">
        <v>1935</v>
      </c>
      <c r="I5210" t="s">
        <v>111</v>
      </c>
    </row>
    <row r="5211" spans="1:9" x14ac:dyDescent="0.25">
      <c r="A5211" s="1" t="str">
        <f>HYPERLINK("https://lynxcrm-apac--c.eu19.visual.force.com/0011i000001xnP7AAI","Tay Guan Clinic")</f>
        <v>Tay Guan Clinic</v>
      </c>
      <c r="B5211" t="s">
        <v>9608</v>
      </c>
      <c r="C5211" t="s">
        <v>10</v>
      </c>
      <c r="D5211" t="s">
        <v>8</v>
      </c>
      <c r="E5211" t="s">
        <v>8</v>
      </c>
      <c r="F5211" t="s">
        <v>3444</v>
      </c>
      <c r="G5211" t="s">
        <v>3445</v>
      </c>
      <c r="H5211" t="s">
        <v>3445</v>
      </c>
      <c r="I5211" t="s">
        <v>3446</v>
      </c>
    </row>
    <row r="5212" spans="1:9" x14ac:dyDescent="0.25">
      <c r="A5212" s="1" t="str">
        <f>HYPERLINK("https://lynxcrm-apac--c.eu19.visual.force.com/0011i000001xmyAAAQ","Tay Khoon Hean Surgery Pte Ltd")</f>
        <v>Tay Khoon Hean Surgery Pte Ltd</v>
      </c>
      <c r="B5212" t="s">
        <v>9609</v>
      </c>
      <c r="C5212" t="s">
        <v>10</v>
      </c>
      <c r="D5212" t="s">
        <v>8</v>
      </c>
      <c r="E5212" t="s">
        <v>8</v>
      </c>
      <c r="F5212" t="s">
        <v>69</v>
      </c>
      <c r="G5212" t="s">
        <v>9610</v>
      </c>
      <c r="H5212" t="s">
        <v>9611</v>
      </c>
      <c r="I5212" t="s">
        <v>67</v>
      </c>
    </row>
    <row r="5213" spans="1:9" x14ac:dyDescent="0.25">
      <c r="A5213" s="1" t="str">
        <f>HYPERLINK("https://lynxcrm-apac--c.eu19.visual.force.com/0011i000001xmqXAAQ","Tay Medical Centre")</f>
        <v>Tay Medical Centre</v>
      </c>
      <c r="B5213" t="s">
        <v>9612</v>
      </c>
      <c r="C5213" t="s">
        <v>10</v>
      </c>
      <c r="D5213" t="s">
        <v>8</v>
      </c>
      <c r="E5213" t="s">
        <v>8</v>
      </c>
      <c r="F5213" t="s">
        <v>9561</v>
      </c>
      <c r="G5213" t="s">
        <v>7665</v>
      </c>
      <c r="H5213" t="s">
        <v>9562</v>
      </c>
      <c r="I5213" t="s">
        <v>9563</v>
      </c>
    </row>
    <row r="5214" spans="1:9" x14ac:dyDescent="0.25">
      <c r="A5214" s="1" t="str">
        <f>HYPERLINK("https://lynxcrm-apac--c.eu19.visual.force.com/0011i000001xmfTAAQ","Tay Orthopaedic Clinic")</f>
        <v>Tay Orthopaedic Clinic</v>
      </c>
      <c r="B5214" t="s">
        <v>9613</v>
      </c>
      <c r="C5214" t="s">
        <v>10</v>
      </c>
      <c r="D5214" t="s">
        <v>8</v>
      </c>
      <c r="E5214" t="s">
        <v>8</v>
      </c>
      <c r="F5214" t="s">
        <v>373</v>
      </c>
      <c r="G5214" t="s">
        <v>9614</v>
      </c>
      <c r="H5214" t="s">
        <v>9615</v>
      </c>
      <c r="I5214" t="s">
        <v>123</v>
      </c>
    </row>
    <row r="5215" spans="1:9" x14ac:dyDescent="0.25">
      <c r="A5215" s="1" t="str">
        <f>HYPERLINK("https://lynxcrm-apac--c.eu19.visual.force.com/0011i000001xmxCAAQ","TC Family Clinic")</f>
        <v>TC Family Clinic</v>
      </c>
      <c r="B5215" t="s">
        <v>9616</v>
      </c>
      <c r="C5215" t="s">
        <v>10</v>
      </c>
      <c r="D5215" t="s">
        <v>8</v>
      </c>
      <c r="E5215" t="s">
        <v>8</v>
      </c>
      <c r="F5215" t="s">
        <v>1288</v>
      </c>
      <c r="G5215" t="s">
        <v>1289</v>
      </c>
      <c r="H5215" t="s">
        <v>1290</v>
      </c>
      <c r="I5215" t="s">
        <v>1291</v>
      </c>
    </row>
    <row r="5216" spans="1:9" x14ac:dyDescent="0.25">
      <c r="A5216" s="1" t="str">
        <f>HYPERLINK("https://lynxcrm-apac--c.eu19.visual.force.com/0011i000001xnL5AAI","Teban Garden Clinic")</f>
        <v>Teban Garden Clinic</v>
      </c>
      <c r="B5216" t="s">
        <v>9617</v>
      </c>
      <c r="C5216" t="s">
        <v>10</v>
      </c>
      <c r="D5216" t="s">
        <v>8</v>
      </c>
      <c r="E5216" t="s">
        <v>8</v>
      </c>
      <c r="F5216" t="s">
        <v>1746</v>
      </c>
      <c r="G5216" t="s">
        <v>1454</v>
      </c>
      <c r="H5216" t="s">
        <v>1747</v>
      </c>
      <c r="I5216" t="s">
        <v>1748</v>
      </c>
    </row>
    <row r="5217" spans="1:9" x14ac:dyDescent="0.25">
      <c r="A5217" s="1" t="str">
        <f>HYPERLINK("https://lynxcrm-apac--c.eu19.visual.force.com/0011i000001xoAFAAY","Tee, Kim Huat August")</f>
        <v>Tee, Kim Huat August</v>
      </c>
      <c r="B5217" t="s">
        <v>9618</v>
      </c>
      <c r="C5217" t="s">
        <v>28</v>
      </c>
      <c r="D5217" t="s">
        <v>583</v>
      </c>
      <c r="E5217" t="s">
        <v>8</v>
      </c>
      <c r="F5217" t="s">
        <v>583</v>
      </c>
      <c r="G5217" t="s">
        <v>584</v>
      </c>
      <c r="H5217" t="s">
        <v>584</v>
      </c>
      <c r="I5217" t="s">
        <v>585</v>
      </c>
    </row>
    <row r="5218" spans="1:9" x14ac:dyDescent="0.25">
      <c r="A5218" s="1" t="str">
        <f>HYPERLINK("https://lynxcrm-apac--c.eu19.visual.force.com/0011i000001xoAFAAY","Tee, Kim Huat August")</f>
        <v>Tee, Kim Huat August</v>
      </c>
      <c r="B5218" t="s">
        <v>9618</v>
      </c>
      <c r="C5218" t="s">
        <v>28</v>
      </c>
      <c r="D5218" t="s">
        <v>3202</v>
      </c>
      <c r="E5218" t="s">
        <v>8</v>
      </c>
      <c r="F5218" t="s">
        <v>584</v>
      </c>
      <c r="G5218" t="s">
        <v>583</v>
      </c>
      <c r="H5218" t="s">
        <v>583</v>
      </c>
      <c r="I5218" t="s">
        <v>585</v>
      </c>
    </row>
    <row r="5219" spans="1:9" x14ac:dyDescent="0.25">
      <c r="A5219" s="1" t="str">
        <f>HYPERLINK("https://lynxcrm-apac--c.eu19.visual.force.com/0011i000001xoqyAAA","Teh, Kai Lin")</f>
        <v>Teh, Kai Lin</v>
      </c>
      <c r="B5219" t="s">
        <v>9619</v>
      </c>
      <c r="C5219" t="s">
        <v>28</v>
      </c>
      <c r="D5219" t="s">
        <v>1661</v>
      </c>
      <c r="E5219" t="s">
        <v>8</v>
      </c>
      <c r="F5219" t="s">
        <v>627</v>
      </c>
      <c r="G5219" t="s">
        <v>628</v>
      </c>
      <c r="H5219" t="s">
        <v>628</v>
      </c>
      <c r="I5219" t="s">
        <v>624</v>
      </c>
    </row>
    <row r="5220" spans="1:9" x14ac:dyDescent="0.25">
      <c r="A5220" s="1" t="str">
        <f>HYPERLINK("https://lynxcrm-apac--c.eu19.visual.force.com/0011i000001xntzAAA","Teh, Lip Bin")</f>
        <v>Teh, Lip Bin</v>
      </c>
      <c r="B5220" t="s">
        <v>9620</v>
      </c>
      <c r="C5220" t="s">
        <v>28</v>
      </c>
      <c r="D5220" t="s">
        <v>9621</v>
      </c>
      <c r="E5220" t="s">
        <v>8</v>
      </c>
      <c r="F5220" t="s">
        <v>69</v>
      </c>
      <c r="G5220" t="s">
        <v>9622</v>
      </c>
      <c r="H5220" t="s">
        <v>9623</v>
      </c>
      <c r="I5220" t="s">
        <v>67</v>
      </c>
    </row>
    <row r="5221" spans="1:9" x14ac:dyDescent="0.25">
      <c r="A5221" s="1" t="str">
        <f>HYPERLINK("https://lynxcrm-apac--c.eu19.visual.force.com/0011i000001xooAAAQ","Teh, Ming Ming")</f>
        <v>Teh, Ming Ming</v>
      </c>
      <c r="B5221" t="s">
        <v>9624</v>
      </c>
      <c r="C5221" t="s">
        <v>28</v>
      </c>
      <c r="D5221" t="s">
        <v>251</v>
      </c>
      <c r="E5221" t="s">
        <v>8</v>
      </c>
      <c r="F5221" t="s">
        <v>251</v>
      </c>
      <c r="G5221" t="s">
        <v>252</v>
      </c>
      <c r="H5221" t="s">
        <v>252</v>
      </c>
      <c r="I5221" t="s">
        <v>253</v>
      </c>
    </row>
    <row r="5222" spans="1:9" x14ac:dyDescent="0.25">
      <c r="A5222" s="1" t="str">
        <f>HYPERLINK("https://lynxcrm-apac--c.eu19.visual.force.com/0011i000001xnu0AAA","Teh, Peng Hooi")</f>
        <v>Teh, Peng Hooi</v>
      </c>
      <c r="B5222" t="s">
        <v>9625</v>
      </c>
      <c r="C5222" t="s">
        <v>28</v>
      </c>
      <c r="D5222" t="s">
        <v>9626</v>
      </c>
      <c r="E5222" t="s">
        <v>8</v>
      </c>
      <c r="F5222" t="s">
        <v>781</v>
      </c>
      <c r="G5222" t="s">
        <v>7526</v>
      </c>
      <c r="H5222" t="s">
        <v>7527</v>
      </c>
      <c r="I5222" t="s">
        <v>784</v>
      </c>
    </row>
    <row r="5223" spans="1:9" x14ac:dyDescent="0.25">
      <c r="A5223" s="1" t="str">
        <f>HYPERLINK("https://lynxcrm-apac--c.eu19.visual.force.com/0011i000001xmqbAAA","Teh's Clinic &amp; Surgery")</f>
        <v>Teh's Clinic &amp; Surgery</v>
      </c>
      <c r="B5223" t="s">
        <v>9627</v>
      </c>
      <c r="C5223" t="s">
        <v>10</v>
      </c>
      <c r="D5223" t="s">
        <v>8</v>
      </c>
      <c r="E5223" t="s">
        <v>8</v>
      </c>
      <c r="F5223" t="s">
        <v>9628</v>
      </c>
      <c r="G5223" t="s">
        <v>5206</v>
      </c>
      <c r="H5223" t="s">
        <v>5206</v>
      </c>
      <c r="I5223" t="s">
        <v>9629</v>
      </c>
    </row>
    <row r="5224" spans="1:9" x14ac:dyDescent="0.25">
      <c r="A5224" s="1" t="str">
        <f>HYPERLINK("https://lynxcrm-apac--c.eu19.visual.force.com/0011i000001xmoMAAQ","Teh Lip Bin Gastroenterology &amp; Medical Clinic")</f>
        <v>Teh Lip Bin Gastroenterology &amp; Medical Clinic</v>
      </c>
      <c r="B5224" t="s">
        <v>9630</v>
      </c>
      <c r="C5224" t="s">
        <v>10</v>
      </c>
      <c r="D5224" t="s">
        <v>8</v>
      </c>
      <c r="E5224" t="s">
        <v>8</v>
      </c>
      <c r="F5224" t="s">
        <v>69</v>
      </c>
      <c r="G5224" t="s">
        <v>9622</v>
      </c>
      <c r="H5224" t="s">
        <v>9623</v>
      </c>
      <c r="I5224" t="s">
        <v>67</v>
      </c>
    </row>
    <row r="5225" spans="1:9" x14ac:dyDescent="0.25">
      <c r="A5225" s="1" t="str">
        <f>HYPERLINK("https://lynxcrm-apac--c.eu19.visual.force.com/0011i000001xoliAAA","Tejerero, Pilipinas Ong")</f>
        <v>Tejerero, Pilipinas Ong</v>
      </c>
      <c r="B5225" t="s">
        <v>9631</v>
      </c>
      <c r="C5225" t="s">
        <v>28</v>
      </c>
      <c r="D5225" t="s">
        <v>583</v>
      </c>
      <c r="E5225" t="s">
        <v>8</v>
      </c>
      <c r="F5225" t="s">
        <v>583</v>
      </c>
      <c r="G5225" t="s">
        <v>584</v>
      </c>
      <c r="H5225" t="s">
        <v>584</v>
      </c>
      <c r="I5225" t="s">
        <v>585</v>
      </c>
    </row>
    <row r="5226" spans="1:9" x14ac:dyDescent="0.25">
      <c r="A5226" s="1" t="str">
        <f>HYPERLINK("https://lynxcrm-apac--c.eu19.visual.force.com/0011i000001xmajAAA","Tekka Clinic &amp; Surgery")</f>
        <v>Tekka Clinic &amp; Surgery</v>
      </c>
      <c r="B5226" t="s">
        <v>9632</v>
      </c>
      <c r="C5226" t="s">
        <v>10</v>
      </c>
      <c r="D5226" t="s">
        <v>8</v>
      </c>
      <c r="E5226" t="s">
        <v>8</v>
      </c>
      <c r="F5226" t="s">
        <v>638</v>
      </c>
      <c r="G5226" t="s">
        <v>9633</v>
      </c>
      <c r="H5226" t="s">
        <v>9633</v>
      </c>
      <c r="I5226" t="s">
        <v>640</v>
      </c>
    </row>
    <row r="5227" spans="1:9" x14ac:dyDescent="0.25">
      <c r="A5227" s="1" t="str">
        <f>HYPERLINK("https://lynxcrm-apac--c.eu19.visual.force.com/0011i000001xnUFAAY","Temasek Clinic &amp; Surgery")</f>
        <v>Temasek Clinic &amp; Surgery</v>
      </c>
      <c r="B5227" t="s">
        <v>9634</v>
      </c>
      <c r="C5227" t="s">
        <v>10</v>
      </c>
      <c r="D5227" t="s">
        <v>8</v>
      </c>
      <c r="E5227" t="s">
        <v>8</v>
      </c>
      <c r="F5227" t="s">
        <v>5763</v>
      </c>
      <c r="G5227" t="s">
        <v>5764</v>
      </c>
      <c r="H5227" t="s">
        <v>5764</v>
      </c>
      <c r="I5227" t="s">
        <v>5765</v>
      </c>
    </row>
    <row r="5228" spans="1:9" x14ac:dyDescent="0.25">
      <c r="A5228" s="1" t="str">
        <f>HYPERLINK("https://lynxcrm-apac--c.eu19.visual.force.com/0011i000001xnN6AAI","Temasek Clinic &amp; Surgery")</f>
        <v>Temasek Clinic &amp; Surgery</v>
      </c>
      <c r="B5228" t="s">
        <v>9635</v>
      </c>
      <c r="C5228" t="s">
        <v>10</v>
      </c>
      <c r="D5228" t="s">
        <v>8</v>
      </c>
      <c r="E5228" t="s">
        <v>8</v>
      </c>
      <c r="F5228" t="s">
        <v>5763</v>
      </c>
      <c r="G5228" t="s">
        <v>5764</v>
      </c>
      <c r="H5228" t="s">
        <v>5764</v>
      </c>
      <c r="I5228" t="s">
        <v>5765</v>
      </c>
    </row>
    <row r="5229" spans="1:9" x14ac:dyDescent="0.25">
      <c r="A5229" s="1" t="str">
        <f>HYPERLINK("https://lynxcrm-apac--c.eu19.visual.force.com/0011i000001xn1cAAA","Temasek Medical Associates")</f>
        <v>Temasek Medical Associates</v>
      </c>
      <c r="B5229" t="s">
        <v>9636</v>
      </c>
      <c r="C5229" t="s">
        <v>10</v>
      </c>
      <c r="D5229" t="s">
        <v>8</v>
      </c>
      <c r="E5229" t="s">
        <v>8</v>
      </c>
      <c r="F5229" t="s">
        <v>6140</v>
      </c>
      <c r="G5229" t="s">
        <v>9637</v>
      </c>
      <c r="H5229" t="s">
        <v>9637</v>
      </c>
      <c r="I5229" t="s">
        <v>2034</v>
      </c>
    </row>
    <row r="5230" spans="1:9" x14ac:dyDescent="0.25">
      <c r="A5230" s="1" t="str">
        <f>HYPERLINK("https://lynxcrm-apac--c.eu19.visual.force.com/0011i000001xn0sAAA","Temasek Medical Centre")</f>
        <v>Temasek Medical Centre</v>
      </c>
      <c r="B5230" t="s">
        <v>9638</v>
      </c>
      <c r="C5230" t="s">
        <v>10</v>
      </c>
      <c r="D5230" t="s">
        <v>8</v>
      </c>
      <c r="E5230" t="s">
        <v>8</v>
      </c>
      <c r="F5230" t="s">
        <v>7491</v>
      </c>
      <c r="G5230" t="s">
        <v>7492</v>
      </c>
      <c r="H5230" t="s">
        <v>7493</v>
      </c>
      <c r="I5230" t="s">
        <v>3667</v>
      </c>
    </row>
    <row r="5231" spans="1:9" x14ac:dyDescent="0.25">
      <c r="A5231" s="1" t="str">
        <f>HYPERLINK("https://lynxcrm-apac--c.eu19.visual.force.com/0011i000001xnXkAAI","Temasek Medical Centre")</f>
        <v>Temasek Medical Centre</v>
      </c>
      <c r="B5231" t="s">
        <v>9639</v>
      </c>
      <c r="C5231" t="s">
        <v>10</v>
      </c>
      <c r="D5231" t="s">
        <v>8</v>
      </c>
      <c r="E5231" t="s">
        <v>8</v>
      </c>
      <c r="F5231" t="s">
        <v>9640</v>
      </c>
      <c r="G5231" t="s">
        <v>4625</v>
      </c>
      <c r="H5231" t="s">
        <v>4625</v>
      </c>
      <c r="I5231" t="s">
        <v>4298</v>
      </c>
    </row>
    <row r="5232" spans="1:9" x14ac:dyDescent="0.25">
      <c r="A5232" s="1" t="str">
        <f>HYPERLINK("https://lynxcrm-apac--c.eu19.visual.force.com/0011i000001xnZVAAY","Temasek Medical Centre")</f>
        <v>Temasek Medical Centre</v>
      </c>
      <c r="B5232" t="s">
        <v>9641</v>
      </c>
      <c r="C5232" t="s">
        <v>10</v>
      </c>
      <c r="D5232" t="s">
        <v>8</v>
      </c>
      <c r="E5232" t="s">
        <v>8</v>
      </c>
      <c r="F5232" t="s">
        <v>9642</v>
      </c>
      <c r="G5232" t="s">
        <v>9643</v>
      </c>
      <c r="H5232" t="s">
        <v>9643</v>
      </c>
      <c r="I5232" t="s">
        <v>2542</v>
      </c>
    </row>
    <row r="5233" spans="1:9" x14ac:dyDescent="0.25">
      <c r="A5233" s="1" t="str">
        <f>HYPERLINK("https://lynxcrm-apac--c.eu19.visual.force.com/0011i000001xnDMAAY","Temasek Medical Clinic")</f>
        <v>Temasek Medical Clinic</v>
      </c>
      <c r="B5233" t="s">
        <v>9644</v>
      </c>
      <c r="C5233" t="s">
        <v>10</v>
      </c>
      <c r="D5233" t="s">
        <v>8</v>
      </c>
      <c r="E5233" t="s">
        <v>8</v>
      </c>
      <c r="F5233" t="s">
        <v>9131</v>
      </c>
      <c r="G5233" t="s">
        <v>2191</v>
      </c>
      <c r="H5233" t="s">
        <v>9132</v>
      </c>
      <c r="I5233" t="s">
        <v>9133</v>
      </c>
    </row>
    <row r="5234" spans="1:9" x14ac:dyDescent="0.25">
      <c r="A5234" s="1" t="str">
        <f>HYPERLINK("https://lynxcrm-apac--c.eu19.visual.force.com/0011i000001xnWYAAY","Temasek Medical Clinic")</f>
        <v>Temasek Medical Clinic</v>
      </c>
      <c r="B5234" t="s">
        <v>9645</v>
      </c>
      <c r="C5234" t="s">
        <v>10</v>
      </c>
      <c r="D5234" t="s">
        <v>8</v>
      </c>
      <c r="E5234" t="s">
        <v>8</v>
      </c>
      <c r="F5234" t="s">
        <v>9646</v>
      </c>
      <c r="G5234" t="s">
        <v>9647</v>
      </c>
      <c r="H5234" t="s">
        <v>9648</v>
      </c>
      <c r="I5234" t="s">
        <v>9649</v>
      </c>
    </row>
    <row r="5235" spans="1:9" x14ac:dyDescent="0.25">
      <c r="A5235" s="1" t="str">
        <f>HYPERLINK("https://lynxcrm-apac--c.eu19.visual.force.com/0011i000001xnlhAAA","Teng, Ching Ching Anne")</f>
        <v>Teng, Ching Ching Anne</v>
      </c>
      <c r="B5235" t="s">
        <v>9650</v>
      </c>
      <c r="C5235" t="s">
        <v>28</v>
      </c>
      <c r="D5235" t="s">
        <v>583</v>
      </c>
      <c r="E5235" t="s">
        <v>8</v>
      </c>
      <c r="F5235" t="s">
        <v>583</v>
      </c>
      <c r="G5235" t="s">
        <v>584</v>
      </c>
      <c r="H5235" t="s">
        <v>584</v>
      </c>
      <c r="I5235" t="s">
        <v>585</v>
      </c>
    </row>
    <row r="5236" spans="1:9" x14ac:dyDescent="0.25">
      <c r="A5236" s="1" t="str">
        <f>HYPERLINK("https://lynxcrm-apac--c.eu19.visual.force.com/0011i000001xnnQAAQ","Teng, Jia Ying")</f>
        <v>Teng, Jia Ying</v>
      </c>
      <c r="B5236" t="s">
        <v>9651</v>
      </c>
      <c r="C5236" t="s">
        <v>28</v>
      </c>
      <c r="D5236" t="s">
        <v>429</v>
      </c>
      <c r="E5236" t="s">
        <v>8</v>
      </c>
      <c r="F5236" t="s">
        <v>429</v>
      </c>
      <c r="G5236" t="s">
        <v>428</v>
      </c>
      <c r="H5236" t="s">
        <v>428</v>
      </c>
      <c r="I5236" t="s">
        <v>430</v>
      </c>
    </row>
    <row r="5237" spans="1:9" x14ac:dyDescent="0.25">
      <c r="A5237" s="1" t="str">
        <f>HYPERLINK("https://lynxcrm-apac--c.eu19.visual.force.com/0011i000001xnnQAAQ","Teng, Jia Ying")</f>
        <v>Teng, Jia Ying</v>
      </c>
      <c r="B5237" t="s">
        <v>9651</v>
      </c>
      <c r="C5237" t="s">
        <v>28</v>
      </c>
      <c r="D5237" t="s">
        <v>429</v>
      </c>
      <c r="E5237" t="s">
        <v>8</v>
      </c>
      <c r="F5237" t="s">
        <v>444</v>
      </c>
      <c r="G5237" t="s">
        <v>444</v>
      </c>
      <c r="H5237" t="s">
        <v>8</v>
      </c>
      <c r="I5237" t="s">
        <v>430</v>
      </c>
    </row>
    <row r="5238" spans="1:9" x14ac:dyDescent="0.25">
      <c r="A5238" s="1" t="str">
        <f>HYPERLINK("https://lynxcrm-apac--c.eu19.visual.force.com/0011i000001xnnQAAQ","Teng, Jia Ying")</f>
        <v>Teng, Jia Ying</v>
      </c>
      <c r="B5238" t="s">
        <v>9651</v>
      </c>
      <c r="C5238" t="s">
        <v>28</v>
      </c>
      <c r="D5238" t="s">
        <v>429</v>
      </c>
      <c r="E5238" t="s">
        <v>8</v>
      </c>
      <c r="F5238" t="s">
        <v>445</v>
      </c>
      <c r="G5238" t="s">
        <v>428</v>
      </c>
      <c r="H5238" t="s">
        <v>428</v>
      </c>
      <c r="I5238" t="s">
        <v>430</v>
      </c>
    </row>
    <row r="5239" spans="1:9" x14ac:dyDescent="0.25">
      <c r="A5239" s="1" t="str">
        <f>HYPERLINK("https://lynxcrm-apac--c.eu19.visual.force.com/0011i000001xnnQAAQ","Teng, Jia Ying")</f>
        <v>Teng, Jia Ying</v>
      </c>
      <c r="B5239" t="s">
        <v>9651</v>
      </c>
      <c r="C5239" t="s">
        <v>28</v>
      </c>
      <c r="D5239" t="s">
        <v>429</v>
      </c>
      <c r="E5239" t="s">
        <v>8</v>
      </c>
      <c r="F5239" t="s">
        <v>444</v>
      </c>
      <c r="G5239" t="s">
        <v>444</v>
      </c>
      <c r="H5239" t="s">
        <v>8</v>
      </c>
      <c r="I5239" t="s">
        <v>8</v>
      </c>
    </row>
    <row r="5240" spans="1:9" x14ac:dyDescent="0.25">
      <c r="A5240" s="1" t="str">
        <f>HYPERLINK("https://lynxcrm-apac--c.eu19.visual.force.com/0011i000001xmalAAA","Teng Clinic")</f>
        <v>Teng Clinic</v>
      </c>
      <c r="B5240" t="s">
        <v>9652</v>
      </c>
      <c r="C5240" t="s">
        <v>10</v>
      </c>
      <c r="D5240" t="s">
        <v>8</v>
      </c>
      <c r="E5240" t="s">
        <v>8</v>
      </c>
      <c r="F5240" t="s">
        <v>9653</v>
      </c>
      <c r="G5240" t="s">
        <v>9654</v>
      </c>
      <c r="H5240" t="s">
        <v>9655</v>
      </c>
      <c r="I5240" t="s">
        <v>9656</v>
      </c>
    </row>
    <row r="5241" spans="1:9" x14ac:dyDescent="0.25">
      <c r="A5241" s="1" t="str">
        <f>HYPERLINK("https://lynxcrm-apac--c.eu19.visual.force.com/0011i000001xoALAAY","Teo, Boon Leng Joseph")</f>
        <v>Teo, Boon Leng Joseph</v>
      </c>
      <c r="B5241" t="s">
        <v>9657</v>
      </c>
      <c r="C5241" t="s">
        <v>28</v>
      </c>
      <c r="D5241" t="s">
        <v>3271</v>
      </c>
      <c r="E5241" t="s">
        <v>8</v>
      </c>
      <c r="F5241" t="s">
        <v>3925</v>
      </c>
      <c r="G5241" t="s">
        <v>3926</v>
      </c>
      <c r="H5241" t="s">
        <v>3926</v>
      </c>
      <c r="I5241" t="s">
        <v>3927</v>
      </c>
    </row>
    <row r="5242" spans="1:9" x14ac:dyDescent="0.25">
      <c r="A5242" s="1" t="str">
        <f>HYPERLINK("https://lynxcrm-apac--c.eu19.visual.force.com/0011i000001xnu2AAA","Teo, Boon See")</f>
        <v>Teo, Boon See</v>
      </c>
      <c r="B5242" t="s">
        <v>9658</v>
      </c>
      <c r="C5242" t="s">
        <v>28</v>
      </c>
      <c r="D5242" t="s">
        <v>9659</v>
      </c>
      <c r="E5242" t="s">
        <v>8</v>
      </c>
      <c r="F5242" t="s">
        <v>1026</v>
      </c>
      <c r="G5242" t="s">
        <v>1027</v>
      </c>
      <c r="H5242" t="s">
        <v>1027</v>
      </c>
      <c r="I5242" t="s">
        <v>1028</v>
      </c>
    </row>
    <row r="5243" spans="1:9" x14ac:dyDescent="0.25">
      <c r="A5243" s="1" t="str">
        <f>HYPERLINK("https://lynxcrm-apac--c.eu19.visual.force.com/0011i000001xoMAAAY","Teo, Chang Peng")</f>
        <v>Teo, Chang Peng</v>
      </c>
      <c r="B5243" t="s">
        <v>9660</v>
      </c>
      <c r="C5243" t="s">
        <v>28</v>
      </c>
      <c r="D5243" t="s">
        <v>583</v>
      </c>
      <c r="E5243" t="s">
        <v>8</v>
      </c>
      <c r="F5243" t="s">
        <v>583</v>
      </c>
      <c r="G5243" t="s">
        <v>584</v>
      </c>
      <c r="H5243" t="s">
        <v>584</v>
      </c>
      <c r="I5243" t="s">
        <v>585</v>
      </c>
    </row>
    <row r="5244" spans="1:9" x14ac:dyDescent="0.25">
      <c r="A5244" s="1" t="str">
        <f>HYPERLINK("https://lynxcrm-apac--c.eu19.visual.force.com/0011i000001xoMAAAY","Teo, Chang Peng")</f>
        <v>Teo, Chang Peng</v>
      </c>
      <c r="B5244" t="s">
        <v>9660</v>
      </c>
      <c r="C5244" t="s">
        <v>28</v>
      </c>
      <c r="D5244" t="s">
        <v>635</v>
      </c>
      <c r="E5244" t="s">
        <v>8</v>
      </c>
      <c r="F5244" t="s">
        <v>584</v>
      </c>
      <c r="G5244" t="s">
        <v>583</v>
      </c>
      <c r="H5244" t="s">
        <v>583</v>
      </c>
      <c r="I5244" t="s">
        <v>585</v>
      </c>
    </row>
    <row r="5245" spans="1:9" x14ac:dyDescent="0.25">
      <c r="A5245" s="1" t="str">
        <f>HYPERLINK("https://lynxcrm-apac--c.eu19.visual.force.com/0011i000001xoWnAAI","Teo, Cheng Peng")</f>
        <v>Teo, Cheng Peng</v>
      </c>
      <c r="B5245" t="s">
        <v>9661</v>
      </c>
      <c r="C5245" t="s">
        <v>28</v>
      </c>
      <c r="D5245" t="s">
        <v>9662</v>
      </c>
      <c r="E5245" t="s">
        <v>8</v>
      </c>
      <c r="F5245" t="s">
        <v>469</v>
      </c>
      <c r="G5245" t="s">
        <v>9663</v>
      </c>
      <c r="H5245" t="s">
        <v>9664</v>
      </c>
      <c r="I5245" t="s">
        <v>466</v>
      </c>
    </row>
    <row r="5246" spans="1:9" x14ac:dyDescent="0.25">
      <c r="A5246" s="1" t="str">
        <f>HYPERLINK("https://lynxcrm-apac--c.eu19.visual.force.com/0011i000001xoaoAAA","Teo, Cindy")</f>
        <v>Teo, Cindy</v>
      </c>
      <c r="B5246" t="s">
        <v>9665</v>
      </c>
      <c r="C5246" t="s">
        <v>28</v>
      </c>
      <c r="D5246" t="s">
        <v>261</v>
      </c>
      <c r="E5246" t="s">
        <v>8</v>
      </c>
      <c r="F5246" t="s">
        <v>514</v>
      </c>
      <c r="G5246" t="s">
        <v>258</v>
      </c>
      <c r="H5246" t="s">
        <v>259</v>
      </c>
      <c r="I5246" t="s">
        <v>260</v>
      </c>
    </row>
    <row r="5247" spans="1:9" x14ac:dyDescent="0.25">
      <c r="A5247" s="1" t="str">
        <f>HYPERLINK("https://lynxcrm-apac--c.eu19.visual.force.com/0011i000001xoaoAAA","Teo, Cindy")</f>
        <v>Teo, Cindy</v>
      </c>
      <c r="B5247" t="s">
        <v>9665</v>
      </c>
      <c r="C5247" t="s">
        <v>28</v>
      </c>
      <c r="D5247" t="s">
        <v>261</v>
      </c>
      <c r="E5247" t="s">
        <v>8</v>
      </c>
      <c r="F5247" t="s">
        <v>261</v>
      </c>
      <c r="G5247" t="s">
        <v>347</v>
      </c>
      <c r="H5247" t="s">
        <v>347</v>
      </c>
      <c r="I5247" t="s">
        <v>260</v>
      </c>
    </row>
    <row r="5248" spans="1:9" x14ac:dyDescent="0.25">
      <c r="A5248" s="1" t="str">
        <f>HYPERLINK("https://lynxcrm-apac--c.eu19.visual.force.com/0011i000007DbUMAA0","Teo, Hon Wei")</f>
        <v>Teo, Hon Wei</v>
      </c>
      <c r="B5248" t="s">
        <v>9666</v>
      </c>
      <c r="C5248" t="s">
        <v>28</v>
      </c>
      <c r="D5248" t="s">
        <v>1462</v>
      </c>
      <c r="E5248" t="s">
        <v>8</v>
      </c>
      <c r="F5248" t="s">
        <v>1463</v>
      </c>
      <c r="G5248" t="s">
        <v>1464</v>
      </c>
      <c r="H5248" t="s">
        <v>8</v>
      </c>
      <c r="I5248" t="s">
        <v>1465</v>
      </c>
    </row>
    <row r="5249" spans="1:9" x14ac:dyDescent="0.25">
      <c r="A5249" s="1" t="str">
        <f>HYPERLINK("https://lynxcrm-apac--c.eu19.visual.force.com/0011i000007CD7EAAW","Teo, Hooi Kee")</f>
        <v>Teo, Hooi Kee</v>
      </c>
      <c r="B5249" t="s">
        <v>9667</v>
      </c>
      <c r="C5249" t="s">
        <v>28</v>
      </c>
      <c r="D5249" t="s">
        <v>449</v>
      </c>
      <c r="E5249" t="s">
        <v>8</v>
      </c>
      <c r="F5249" t="s">
        <v>450</v>
      </c>
      <c r="G5249" t="s">
        <v>449</v>
      </c>
      <c r="H5249" t="s">
        <v>449</v>
      </c>
      <c r="I5249" t="s">
        <v>451</v>
      </c>
    </row>
    <row r="5250" spans="1:9" x14ac:dyDescent="0.25">
      <c r="A5250" s="1" t="str">
        <f>HYPERLINK("https://lynxcrm-apac--c.eu19.visual.force.com/0011i000007CD7EAAW","Teo, Hooi Kee")</f>
        <v>Teo, Hooi Kee</v>
      </c>
      <c r="B5250" t="s">
        <v>9667</v>
      </c>
      <c r="C5250" t="s">
        <v>28</v>
      </c>
      <c r="D5250" t="s">
        <v>449</v>
      </c>
      <c r="E5250" t="s">
        <v>8</v>
      </c>
      <c r="F5250" t="s">
        <v>234</v>
      </c>
      <c r="G5250" t="s">
        <v>452</v>
      </c>
      <c r="H5250" t="s">
        <v>453</v>
      </c>
      <c r="I5250" t="s">
        <v>454</v>
      </c>
    </row>
    <row r="5251" spans="1:9" x14ac:dyDescent="0.25">
      <c r="A5251" s="1" t="str">
        <f>HYPERLINK("https://lynxcrm-apac--c.eu19.visual.force.com/0011i000001xoMcAAI","Teo, Hui Ling")</f>
        <v>Teo, Hui Ling</v>
      </c>
      <c r="B5251" t="s">
        <v>9668</v>
      </c>
      <c r="C5251" t="s">
        <v>28</v>
      </c>
      <c r="D5251" t="s">
        <v>9669</v>
      </c>
      <c r="E5251" t="s">
        <v>8</v>
      </c>
      <c r="F5251" t="s">
        <v>5987</v>
      </c>
      <c r="G5251" t="s">
        <v>2829</v>
      </c>
      <c r="H5251" t="s">
        <v>9670</v>
      </c>
      <c r="I5251" t="s">
        <v>5989</v>
      </c>
    </row>
    <row r="5252" spans="1:9" x14ac:dyDescent="0.25">
      <c r="A5252" s="1" t="str">
        <f>HYPERLINK("https://lynxcrm-apac--c.eu19.visual.force.com/0011i00000Xf1HrAAJ","Teo, Hui Ling")</f>
        <v>Teo, Hui Ling</v>
      </c>
      <c r="B5252" t="s">
        <v>9671</v>
      </c>
      <c r="C5252" t="s">
        <v>28</v>
      </c>
      <c r="D5252" t="s">
        <v>261</v>
      </c>
      <c r="E5252" t="s">
        <v>8</v>
      </c>
      <c r="F5252" t="s">
        <v>347</v>
      </c>
      <c r="G5252" t="s">
        <v>1820</v>
      </c>
      <c r="H5252" t="s">
        <v>8</v>
      </c>
      <c r="I5252" t="s">
        <v>260</v>
      </c>
    </row>
    <row r="5253" spans="1:9" x14ac:dyDescent="0.25">
      <c r="A5253" s="1" t="str">
        <f>HYPERLINK("https://lynxcrm-apac--c.eu19.visual.force.com/0011i000001xnu7AAA","Teo, Keng Seng")</f>
        <v>Teo, Keng Seng</v>
      </c>
      <c r="B5253" t="s">
        <v>9672</v>
      </c>
      <c r="C5253" t="s">
        <v>28</v>
      </c>
      <c r="D5253" t="s">
        <v>476</v>
      </c>
      <c r="E5253" t="s">
        <v>8</v>
      </c>
      <c r="F5253" t="s">
        <v>477</v>
      </c>
      <c r="G5253" t="s">
        <v>478</v>
      </c>
      <c r="H5253" t="s">
        <v>9673</v>
      </c>
      <c r="I5253" t="s">
        <v>479</v>
      </c>
    </row>
    <row r="5254" spans="1:9" x14ac:dyDescent="0.25">
      <c r="A5254" s="1" t="str">
        <f>HYPERLINK("https://lynxcrm-apac--c.eu19.visual.force.com/0011i000001xobaAAA","Teo, Keng Siang Richard")</f>
        <v>Teo, Keng Siang Richard</v>
      </c>
      <c r="B5254" t="s">
        <v>9674</v>
      </c>
      <c r="C5254" t="s">
        <v>28</v>
      </c>
      <c r="D5254" t="s">
        <v>937</v>
      </c>
      <c r="E5254" t="s">
        <v>8</v>
      </c>
      <c r="F5254" t="s">
        <v>9675</v>
      </c>
      <c r="G5254" t="s">
        <v>9676</v>
      </c>
      <c r="H5254" t="s">
        <v>9676</v>
      </c>
      <c r="I5254" t="s">
        <v>4048</v>
      </c>
    </row>
    <row r="5255" spans="1:9" x14ac:dyDescent="0.25">
      <c r="A5255" s="1" t="str">
        <f>HYPERLINK("https://lynxcrm-apac--c.eu19.visual.force.com/0011i000001xnu8AAA","Teo, Kian Tong")</f>
        <v>Teo, Kian Tong</v>
      </c>
      <c r="B5255" t="s">
        <v>9677</v>
      </c>
      <c r="C5255" t="s">
        <v>28</v>
      </c>
      <c r="D5255" t="s">
        <v>7398</v>
      </c>
      <c r="E5255" t="s">
        <v>8</v>
      </c>
      <c r="F5255" t="s">
        <v>317</v>
      </c>
      <c r="G5255" t="s">
        <v>9678</v>
      </c>
      <c r="H5255" t="s">
        <v>9679</v>
      </c>
      <c r="I5255" t="s">
        <v>85</v>
      </c>
    </row>
    <row r="5256" spans="1:9" x14ac:dyDescent="0.25">
      <c r="A5256" s="1" t="str">
        <f>HYPERLINK("https://lynxcrm-apac--c.eu19.visual.force.com/0011i000001xogWAAQ","Teo, Ling")</f>
        <v>Teo, Ling</v>
      </c>
      <c r="B5256" t="s">
        <v>9680</v>
      </c>
      <c r="C5256" t="s">
        <v>28</v>
      </c>
      <c r="D5256" t="s">
        <v>9681</v>
      </c>
      <c r="E5256" t="s">
        <v>8</v>
      </c>
      <c r="F5256" t="s">
        <v>8835</v>
      </c>
      <c r="G5256" t="s">
        <v>8835</v>
      </c>
      <c r="H5256" t="s">
        <v>8</v>
      </c>
      <c r="I5256" t="s">
        <v>8836</v>
      </c>
    </row>
    <row r="5257" spans="1:9" x14ac:dyDescent="0.25">
      <c r="A5257" s="1" t="str">
        <f>HYPERLINK("https://lynxcrm-apac--c.eu19.visual.force.com/0011i000001xokUAAQ","Teo, Loon Yee Louis")</f>
        <v>Teo, Loon Yee Louis</v>
      </c>
      <c r="B5257" t="s">
        <v>9682</v>
      </c>
      <c r="C5257" t="s">
        <v>28</v>
      </c>
      <c r="D5257" t="s">
        <v>449</v>
      </c>
      <c r="E5257" t="s">
        <v>8</v>
      </c>
      <c r="F5257" t="s">
        <v>450</v>
      </c>
      <c r="G5257" t="s">
        <v>449</v>
      </c>
      <c r="H5257" t="s">
        <v>449</v>
      </c>
      <c r="I5257" t="s">
        <v>451</v>
      </c>
    </row>
    <row r="5258" spans="1:9" x14ac:dyDescent="0.25">
      <c r="A5258" s="1" t="str">
        <f>HYPERLINK("https://lynxcrm-apac--c.eu19.visual.force.com/0011i000001xokUAAQ","Teo, Loon Yee Louis")</f>
        <v>Teo, Loon Yee Louis</v>
      </c>
      <c r="B5258" t="s">
        <v>9682</v>
      </c>
      <c r="C5258" t="s">
        <v>28</v>
      </c>
      <c r="D5258" t="s">
        <v>449</v>
      </c>
      <c r="E5258" t="s">
        <v>8</v>
      </c>
      <c r="F5258" t="s">
        <v>234</v>
      </c>
      <c r="G5258" t="s">
        <v>452</v>
      </c>
      <c r="H5258" t="s">
        <v>453</v>
      </c>
      <c r="I5258" t="s">
        <v>454</v>
      </c>
    </row>
    <row r="5259" spans="1:9" x14ac:dyDescent="0.25">
      <c r="A5259" s="1" t="str">
        <f>HYPERLINK("https://lynxcrm-apac--c.eu19.visual.force.com/0011i00000S3HGhAAN","Teo, Marcus Kok Kuan")</f>
        <v>Teo, Marcus Kok Kuan</v>
      </c>
      <c r="B5259" t="s">
        <v>9683</v>
      </c>
      <c r="C5259" t="s">
        <v>28</v>
      </c>
      <c r="D5259" t="s">
        <v>147</v>
      </c>
      <c r="E5259" t="s">
        <v>8</v>
      </c>
      <c r="F5259" t="s">
        <v>147</v>
      </c>
      <c r="G5259" t="s">
        <v>148</v>
      </c>
      <c r="H5259" t="s">
        <v>148</v>
      </c>
      <c r="I5259" t="s">
        <v>149</v>
      </c>
    </row>
    <row r="5260" spans="1:9" x14ac:dyDescent="0.25">
      <c r="A5260" s="1" t="str">
        <f>HYPERLINK("https://lynxcrm-apac--c.eu19.visual.force.com/0011i000001xnu9AAA","Teo, Nam Hui")</f>
        <v>Teo, Nam Hui</v>
      </c>
      <c r="B5260" t="s">
        <v>9684</v>
      </c>
      <c r="C5260" t="s">
        <v>28</v>
      </c>
      <c r="D5260" t="s">
        <v>483</v>
      </c>
      <c r="E5260" t="s">
        <v>8</v>
      </c>
      <c r="F5260" t="s">
        <v>377</v>
      </c>
      <c r="G5260" t="s">
        <v>484</v>
      </c>
      <c r="H5260" t="s">
        <v>484</v>
      </c>
      <c r="I5260" t="s">
        <v>123</v>
      </c>
    </row>
    <row r="5261" spans="1:9" x14ac:dyDescent="0.25">
      <c r="A5261" s="1" t="str">
        <f>HYPERLINK("https://lynxcrm-apac--c.eu19.visual.force.com/0011i000001xoXNAAY","Teo, Pearlie")</f>
        <v>Teo, Pearlie</v>
      </c>
      <c r="B5261" t="s">
        <v>9685</v>
      </c>
      <c r="C5261" t="s">
        <v>28</v>
      </c>
      <c r="D5261" t="s">
        <v>9686</v>
      </c>
      <c r="E5261" t="s">
        <v>8</v>
      </c>
      <c r="F5261" t="s">
        <v>3347</v>
      </c>
      <c r="G5261" t="s">
        <v>3348</v>
      </c>
      <c r="H5261" t="s">
        <v>3348</v>
      </c>
      <c r="I5261" t="s">
        <v>838</v>
      </c>
    </row>
    <row r="5262" spans="1:9" x14ac:dyDescent="0.25">
      <c r="A5262" s="1" t="str">
        <f t="shared" ref="A5262:A5274" si="51">HYPERLINK("https://lynxcrm-apac--c.eu19.visual.force.com/0011i000001xnuAAAQ","Teo, Sek Khee")</f>
        <v>Teo, Sek Khee</v>
      </c>
      <c r="B5262" t="s">
        <v>9687</v>
      </c>
      <c r="C5262" t="s">
        <v>28</v>
      </c>
      <c r="D5262" t="s">
        <v>164</v>
      </c>
      <c r="E5262" t="s">
        <v>8</v>
      </c>
      <c r="F5262" t="s">
        <v>248</v>
      </c>
      <c r="G5262" t="s">
        <v>163</v>
      </c>
      <c r="H5262" t="s">
        <v>242</v>
      </c>
      <c r="I5262" t="s">
        <v>165</v>
      </c>
    </row>
    <row r="5263" spans="1:9" x14ac:dyDescent="0.25">
      <c r="A5263" s="1" t="str">
        <f t="shared" si="51"/>
        <v>Teo, Sek Khee</v>
      </c>
      <c r="B5263" t="s">
        <v>9687</v>
      </c>
      <c r="C5263" t="s">
        <v>28</v>
      </c>
      <c r="D5263" t="s">
        <v>164</v>
      </c>
      <c r="E5263" t="s">
        <v>8</v>
      </c>
      <c r="F5263" t="s">
        <v>236</v>
      </c>
      <c r="G5263" t="s">
        <v>237</v>
      </c>
      <c r="H5263" t="s">
        <v>237</v>
      </c>
      <c r="I5263" t="s">
        <v>165</v>
      </c>
    </row>
    <row r="5264" spans="1:9" x14ac:dyDescent="0.25">
      <c r="A5264" s="1" t="str">
        <f t="shared" si="51"/>
        <v>Teo, Sek Khee</v>
      </c>
      <c r="B5264" t="s">
        <v>9687</v>
      </c>
      <c r="C5264" t="s">
        <v>28</v>
      </c>
      <c r="D5264" t="s">
        <v>164</v>
      </c>
      <c r="E5264" t="s">
        <v>8</v>
      </c>
      <c r="F5264" t="s">
        <v>238</v>
      </c>
      <c r="G5264" t="s">
        <v>163</v>
      </c>
      <c r="H5264" t="s">
        <v>163</v>
      </c>
      <c r="I5264" t="s">
        <v>165</v>
      </c>
    </row>
    <row r="5265" spans="1:9" x14ac:dyDescent="0.25">
      <c r="A5265" s="1" t="str">
        <f t="shared" si="51"/>
        <v>Teo, Sek Khee</v>
      </c>
      <c r="B5265" t="s">
        <v>9687</v>
      </c>
      <c r="C5265" t="s">
        <v>28</v>
      </c>
      <c r="D5265" t="s">
        <v>164</v>
      </c>
      <c r="E5265" t="s">
        <v>8</v>
      </c>
      <c r="F5265" t="s">
        <v>239</v>
      </c>
      <c r="G5265" t="s">
        <v>163</v>
      </c>
      <c r="H5265" t="s">
        <v>163</v>
      </c>
      <c r="I5265" t="s">
        <v>165</v>
      </c>
    </row>
    <row r="5266" spans="1:9" x14ac:dyDescent="0.25">
      <c r="A5266" s="1" t="str">
        <f t="shared" si="51"/>
        <v>Teo, Sek Khee</v>
      </c>
      <c r="B5266" t="s">
        <v>9687</v>
      </c>
      <c r="C5266" t="s">
        <v>28</v>
      </c>
      <c r="D5266" t="s">
        <v>164</v>
      </c>
      <c r="E5266" t="s">
        <v>8</v>
      </c>
      <c r="F5266" t="s">
        <v>240</v>
      </c>
      <c r="G5266" t="s">
        <v>163</v>
      </c>
      <c r="H5266" t="s">
        <v>163</v>
      </c>
      <c r="I5266" t="s">
        <v>165</v>
      </c>
    </row>
    <row r="5267" spans="1:9" x14ac:dyDescent="0.25">
      <c r="A5267" s="1" t="str">
        <f t="shared" si="51"/>
        <v>Teo, Sek Khee</v>
      </c>
      <c r="B5267" t="s">
        <v>9687</v>
      </c>
      <c r="C5267" t="s">
        <v>28</v>
      </c>
      <c r="D5267" t="s">
        <v>164</v>
      </c>
      <c r="E5267" t="s">
        <v>8</v>
      </c>
      <c r="F5267" t="s">
        <v>234</v>
      </c>
      <c r="G5267" t="s">
        <v>163</v>
      </c>
      <c r="H5267" t="s">
        <v>163</v>
      </c>
      <c r="I5267" t="s">
        <v>235</v>
      </c>
    </row>
    <row r="5268" spans="1:9" x14ac:dyDescent="0.25">
      <c r="A5268" s="1" t="str">
        <f t="shared" si="51"/>
        <v>Teo, Sek Khee</v>
      </c>
      <c r="B5268" t="s">
        <v>9687</v>
      </c>
      <c r="C5268" t="s">
        <v>28</v>
      </c>
      <c r="D5268" t="s">
        <v>164</v>
      </c>
      <c r="E5268" t="s">
        <v>8</v>
      </c>
      <c r="F5268" t="s">
        <v>241</v>
      </c>
      <c r="G5268" t="s">
        <v>163</v>
      </c>
      <c r="H5268" t="s">
        <v>242</v>
      </c>
      <c r="I5268" t="s">
        <v>165</v>
      </c>
    </row>
    <row r="5269" spans="1:9" x14ac:dyDescent="0.25">
      <c r="A5269" s="1" t="str">
        <f t="shared" si="51"/>
        <v>Teo, Sek Khee</v>
      </c>
      <c r="B5269" t="s">
        <v>9687</v>
      </c>
      <c r="C5269" t="s">
        <v>28</v>
      </c>
      <c r="D5269" t="s">
        <v>164</v>
      </c>
      <c r="E5269" t="s">
        <v>8</v>
      </c>
      <c r="F5269" t="s">
        <v>243</v>
      </c>
      <c r="G5269" t="s">
        <v>163</v>
      </c>
      <c r="H5269" t="s">
        <v>163</v>
      </c>
      <c r="I5269" t="s">
        <v>244</v>
      </c>
    </row>
    <row r="5270" spans="1:9" x14ac:dyDescent="0.25">
      <c r="A5270" s="1" t="str">
        <f t="shared" si="51"/>
        <v>Teo, Sek Khee</v>
      </c>
      <c r="B5270" t="s">
        <v>9687</v>
      </c>
      <c r="C5270" t="s">
        <v>28</v>
      </c>
      <c r="D5270" t="s">
        <v>164</v>
      </c>
      <c r="E5270" t="s">
        <v>8</v>
      </c>
      <c r="F5270" t="s">
        <v>245</v>
      </c>
      <c r="G5270" t="s">
        <v>163</v>
      </c>
      <c r="H5270" t="s">
        <v>163</v>
      </c>
      <c r="I5270" t="s">
        <v>165</v>
      </c>
    </row>
    <row r="5271" spans="1:9" x14ac:dyDescent="0.25">
      <c r="A5271" s="1" t="str">
        <f t="shared" si="51"/>
        <v>Teo, Sek Khee</v>
      </c>
      <c r="B5271" t="s">
        <v>9687</v>
      </c>
      <c r="C5271" t="s">
        <v>28</v>
      </c>
      <c r="D5271" t="s">
        <v>164</v>
      </c>
      <c r="E5271" t="s">
        <v>8</v>
      </c>
      <c r="F5271" t="s">
        <v>246</v>
      </c>
      <c r="G5271" t="s">
        <v>163</v>
      </c>
      <c r="H5271" t="s">
        <v>163</v>
      </c>
      <c r="I5271" t="s">
        <v>244</v>
      </c>
    </row>
    <row r="5272" spans="1:9" x14ac:dyDescent="0.25">
      <c r="A5272" s="1" t="str">
        <f t="shared" si="51"/>
        <v>Teo, Sek Khee</v>
      </c>
      <c r="B5272" t="s">
        <v>9687</v>
      </c>
      <c r="C5272" t="s">
        <v>28</v>
      </c>
      <c r="D5272" t="s">
        <v>164</v>
      </c>
      <c r="E5272" t="s">
        <v>8</v>
      </c>
      <c r="F5272" t="s">
        <v>247</v>
      </c>
      <c r="G5272" t="s">
        <v>163</v>
      </c>
      <c r="H5272" t="s">
        <v>242</v>
      </c>
      <c r="I5272" t="s">
        <v>165</v>
      </c>
    </row>
    <row r="5273" spans="1:9" x14ac:dyDescent="0.25">
      <c r="A5273" s="1" t="str">
        <f t="shared" si="51"/>
        <v>Teo, Sek Khee</v>
      </c>
      <c r="B5273" t="s">
        <v>9687</v>
      </c>
      <c r="C5273" t="s">
        <v>28</v>
      </c>
      <c r="D5273" t="s">
        <v>164</v>
      </c>
      <c r="E5273" t="s">
        <v>8</v>
      </c>
      <c r="F5273" t="s">
        <v>249</v>
      </c>
      <c r="G5273" t="s">
        <v>163</v>
      </c>
      <c r="H5273" t="s">
        <v>163</v>
      </c>
      <c r="I5273" t="s">
        <v>165</v>
      </c>
    </row>
    <row r="5274" spans="1:9" x14ac:dyDescent="0.25">
      <c r="A5274" s="1" t="str">
        <f t="shared" si="51"/>
        <v>Teo, Sek Khee</v>
      </c>
      <c r="B5274" t="s">
        <v>9687</v>
      </c>
      <c r="C5274" t="s">
        <v>28</v>
      </c>
      <c r="D5274" t="s">
        <v>164</v>
      </c>
      <c r="E5274" t="s">
        <v>8</v>
      </c>
      <c r="F5274" t="s">
        <v>234</v>
      </c>
      <c r="G5274" t="s">
        <v>163</v>
      </c>
      <c r="H5274" t="s">
        <v>163</v>
      </c>
      <c r="I5274" t="s">
        <v>244</v>
      </c>
    </row>
    <row r="5275" spans="1:9" x14ac:dyDescent="0.25">
      <c r="A5275" s="1" t="str">
        <f>HYPERLINK("https://lynxcrm-apac--c.eu19.visual.force.com/0011i000001xoLYAAY","Teo, Seng Hock")</f>
        <v>Teo, Seng Hock</v>
      </c>
      <c r="B5275" t="s">
        <v>9688</v>
      </c>
      <c r="C5275" t="s">
        <v>28</v>
      </c>
      <c r="D5275" t="s">
        <v>815</v>
      </c>
      <c r="E5275" t="s">
        <v>8</v>
      </c>
      <c r="F5275" t="s">
        <v>9689</v>
      </c>
      <c r="G5275" t="s">
        <v>3521</v>
      </c>
      <c r="H5275" t="s">
        <v>3521</v>
      </c>
      <c r="I5275" t="s">
        <v>817</v>
      </c>
    </row>
    <row r="5276" spans="1:9" x14ac:dyDescent="0.25">
      <c r="A5276" s="1" t="str">
        <f>HYPERLINK("https://lynxcrm-apac--c.eu19.visual.force.com/0011i000001xoLYAAY","Teo, Seng Hock")</f>
        <v>Teo, Seng Hock</v>
      </c>
      <c r="B5276" t="s">
        <v>9688</v>
      </c>
      <c r="C5276" t="s">
        <v>28</v>
      </c>
      <c r="D5276" t="s">
        <v>815</v>
      </c>
      <c r="E5276" t="s">
        <v>8</v>
      </c>
      <c r="F5276" t="s">
        <v>816</v>
      </c>
      <c r="G5276" t="s">
        <v>815</v>
      </c>
      <c r="H5276" t="s">
        <v>815</v>
      </c>
      <c r="I5276" t="s">
        <v>817</v>
      </c>
    </row>
    <row r="5277" spans="1:9" x14ac:dyDescent="0.25">
      <c r="A5277" s="1" t="str">
        <f>HYPERLINK("https://lynxcrm-apac--c.eu19.visual.force.com/0011i000001xo6gAAA","Teo, Seng Kee")</f>
        <v>Teo, Seng Kee</v>
      </c>
      <c r="B5277" t="s">
        <v>9690</v>
      </c>
      <c r="C5277" t="s">
        <v>28</v>
      </c>
      <c r="D5277" t="s">
        <v>1253</v>
      </c>
      <c r="E5277" t="s">
        <v>8</v>
      </c>
      <c r="F5277" t="s">
        <v>257</v>
      </c>
      <c r="G5277" t="s">
        <v>360</v>
      </c>
      <c r="H5277" t="s">
        <v>361</v>
      </c>
      <c r="I5277" t="s">
        <v>362</v>
      </c>
    </row>
    <row r="5278" spans="1:9" x14ac:dyDescent="0.25">
      <c r="A5278" s="1" t="str">
        <f>HYPERLINK("https://lynxcrm-apac--c.eu19.visual.force.com/0011i000001xnuBAAQ","Teo, Siak Pheng")</f>
        <v>Teo, Siak Pheng</v>
      </c>
      <c r="B5278" t="s">
        <v>9691</v>
      </c>
      <c r="C5278" t="s">
        <v>28</v>
      </c>
      <c r="D5278" t="s">
        <v>9692</v>
      </c>
      <c r="E5278" t="s">
        <v>8</v>
      </c>
      <c r="F5278" t="s">
        <v>8066</v>
      </c>
      <c r="G5278" t="s">
        <v>9693</v>
      </c>
      <c r="H5278" t="s">
        <v>9693</v>
      </c>
      <c r="I5278" t="s">
        <v>351</v>
      </c>
    </row>
    <row r="5279" spans="1:9" x14ac:dyDescent="0.25">
      <c r="A5279" s="1" t="str">
        <f>HYPERLINK("https://lynxcrm-apac--c.eu19.visual.force.com/0011i000001xoiBAAQ","Teo, Swee Chong")</f>
        <v>Teo, Swee Chong</v>
      </c>
      <c r="B5279" t="s">
        <v>9694</v>
      </c>
      <c r="C5279" t="s">
        <v>28</v>
      </c>
      <c r="D5279" t="s">
        <v>1274</v>
      </c>
      <c r="E5279" t="s">
        <v>8</v>
      </c>
      <c r="F5279" t="s">
        <v>7768</v>
      </c>
      <c r="G5279" t="s">
        <v>449</v>
      </c>
      <c r="H5279" t="s">
        <v>449</v>
      </c>
      <c r="I5279" t="s">
        <v>454</v>
      </c>
    </row>
    <row r="5280" spans="1:9" x14ac:dyDescent="0.25">
      <c r="A5280" s="1" t="str">
        <f>HYPERLINK("https://lynxcrm-apac--c.eu19.visual.force.com/0011i000001xoKWAAY","Teo, Swee Guan")</f>
        <v>Teo, Swee Guan</v>
      </c>
      <c r="B5280" t="s">
        <v>9695</v>
      </c>
      <c r="C5280" t="s">
        <v>28</v>
      </c>
      <c r="D5280" t="s">
        <v>234</v>
      </c>
      <c r="E5280" t="s">
        <v>8</v>
      </c>
      <c r="F5280" t="s">
        <v>164</v>
      </c>
      <c r="G5280" t="s">
        <v>163</v>
      </c>
      <c r="H5280" t="s">
        <v>163</v>
      </c>
      <c r="I5280" t="s">
        <v>165</v>
      </c>
    </row>
    <row r="5281" spans="1:9" x14ac:dyDescent="0.25">
      <c r="A5281" s="1" t="str">
        <f>HYPERLINK("https://lynxcrm-apac--c.eu19.visual.force.com/0011i000001xo60AAA","Teo, Sze Yang Alex")</f>
        <v>Teo, Sze Yang Alex</v>
      </c>
      <c r="B5281" t="s">
        <v>9696</v>
      </c>
      <c r="C5281" t="s">
        <v>28</v>
      </c>
      <c r="D5281" t="s">
        <v>9697</v>
      </c>
      <c r="E5281" t="s">
        <v>8</v>
      </c>
      <c r="F5281" t="s">
        <v>3932</v>
      </c>
      <c r="G5281" t="s">
        <v>8009</v>
      </c>
      <c r="H5281" t="s">
        <v>8009</v>
      </c>
      <c r="I5281" t="s">
        <v>3935</v>
      </c>
    </row>
    <row r="5282" spans="1:9" x14ac:dyDescent="0.25">
      <c r="A5282" s="1" t="str">
        <f>HYPERLINK("https://lynxcrm-apac--c.eu19.visual.force.com/0011i00000FEopYAAT","Teo, Sze Yang Alex")</f>
        <v>Teo, Sze Yang Alex</v>
      </c>
      <c r="B5282" t="s">
        <v>9698</v>
      </c>
      <c r="C5282" t="s">
        <v>28</v>
      </c>
      <c r="D5282" t="s">
        <v>9699</v>
      </c>
      <c r="E5282" t="s">
        <v>8</v>
      </c>
      <c r="F5282" t="s">
        <v>8006</v>
      </c>
      <c r="G5282" t="s">
        <v>8007</v>
      </c>
      <c r="H5282" t="s">
        <v>8007</v>
      </c>
      <c r="I5282" t="s">
        <v>351</v>
      </c>
    </row>
    <row r="5283" spans="1:9" x14ac:dyDescent="0.25">
      <c r="A5283" s="1" t="str">
        <f>HYPERLINK("https://lynxcrm-apac--c.eu19.visual.force.com/0011i000001xoARAAY","Teo, Sze Yiun")</f>
        <v>Teo, Sze Yiun</v>
      </c>
      <c r="B5283" t="s">
        <v>9700</v>
      </c>
      <c r="C5283" t="s">
        <v>28</v>
      </c>
      <c r="D5283" t="s">
        <v>9701</v>
      </c>
      <c r="E5283" t="s">
        <v>8</v>
      </c>
      <c r="F5283" t="s">
        <v>360</v>
      </c>
      <c r="G5283" t="s">
        <v>1253</v>
      </c>
      <c r="H5283" t="s">
        <v>1253</v>
      </c>
      <c r="I5283" t="s">
        <v>362</v>
      </c>
    </row>
    <row r="5284" spans="1:9" x14ac:dyDescent="0.25">
      <c r="A5284" s="1" t="str">
        <f>HYPERLINK("https://lynxcrm-apac--c.eu19.visual.force.com/0011i000001xogAAAQ","Teo, Tze Shen")</f>
        <v>Teo, Tze Shen</v>
      </c>
      <c r="B5284" t="s">
        <v>9702</v>
      </c>
      <c r="C5284" t="s">
        <v>28</v>
      </c>
      <c r="D5284" t="s">
        <v>7398</v>
      </c>
      <c r="E5284" t="s">
        <v>8</v>
      </c>
      <c r="F5284" t="s">
        <v>1991</v>
      </c>
      <c r="G5284" t="s">
        <v>9703</v>
      </c>
      <c r="H5284" t="s">
        <v>9703</v>
      </c>
      <c r="I5284" t="s">
        <v>1994</v>
      </c>
    </row>
    <row r="5285" spans="1:9" x14ac:dyDescent="0.25">
      <c r="A5285" s="1" t="str">
        <f>HYPERLINK("https://lynxcrm-apac--c.eu19.visual.force.com/0011i00000Xf1HfAAJ","Teo, Winnie")</f>
        <v>Teo, Winnie</v>
      </c>
      <c r="B5285" t="s">
        <v>9704</v>
      </c>
      <c r="C5285" t="s">
        <v>28</v>
      </c>
      <c r="D5285" t="s">
        <v>429</v>
      </c>
      <c r="E5285" t="s">
        <v>8</v>
      </c>
      <c r="F5285" t="s">
        <v>594</v>
      </c>
      <c r="G5285" t="s">
        <v>595</v>
      </c>
      <c r="H5285" t="s">
        <v>8</v>
      </c>
      <c r="I5285" t="s">
        <v>596</v>
      </c>
    </row>
    <row r="5286" spans="1:9" x14ac:dyDescent="0.25">
      <c r="A5286" s="1" t="str">
        <f>HYPERLINK("https://lynxcrm-apac--c.eu19.visual.force.com/0011i000001xof0AAA","Teo, Yee Hong")</f>
        <v>Teo, Yee Hong</v>
      </c>
      <c r="B5286" t="s">
        <v>9705</v>
      </c>
      <c r="C5286" t="s">
        <v>28</v>
      </c>
      <c r="D5286" t="s">
        <v>261</v>
      </c>
      <c r="E5286" t="s">
        <v>8</v>
      </c>
      <c r="F5286" t="s">
        <v>427</v>
      </c>
      <c r="G5286" t="s">
        <v>258</v>
      </c>
      <c r="H5286" t="s">
        <v>259</v>
      </c>
      <c r="I5286" t="s">
        <v>260</v>
      </c>
    </row>
    <row r="5287" spans="1:9" x14ac:dyDescent="0.25">
      <c r="A5287" s="1" t="str">
        <f>HYPERLINK("https://lynxcrm-apac--c.eu19.visual.force.com/0011i000002IdAHAA0","Teo, Yi Lyn")</f>
        <v>Teo, Yi Lyn</v>
      </c>
      <c r="B5287" t="s">
        <v>9706</v>
      </c>
      <c r="C5287" t="s">
        <v>28</v>
      </c>
      <c r="D5287" t="s">
        <v>12</v>
      </c>
      <c r="E5287" t="s">
        <v>8</v>
      </c>
      <c r="F5287" t="s">
        <v>11</v>
      </c>
      <c r="G5287" t="s">
        <v>11</v>
      </c>
      <c r="H5287" t="s">
        <v>8</v>
      </c>
      <c r="I5287" t="s">
        <v>13</v>
      </c>
    </row>
    <row r="5288" spans="1:9" x14ac:dyDescent="0.25">
      <c r="A5288" s="1" t="str">
        <f>HYPERLINK("https://lynxcrm-apac--c.eu19.visual.force.com/0011i00000pa6PIAAY","Teo, Zhenwei")</f>
        <v>Teo, Zhenwei</v>
      </c>
      <c r="B5288" t="s">
        <v>9707</v>
      </c>
      <c r="C5288" t="s">
        <v>28</v>
      </c>
      <c r="D5288" t="s">
        <v>8</v>
      </c>
      <c r="E5288" t="s">
        <v>8</v>
      </c>
      <c r="F5288" t="s">
        <v>8</v>
      </c>
      <c r="G5288" t="s">
        <v>8</v>
      </c>
      <c r="H5288" t="s">
        <v>8</v>
      </c>
      <c r="I5288" t="s">
        <v>8</v>
      </c>
    </row>
    <row r="5289" spans="1:9" x14ac:dyDescent="0.25">
      <c r="A5289" s="1" t="str">
        <f>HYPERLINK("https://lynxcrm-apac--c.eu19.visual.force.com/0011i000001xnDgAAI","Teo Clinic &amp; Surgery")</f>
        <v>Teo Clinic &amp; Surgery</v>
      </c>
      <c r="B5289" t="s">
        <v>9708</v>
      </c>
      <c r="C5289" t="s">
        <v>10</v>
      </c>
      <c r="D5289" t="s">
        <v>8</v>
      </c>
      <c r="E5289" t="s">
        <v>8</v>
      </c>
      <c r="F5289" t="s">
        <v>1780</v>
      </c>
      <c r="G5289" t="s">
        <v>4064</v>
      </c>
      <c r="H5289" t="s">
        <v>9709</v>
      </c>
      <c r="I5289" t="s">
        <v>1783</v>
      </c>
    </row>
    <row r="5290" spans="1:9" x14ac:dyDescent="0.25">
      <c r="A5290" s="1" t="str">
        <f>HYPERLINK("https://lynxcrm-apac--c.eu19.visual.force.com/0011i000001xoYSAAY","Teoh, Charn Beng Stephen")</f>
        <v>Teoh, Charn Beng Stephen</v>
      </c>
      <c r="B5290" t="s">
        <v>9710</v>
      </c>
      <c r="C5290" t="s">
        <v>28</v>
      </c>
      <c r="D5290" t="s">
        <v>261</v>
      </c>
      <c r="E5290" t="s">
        <v>8</v>
      </c>
      <c r="F5290" t="s">
        <v>261</v>
      </c>
      <c r="G5290" t="s">
        <v>347</v>
      </c>
      <c r="H5290" t="s">
        <v>347</v>
      </c>
      <c r="I5290" t="s">
        <v>260</v>
      </c>
    </row>
    <row r="5291" spans="1:9" x14ac:dyDescent="0.25">
      <c r="A5291" s="1" t="str">
        <f>HYPERLINK("https://lynxcrm-apac--c.eu19.visual.force.com/0011i000001xoYSAAY","Teoh, Charn Beng Stephen")</f>
        <v>Teoh, Charn Beng Stephen</v>
      </c>
      <c r="B5291" t="s">
        <v>9710</v>
      </c>
      <c r="C5291" t="s">
        <v>28</v>
      </c>
      <c r="D5291" t="s">
        <v>1318</v>
      </c>
      <c r="E5291" t="s">
        <v>8</v>
      </c>
      <c r="F5291" t="s">
        <v>258</v>
      </c>
      <c r="G5291" t="s">
        <v>261</v>
      </c>
      <c r="H5291" t="s">
        <v>261</v>
      </c>
      <c r="I5291" t="s">
        <v>260</v>
      </c>
    </row>
    <row r="5292" spans="1:9" x14ac:dyDescent="0.25">
      <c r="A5292" s="1" t="str">
        <f>HYPERLINK("https://lynxcrm-apac--c.eu19.visual.force.com/0011i000001xnuFAAQ","Teoh, Che Chung Elvin")</f>
        <v>Teoh, Che Chung Elvin</v>
      </c>
      <c r="B5292" t="s">
        <v>9711</v>
      </c>
      <c r="C5292" t="s">
        <v>28</v>
      </c>
      <c r="D5292" t="s">
        <v>9712</v>
      </c>
      <c r="E5292" t="s">
        <v>8</v>
      </c>
      <c r="F5292" t="s">
        <v>9713</v>
      </c>
      <c r="G5292" t="s">
        <v>9714</v>
      </c>
      <c r="H5292" t="s">
        <v>9715</v>
      </c>
      <c r="I5292" t="s">
        <v>9716</v>
      </c>
    </row>
    <row r="5293" spans="1:9" x14ac:dyDescent="0.25">
      <c r="A5293" s="1" t="str">
        <f>HYPERLINK("https://lynxcrm-apac--c.eu19.visual.force.com/0011i000001xnuKAAQ","Teoh, Chin Sim")</f>
        <v>Teoh, Chin Sim</v>
      </c>
      <c r="B5293" t="s">
        <v>9717</v>
      </c>
      <c r="C5293" t="s">
        <v>28</v>
      </c>
      <c r="D5293" t="s">
        <v>9718</v>
      </c>
      <c r="E5293" t="s">
        <v>8</v>
      </c>
      <c r="F5293" t="s">
        <v>9719</v>
      </c>
      <c r="G5293" t="s">
        <v>9720</v>
      </c>
      <c r="H5293" t="s">
        <v>9720</v>
      </c>
      <c r="I5293" t="s">
        <v>9721</v>
      </c>
    </row>
    <row r="5294" spans="1:9" x14ac:dyDescent="0.25">
      <c r="A5294" s="1" t="str">
        <f>HYPERLINK("https://lynxcrm-apac--c.eu19.visual.force.com/0011i000001xnuLAAQ","Teoh, Guan Pin")</f>
        <v>Teoh, Guan Pin</v>
      </c>
      <c r="B5294" t="s">
        <v>9722</v>
      </c>
      <c r="C5294" t="s">
        <v>28</v>
      </c>
      <c r="D5294" t="s">
        <v>9723</v>
      </c>
      <c r="E5294" t="s">
        <v>8</v>
      </c>
      <c r="F5294" t="s">
        <v>3643</v>
      </c>
      <c r="G5294" t="s">
        <v>3644</v>
      </c>
      <c r="H5294" t="s">
        <v>3644</v>
      </c>
      <c r="I5294" t="s">
        <v>3645</v>
      </c>
    </row>
    <row r="5295" spans="1:9" x14ac:dyDescent="0.25">
      <c r="A5295" s="1" t="str">
        <f>HYPERLINK("https://lynxcrm-apac--c.eu19.visual.force.com/0011i000001xoQ6AAI","Teoh, Hock Luen")</f>
        <v>Teoh, Hock Luen</v>
      </c>
      <c r="B5295" t="s">
        <v>9724</v>
      </c>
      <c r="C5295" t="s">
        <v>28</v>
      </c>
      <c r="D5295" t="s">
        <v>429</v>
      </c>
      <c r="E5295" t="s">
        <v>8</v>
      </c>
      <c r="F5295" t="s">
        <v>429</v>
      </c>
      <c r="G5295" t="s">
        <v>428</v>
      </c>
      <c r="H5295" t="s">
        <v>428</v>
      </c>
      <c r="I5295" t="s">
        <v>430</v>
      </c>
    </row>
    <row r="5296" spans="1:9" x14ac:dyDescent="0.25">
      <c r="A5296" s="1" t="str">
        <f>HYPERLINK("https://lynxcrm-apac--c.eu19.visual.force.com/0011i000001xoQ6AAI","Teoh, Hock Luen")</f>
        <v>Teoh, Hock Luen</v>
      </c>
      <c r="B5296" t="s">
        <v>9724</v>
      </c>
      <c r="C5296" t="s">
        <v>28</v>
      </c>
      <c r="D5296" t="s">
        <v>429</v>
      </c>
      <c r="E5296" t="s">
        <v>8</v>
      </c>
      <c r="F5296" t="s">
        <v>444</v>
      </c>
      <c r="G5296" t="s">
        <v>444</v>
      </c>
      <c r="H5296" t="s">
        <v>8</v>
      </c>
      <c r="I5296" t="s">
        <v>430</v>
      </c>
    </row>
    <row r="5297" spans="1:9" x14ac:dyDescent="0.25">
      <c r="A5297" s="1" t="str">
        <f>HYPERLINK("https://lynxcrm-apac--c.eu19.visual.force.com/0011i000001xoQ6AAI","Teoh, Hock Luen")</f>
        <v>Teoh, Hock Luen</v>
      </c>
      <c r="B5297" t="s">
        <v>9724</v>
      </c>
      <c r="C5297" t="s">
        <v>28</v>
      </c>
      <c r="D5297" t="s">
        <v>429</v>
      </c>
      <c r="E5297" t="s">
        <v>8</v>
      </c>
      <c r="F5297" t="s">
        <v>445</v>
      </c>
      <c r="G5297" t="s">
        <v>428</v>
      </c>
      <c r="H5297" t="s">
        <v>428</v>
      </c>
      <c r="I5297" t="s">
        <v>430</v>
      </c>
    </row>
    <row r="5298" spans="1:9" x14ac:dyDescent="0.25">
      <c r="A5298" s="1" t="str">
        <f>HYPERLINK("https://lynxcrm-apac--c.eu19.visual.force.com/0011i000001xoQ6AAI","Teoh, Hock Luen")</f>
        <v>Teoh, Hock Luen</v>
      </c>
      <c r="B5298" t="s">
        <v>9724</v>
      </c>
      <c r="C5298" t="s">
        <v>28</v>
      </c>
      <c r="D5298" t="s">
        <v>429</v>
      </c>
      <c r="E5298" t="s">
        <v>8</v>
      </c>
      <c r="F5298" t="s">
        <v>444</v>
      </c>
      <c r="G5298" t="s">
        <v>444</v>
      </c>
      <c r="H5298" t="s">
        <v>8</v>
      </c>
      <c r="I5298" t="s">
        <v>8</v>
      </c>
    </row>
    <row r="5299" spans="1:9" x14ac:dyDescent="0.25">
      <c r="A5299" s="1" t="str">
        <f>HYPERLINK("https://lynxcrm-apac--c.eu19.visual.force.com/0011i000001xopOAAQ","Teoh, Hui Joo")</f>
        <v>Teoh, Hui Joo</v>
      </c>
      <c r="B5299" t="s">
        <v>9725</v>
      </c>
      <c r="C5299" t="s">
        <v>28</v>
      </c>
      <c r="D5299" t="s">
        <v>1164</v>
      </c>
      <c r="E5299" t="s">
        <v>8</v>
      </c>
      <c r="F5299" t="s">
        <v>1165</v>
      </c>
      <c r="G5299" t="s">
        <v>1166</v>
      </c>
      <c r="H5299" t="s">
        <v>1166</v>
      </c>
      <c r="I5299" t="s">
        <v>1167</v>
      </c>
    </row>
    <row r="5300" spans="1:9" x14ac:dyDescent="0.25">
      <c r="A5300" s="1" t="str">
        <f>HYPERLINK("https://lynxcrm-apac--c.eu19.visual.force.com/0011i000001xopOAAQ","Teoh, Hui Joo")</f>
        <v>Teoh, Hui Joo</v>
      </c>
      <c r="B5300" t="s">
        <v>9725</v>
      </c>
      <c r="C5300" t="s">
        <v>28</v>
      </c>
      <c r="D5300" t="s">
        <v>1164</v>
      </c>
      <c r="E5300" t="s">
        <v>8</v>
      </c>
      <c r="F5300" t="s">
        <v>1165</v>
      </c>
      <c r="G5300" t="s">
        <v>1165</v>
      </c>
      <c r="H5300" t="s">
        <v>3621</v>
      </c>
      <c r="I5300" t="s">
        <v>1167</v>
      </c>
    </row>
    <row r="5301" spans="1:9" x14ac:dyDescent="0.25">
      <c r="A5301" s="1" t="str">
        <f>HYPERLINK("https://lynxcrm-apac--c.eu19.visual.force.com/0011i000001xoEPAAY","Teoh, Mei Lin")</f>
        <v>Teoh, Mei Lin</v>
      </c>
      <c r="B5301" t="s">
        <v>9726</v>
      </c>
      <c r="C5301" t="s">
        <v>28</v>
      </c>
      <c r="D5301" t="s">
        <v>9727</v>
      </c>
      <c r="E5301" t="s">
        <v>8</v>
      </c>
      <c r="F5301" t="s">
        <v>252</v>
      </c>
      <c r="G5301" t="s">
        <v>251</v>
      </c>
      <c r="H5301" t="s">
        <v>251</v>
      </c>
      <c r="I5301" t="s">
        <v>253</v>
      </c>
    </row>
    <row r="5302" spans="1:9" x14ac:dyDescent="0.25">
      <c r="A5302" s="1" t="str">
        <f>HYPERLINK("https://lynxcrm-apac--c.eu19.visual.force.com/0011i000001xop7AAA","Teoh, Pui Pui Rachael")</f>
        <v>Teoh, Pui Pui Rachael</v>
      </c>
      <c r="B5302" t="s">
        <v>9728</v>
      </c>
      <c r="C5302" t="s">
        <v>28</v>
      </c>
      <c r="D5302" t="s">
        <v>9729</v>
      </c>
      <c r="E5302" t="s">
        <v>8</v>
      </c>
      <c r="F5302" t="s">
        <v>2966</v>
      </c>
      <c r="G5302" t="s">
        <v>2967</v>
      </c>
      <c r="H5302" t="s">
        <v>2967</v>
      </c>
      <c r="I5302" t="s">
        <v>2968</v>
      </c>
    </row>
    <row r="5303" spans="1:9" x14ac:dyDescent="0.25">
      <c r="A5303" s="1" t="str">
        <f>HYPERLINK("https://lynxcrm-apac--c.eu19.visual.force.com/0011i000001xoDoAAI","Teoh, Robin Elizabeth")</f>
        <v>Teoh, Robin Elizabeth</v>
      </c>
      <c r="B5303" t="s">
        <v>9730</v>
      </c>
      <c r="C5303" t="s">
        <v>28</v>
      </c>
      <c r="D5303" t="s">
        <v>3489</v>
      </c>
      <c r="E5303" t="s">
        <v>8</v>
      </c>
      <c r="F5303" t="s">
        <v>679</v>
      </c>
      <c r="G5303" t="s">
        <v>3490</v>
      </c>
      <c r="H5303" t="s">
        <v>3490</v>
      </c>
      <c r="I5303" t="s">
        <v>115</v>
      </c>
    </row>
    <row r="5304" spans="1:9" x14ac:dyDescent="0.25">
      <c r="A5304" s="1" t="str">
        <f>HYPERLINK("https://lynxcrm-apac--c.eu19.visual.force.com/0011i000001xnuOAAQ","Teoh, Tiong Ann")</f>
        <v>Teoh, Tiong Ann</v>
      </c>
      <c r="B5304" t="s">
        <v>9731</v>
      </c>
      <c r="C5304" t="s">
        <v>28</v>
      </c>
      <c r="D5304" t="s">
        <v>9732</v>
      </c>
      <c r="E5304" t="s">
        <v>8</v>
      </c>
      <c r="F5304" t="s">
        <v>377</v>
      </c>
      <c r="G5304" t="s">
        <v>9733</v>
      </c>
      <c r="H5304" t="s">
        <v>9734</v>
      </c>
      <c r="I5304" t="s">
        <v>123</v>
      </c>
    </row>
    <row r="5305" spans="1:9" x14ac:dyDescent="0.25">
      <c r="A5305" s="1" t="str">
        <f>HYPERLINK("https://lynxcrm-apac--c.eu19.visual.force.com/0011i000001xmoSAAQ","Teoh Colon,Rectum &amp; General Surgery")</f>
        <v>Teoh Colon,Rectum &amp; General Surgery</v>
      </c>
      <c r="B5305" t="s">
        <v>9735</v>
      </c>
      <c r="C5305" t="s">
        <v>10</v>
      </c>
      <c r="D5305" t="s">
        <v>8</v>
      </c>
      <c r="E5305" t="s">
        <v>8</v>
      </c>
      <c r="F5305" t="s">
        <v>377</v>
      </c>
      <c r="G5305" t="s">
        <v>9733</v>
      </c>
      <c r="H5305" t="s">
        <v>9734</v>
      </c>
      <c r="I5305" t="s">
        <v>123</v>
      </c>
    </row>
    <row r="5306" spans="1:9" x14ac:dyDescent="0.25">
      <c r="A5306" s="1" t="str">
        <f>HYPERLINK("https://lynxcrm-apac--c.eu19.visual.force.com/0011i000001xoAIAAY","Tew, Chee Wee")</f>
        <v>Tew, Chee Wee</v>
      </c>
      <c r="B5306" t="s">
        <v>9736</v>
      </c>
      <c r="C5306" t="s">
        <v>28</v>
      </c>
      <c r="D5306" t="s">
        <v>501</v>
      </c>
      <c r="E5306" t="s">
        <v>8</v>
      </c>
      <c r="F5306" t="s">
        <v>359</v>
      </c>
      <c r="G5306" t="s">
        <v>502</v>
      </c>
      <c r="H5306" t="s">
        <v>503</v>
      </c>
      <c r="I5306" t="s">
        <v>506</v>
      </c>
    </row>
    <row r="5307" spans="1:9" x14ac:dyDescent="0.25">
      <c r="A5307" s="1" t="str">
        <f>HYPERLINK("https://lynxcrm-apac--c.eu19.visual.force.com/0011i000001xooWAAQ","Tewani, Komal-Girish")</f>
        <v>Tewani, Komal-Girish</v>
      </c>
      <c r="B5307" t="s">
        <v>9737</v>
      </c>
      <c r="C5307" t="s">
        <v>28</v>
      </c>
      <c r="D5307" t="s">
        <v>1164</v>
      </c>
      <c r="E5307" t="s">
        <v>8</v>
      </c>
      <c r="F5307" t="s">
        <v>1165</v>
      </c>
      <c r="G5307" t="s">
        <v>1166</v>
      </c>
      <c r="H5307" t="s">
        <v>1166</v>
      </c>
      <c r="I5307" t="s">
        <v>1167</v>
      </c>
    </row>
    <row r="5308" spans="1:9" x14ac:dyDescent="0.25">
      <c r="A5308" s="1" t="str">
        <f>HYPERLINK("https://lynxcrm-apac--c.eu19.visual.force.com/0011i000001xooWAAQ","Tewani, Komal-Girish")</f>
        <v>Tewani, Komal-Girish</v>
      </c>
      <c r="B5308" t="s">
        <v>9737</v>
      </c>
      <c r="C5308" t="s">
        <v>28</v>
      </c>
      <c r="D5308" t="s">
        <v>1164</v>
      </c>
      <c r="E5308" t="s">
        <v>8</v>
      </c>
      <c r="F5308" t="s">
        <v>1165</v>
      </c>
      <c r="G5308" t="s">
        <v>1165</v>
      </c>
      <c r="H5308" t="s">
        <v>3621</v>
      </c>
      <c r="I5308" t="s">
        <v>1167</v>
      </c>
    </row>
    <row r="5309" spans="1:9" x14ac:dyDescent="0.25">
      <c r="A5309" s="1" t="str">
        <f>HYPERLINK("https://lynxcrm-apac--c.eu19.visual.force.com/0011i000001xo6kAAA","Tey, Beng Hea")</f>
        <v>Tey, Beng Hea</v>
      </c>
      <c r="B5309" t="s">
        <v>9738</v>
      </c>
      <c r="C5309" t="s">
        <v>28</v>
      </c>
      <c r="D5309" t="s">
        <v>501</v>
      </c>
      <c r="E5309" t="s">
        <v>8</v>
      </c>
      <c r="F5309" t="s">
        <v>246</v>
      </c>
      <c r="G5309" t="s">
        <v>502</v>
      </c>
      <c r="H5309" t="s">
        <v>503</v>
      </c>
      <c r="I5309" t="s">
        <v>504</v>
      </c>
    </row>
    <row r="5310" spans="1:9" x14ac:dyDescent="0.25">
      <c r="A5310" s="1" t="str">
        <f>HYPERLINK("https://lynxcrm-apac--c.eu19.visual.force.com/0011i000001xoaMAAQ","Tey, Colin")</f>
        <v>Tey, Colin</v>
      </c>
      <c r="B5310" t="s">
        <v>9739</v>
      </c>
      <c r="C5310" t="s">
        <v>28</v>
      </c>
      <c r="D5310" t="s">
        <v>9740</v>
      </c>
      <c r="E5310" t="s">
        <v>8</v>
      </c>
      <c r="F5310" t="s">
        <v>5088</v>
      </c>
      <c r="G5310" t="s">
        <v>5089</v>
      </c>
      <c r="H5310" t="s">
        <v>5090</v>
      </c>
      <c r="I5310" t="s">
        <v>3811</v>
      </c>
    </row>
    <row r="5311" spans="1:9" x14ac:dyDescent="0.25">
      <c r="A5311" s="1" t="str">
        <f>HYPERLINK("https://lynxcrm-apac--c.eu19.visual.force.com/0011i000001xob0AAA","Tey, Thomas")</f>
        <v>Tey, Thomas</v>
      </c>
      <c r="B5311" t="s">
        <v>9741</v>
      </c>
      <c r="C5311" t="s">
        <v>28</v>
      </c>
      <c r="D5311" t="s">
        <v>1242</v>
      </c>
      <c r="E5311" t="s">
        <v>8</v>
      </c>
      <c r="F5311" t="s">
        <v>258</v>
      </c>
      <c r="G5311" t="s">
        <v>261</v>
      </c>
      <c r="H5311" t="s">
        <v>261</v>
      </c>
      <c r="I5311" t="s">
        <v>260</v>
      </c>
    </row>
    <row r="5312" spans="1:9" x14ac:dyDescent="0.25">
      <c r="A5312" s="1" t="str">
        <f>HYPERLINK("https://lynxcrm-apac--c.eu19.visual.force.com/0011i000001xob0AAA","Tey, Thomas")</f>
        <v>Tey, Thomas</v>
      </c>
      <c r="B5312" t="s">
        <v>9741</v>
      </c>
      <c r="C5312" t="s">
        <v>28</v>
      </c>
      <c r="D5312" t="s">
        <v>261</v>
      </c>
      <c r="E5312" t="s">
        <v>8</v>
      </c>
      <c r="F5312" t="s">
        <v>261</v>
      </c>
      <c r="G5312" t="s">
        <v>347</v>
      </c>
      <c r="H5312" t="s">
        <v>347</v>
      </c>
      <c r="I5312" t="s">
        <v>260</v>
      </c>
    </row>
    <row r="5313" spans="1:9" x14ac:dyDescent="0.25">
      <c r="A5313" s="1" t="str">
        <f>HYPERLINK("https://lynxcrm-apac--c.eu19.visual.force.com/0011i000007DsJzAAK","T G NG KIDNEY &amp; Medical Centre")</f>
        <v>T G NG KIDNEY &amp; Medical Centre</v>
      </c>
      <c r="B5313" t="s">
        <v>9742</v>
      </c>
      <c r="C5313" t="s">
        <v>10</v>
      </c>
      <c r="D5313" t="s">
        <v>8</v>
      </c>
      <c r="E5313" t="s">
        <v>8</v>
      </c>
      <c r="F5313" t="s">
        <v>7164</v>
      </c>
      <c r="G5313" t="s">
        <v>7165</v>
      </c>
      <c r="H5313" t="s">
        <v>8</v>
      </c>
      <c r="I5313" t="s">
        <v>67</v>
      </c>
    </row>
    <row r="5314" spans="1:9" x14ac:dyDescent="0.25">
      <c r="A5314" s="1" t="str">
        <f>HYPERLINK("https://lynxcrm-apac--c.eu19.visual.force.com/0011i000001xmmzAAA","Thai Shen Family Clinic")</f>
        <v>Thai Shen Family Clinic</v>
      </c>
      <c r="B5314" t="s">
        <v>9743</v>
      </c>
      <c r="C5314" t="s">
        <v>10</v>
      </c>
      <c r="D5314" t="s">
        <v>8</v>
      </c>
      <c r="E5314" t="s">
        <v>8</v>
      </c>
      <c r="F5314" t="s">
        <v>5627</v>
      </c>
      <c r="G5314" t="s">
        <v>3170</v>
      </c>
      <c r="H5314" t="s">
        <v>3170</v>
      </c>
      <c r="I5314" t="s">
        <v>5629</v>
      </c>
    </row>
    <row r="5315" spans="1:9" x14ac:dyDescent="0.25">
      <c r="A5315" s="1" t="str">
        <f>HYPERLINK("https://lynxcrm-apac--c.eu19.visual.force.com/0011i000001xnuPAAQ","Tham, Hoe Meng Alan")</f>
        <v>Tham, Hoe Meng Alan</v>
      </c>
      <c r="B5315" t="s">
        <v>9744</v>
      </c>
      <c r="C5315" t="s">
        <v>28</v>
      </c>
      <c r="D5315" t="s">
        <v>9745</v>
      </c>
      <c r="E5315" t="s">
        <v>8</v>
      </c>
      <c r="F5315" t="s">
        <v>3108</v>
      </c>
      <c r="G5315" t="s">
        <v>3109</v>
      </c>
      <c r="H5315" t="s">
        <v>3109</v>
      </c>
      <c r="I5315" t="s">
        <v>1675</v>
      </c>
    </row>
    <row r="5316" spans="1:9" x14ac:dyDescent="0.25">
      <c r="A5316" s="1" t="str">
        <f>HYPERLINK("https://lynxcrm-apac--c.eu19.visual.force.com/0011i000001xoWpAAI","Tham, Kok Fun")</f>
        <v>Tham, Kok Fun</v>
      </c>
      <c r="B5316" t="s">
        <v>9746</v>
      </c>
      <c r="C5316" t="s">
        <v>28</v>
      </c>
      <c r="D5316" t="s">
        <v>9747</v>
      </c>
      <c r="E5316" t="s">
        <v>8</v>
      </c>
      <c r="F5316" t="s">
        <v>469</v>
      </c>
      <c r="G5316" t="s">
        <v>7278</v>
      </c>
      <c r="H5316" t="s">
        <v>7279</v>
      </c>
      <c r="I5316" t="s">
        <v>466</v>
      </c>
    </row>
    <row r="5317" spans="1:9" x14ac:dyDescent="0.25">
      <c r="A5317" s="1" t="str">
        <f>HYPERLINK("https://lynxcrm-apac--c.eu19.visual.force.com/0011i000001xo6lAAA","Tham, Kum Ying")</f>
        <v>Tham, Kum Ying</v>
      </c>
      <c r="B5317" t="s">
        <v>9748</v>
      </c>
      <c r="C5317" t="s">
        <v>28</v>
      </c>
      <c r="D5317" t="s">
        <v>261</v>
      </c>
      <c r="E5317" t="s">
        <v>8</v>
      </c>
      <c r="F5317" t="s">
        <v>366</v>
      </c>
      <c r="G5317" t="s">
        <v>258</v>
      </c>
      <c r="H5317" t="s">
        <v>258</v>
      </c>
      <c r="I5317" t="s">
        <v>260</v>
      </c>
    </row>
    <row r="5318" spans="1:9" x14ac:dyDescent="0.25">
      <c r="A5318" s="1" t="str">
        <f>HYPERLINK("https://lynxcrm-apac--c.eu19.visual.force.com/0011i000001xo6lAAA","Tham, Kum Ying")</f>
        <v>Tham, Kum Ying</v>
      </c>
      <c r="B5318" t="s">
        <v>9748</v>
      </c>
      <c r="C5318" t="s">
        <v>28</v>
      </c>
      <c r="D5318" t="s">
        <v>261</v>
      </c>
      <c r="E5318" t="s">
        <v>8</v>
      </c>
      <c r="F5318" t="s">
        <v>261</v>
      </c>
      <c r="G5318" t="s">
        <v>347</v>
      </c>
      <c r="H5318" t="s">
        <v>347</v>
      </c>
      <c r="I5318" t="s">
        <v>260</v>
      </c>
    </row>
    <row r="5319" spans="1:9" x14ac:dyDescent="0.25">
      <c r="A5319" s="1" t="str">
        <f>HYPERLINK("https://lynxcrm-apac--c.eu19.visual.force.com/0011i000001xoYrAAI","Tham, Meng Choon")</f>
        <v>Tham, Meng Choon</v>
      </c>
      <c r="B5319" t="s">
        <v>9749</v>
      </c>
      <c r="C5319" t="s">
        <v>28</v>
      </c>
      <c r="D5319" t="s">
        <v>550</v>
      </c>
      <c r="E5319" t="s">
        <v>8</v>
      </c>
      <c r="F5319" t="s">
        <v>2342</v>
      </c>
      <c r="G5319" t="s">
        <v>919</v>
      </c>
      <c r="H5319" t="s">
        <v>919</v>
      </c>
      <c r="I5319" t="s">
        <v>554</v>
      </c>
    </row>
    <row r="5320" spans="1:9" x14ac:dyDescent="0.25">
      <c r="A5320" s="1" t="str">
        <f>HYPERLINK("https://lynxcrm-apac--c.eu19.visual.force.com/0011i000001xnuTAAQ","Tham, Meng Keat")</f>
        <v>Tham, Meng Keat</v>
      </c>
      <c r="B5320" t="s">
        <v>9750</v>
      </c>
      <c r="C5320" t="s">
        <v>28</v>
      </c>
      <c r="D5320" t="s">
        <v>9751</v>
      </c>
      <c r="E5320" t="s">
        <v>8</v>
      </c>
      <c r="F5320" t="s">
        <v>377</v>
      </c>
      <c r="G5320" t="s">
        <v>9752</v>
      </c>
      <c r="H5320" t="s">
        <v>9752</v>
      </c>
      <c r="I5320" t="s">
        <v>123</v>
      </c>
    </row>
    <row r="5321" spans="1:9" x14ac:dyDescent="0.25">
      <c r="A5321" s="1" t="str">
        <f>HYPERLINK("https://lynxcrm-apac--c.eu19.visual.force.com/0011i000001xnuUAAQ","Tham, Ngiap Boo")</f>
        <v>Tham, Ngiap Boo</v>
      </c>
      <c r="B5321" t="s">
        <v>9753</v>
      </c>
      <c r="C5321" t="s">
        <v>28</v>
      </c>
      <c r="D5321" t="s">
        <v>9754</v>
      </c>
      <c r="E5321" t="s">
        <v>8</v>
      </c>
      <c r="F5321" t="s">
        <v>9755</v>
      </c>
      <c r="G5321" t="s">
        <v>9756</v>
      </c>
      <c r="H5321" t="s">
        <v>9757</v>
      </c>
      <c r="I5321" t="s">
        <v>9758</v>
      </c>
    </row>
    <row r="5322" spans="1:9" x14ac:dyDescent="0.25">
      <c r="A5322" s="1" t="str">
        <f>HYPERLINK("https://lynxcrm-apac--c.eu19.visual.force.com/0011i000001xnuVAAQ","Tham, Pak Onn")</f>
        <v>Tham, Pak Onn</v>
      </c>
      <c r="B5322" t="s">
        <v>9759</v>
      </c>
      <c r="C5322" t="s">
        <v>28</v>
      </c>
      <c r="D5322" t="s">
        <v>9760</v>
      </c>
      <c r="E5322" t="s">
        <v>8</v>
      </c>
      <c r="F5322" t="s">
        <v>9761</v>
      </c>
      <c r="G5322" t="s">
        <v>9761</v>
      </c>
      <c r="H5322" t="s">
        <v>9762</v>
      </c>
      <c r="I5322" t="s">
        <v>9763</v>
      </c>
    </row>
    <row r="5323" spans="1:9" x14ac:dyDescent="0.25">
      <c r="A5323" s="1" t="str">
        <f>HYPERLINK("https://lynxcrm-apac--c.eu19.visual.force.com/0011i000001xoOrAAI","Tham, Tuck Seng")</f>
        <v>Tham, Tuck Seng</v>
      </c>
      <c r="B5323" t="s">
        <v>9764</v>
      </c>
      <c r="C5323" t="s">
        <v>28</v>
      </c>
      <c r="D5323" t="s">
        <v>9659</v>
      </c>
      <c r="E5323" t="s">
        <v>8</v>
      </c>
      <c r="F5323" t="s">
        <v>1030</v>
      </c>
      <c r="G5323" t="s">
        <v>1027</v>
      </c>
      <c r="H5323" t="s">
        <v>1031</v>
      </c>
      <c r="I5323" t="s">
        <v>1028</v>
      </c>
    </row>
    <row r="5324" spans="1:9" x14ac:dyDescent="0.25">
      <c r="A5324" s="1" t="str">
        <f>HYPERLINK("https://lynxcrm-apac--c.eu19.visual.force.com/0011i00000jv276AAA","Tham, Ye Ni")</f>
        <v>Tham, Ye Ni</v>
      </c>
      <c r="B5324" t="s">
        <v>9765</v>
      </c>
      <c r="C5324" t="s">
        <v>28</v>
      </c>
      <c r="D5324" t="s">
        <v>8</v>
      </c>
      <c r="E5324" t="s">
        <v>8</v>
      </c>
      <c r="F5324" t="s">
        <v>8</v>
      </c>
      <c r="G5324" t="s">
        <v>8</v>
      </c>
      <c r="H5324" t="s">
        <v>8</v>
      </c>
      <c r="I5324" t="s">
        <v>8</v>
      </c>
    </row>
    <row r="5325" spans="1:9" x14ac:dyDescent="0.25">
      <c r="A5325" s="1" t="str">
        <f>HYPERLINK("https://lynxcrm-apac--c.eu19.visual.force.com/0011i000001xmfYAAQ","Tham Dispensary")</f>
        <v>Tham Dispensary</v>
      </c>
      <c r="B5325" t="s">
        <v>9766</v>
      </c>
      <c r="C5325" t="s">
        <v>10</v>
      </c>
      <c r="D5325" t="s">
        <v>8</v>
      </c>
      <c r="E5325" t="s">
        <v>8</v>
      </c>
      <c r="F5325" t="s">
        <v>9761</v>
      </c>
      <c r="G5325" t="s">
        <v>9761</v>
      </c>
      <c r="H5325" t="s">
        <v>9762</v>
      </c>
      <c r="I5325" t="s">
        <v>9763</v>
      </c>
    </row>
    <row r="5326" spans="1:9" x14ac:dyDescent="0.25">
      <c r="A5326" s="1" t="str">
        <f>HYPERLINK("https://lynxcrm-apac--c.eu19.visual.force.com/0011i00000pb5SxAAI","Tharaka, Nisha")</f>
        <v>Tharaka, Nisha</v>
      </c>
      <c r="B5326" t="s">
        <v>9767</v>
      </c>
      <c r="C5326" t="s">
        <v>28</v>
      </c>
      <c r="D5326" t="s">
        <v>545</v>
      </c>
      <c r="E5326" t="s">
        <v>8</v>
      </c>
      <c r="F5326" t="s">
        <v>546</v>
      </c>
      <c r="G5326" t="s">
        <v>547</v>
      </c>
      <c r="H5326" t="s">
        <v>547</v>
      </c>
      <c r="I5326" t="s">
        <v>548</v>
      </c>
    </row>
    <row r="5327" spans="1:9" x14ac:dyDescent="0.25">
      <c r="A5327" s="1" t="str">
        <f>HYPERLINK("https://lynxcrm-apac--c.eu19.visual.force.com/0011i00000vHmOyAAK","Tharsan, Renganathan")</f>
        <v>Tharsan, Renganathan</v>
      </c>
      <c r="B5327" t="s">
        <v>9768</v>
      </c>
      <c r="C5327" t="s">
        <v>28</v>
      </c>
      <c r="D5327" t="s">
        <v>21</v>
      </c>
      <c r="E5327" t="s">
        <v>8</v>
      </c>
      <c r="F5327" t="s">
        <v>699</v>
      </c>
      <c r="G5327" t="s">
        <v>699</v>
      </c>
      <c r="H5327" t="s">
        <v>8</v>
      </c>
      <c r="I5327" t="s">
        <v>22</v>
      </c>
    </row>
    <row r="5328" spans="1:9" x14ac:dyDescent="0.25">
      <c r="A5328" s="1" t="str">
        <f>HYPERLINK("https://lynxcrm-apac--c.eu19.visual.force.com/0011i000001xmyeAAA","Thean Clinic")</f>
        <v>Thean Clinic</v>
      </c>
      <c r="B5328" t="s">
        <v>9769</v>
      </c>
      <c r="C5328" t="s">
        <v>10</v>
      </c>
      <c r="D5328" t="s">
        <v>8</v>
      </c>
      <c r="E5328" t="s">
        <v>8</v>
      </c>
      <c r="F5328" t="s">
        <v>5299</v>
      </c>
      <c r="G5328" t="s">
        <v>5300</v>
      </c>
      <c r="H5328" t="s">
        <v>5301</v>
      </c>
      <c r="I5328" t="s">
        <v>5302</v>
      </c>
    </row>
    <row r="5329" spans="1:9" x14ac:dyDescent="0.25">
      <c r="A5329" s="1" t="str">
        <f>HYPERLINK("https://lynxcrm-apac--c.eu19.visual.force.com/0011i000001xmw8AAA","The Arcadia Clinic")</f>
        <v>The Arcadia Clinic</v>
      </c>
      <c r="B5329" t="s">
        <v>9770</v>
      </c>
      <c r="C5329" t="s">
        <v>10</v>
      </c>
      <c r="D5329" t="s">
        <v>8</v>
      </c>
      <c r="E5329" t="s">
        <v>8</v>
      </c>
      <c r="F5329" t="s">
        <v>5904</v>
      </c>
      <c r="G5329" t="s">
        <v>5905</v>
      </c>
      <c r="H5329" t="s">
        <v>5906</v>
      </c>
      <c r="I5329" t="s">
        <v>5907</v>
      </c>
    </row>
    <row r="5330" spans="1:9" x14ac:dyDescent="0.25">
      <c r="A5330" s="1" t="str">
        <f>HYPERLINK("https://lynxcrm-apac--c.eu19.visual.force.com/0011i000001xmk9AAA","The Bishan Family Doctors")</f>
        <v>The Bishan Family Doctors</v>
      </c>
      <c r="B5330" t="s">
        <v>9771</v>
      </c>
      <c r="C5330" t="s">
        <v>10</v>
      </c>
      <c r="D5330" t="s">
        <v>8</v>
      </c>
      <c r="E5330" t="s">
        <v>8</v>
      </c>
      <c r="F5330" t="s">
        <v>9772</v>
      </c>
      <c r="G5330" t="s">
        <v>9773</v>
      </c>
      <c r="H5330" t="s">
        <v>9773</v>
      </c>
      <c r="I5330" t="s">
        <v>458</v>
      </c>
    </row>
    <row r="5331" spans="1:9" x14ac:dyDescent="0.25">
      <c r="A5331" s="1" t="str">
        <f>HYPERLINK("https://lynxcrm-apac--c.eu19.visual.force.com/0011i000001xmgyAAA","The Bonham Clinic")</f>
        <v>The Bonham Clinic</v>
      </c>
      <c r="B5331" t="s">
        <v>9774</v>
      </c>
      <c r="C5331" t="s">
        <v>10</v>
      </c>
      <c r="D5331" t="s">
        <v>8</v>
      </c>
      <c r="E5331" t="s">
        <v>8</v>
      </c>
      <c r="F5331" t="s">
        <v>3087</v>
      </c>
      <c r="G5331" t="s">
        <v>3088</v>
      </c>
      <c r="H5331" t="s">
        <v>3088</v>
      </c>
      <c r="I5331" t="s">
        <v>3089</v>
      </c>
    </row>
    <row r="5332" spans="1:9" x14ac:dyDescent="0.25">
      <c r="A5332" s="1" t="str">
        <f>HYPERLINK("https://lynxcrm-apac--c.eu19.visual.force.com/0011i000001xmp7AAA","The Bonham Clinic")</f>
        <v>The Bonham Clinic</v>
      </c>
      <c r="B5332" t="s">
        <v>9775</v>
      </c>
      <c r="C5332" t="s">
        <v>10</v>
      </c>
      <c r="D5332" t="s">
        <v>8</v>
      </c>
      <c r="E5332" t="s">
        <v>8</v>
      </c>
      <c r="F5332" t="s">
        <v>8502</v>
      </c>
      <c r="G5332" t="s">
        <v>8503</v>
      </c>
      <c r="H5332" t="s">
        <v>8503</v>
      </c>
      <c r="I5332" t="s">
        <v>8504</v>
      </c>
    </row>
    <row r="5333" spans="1:9" x14ac:dyDescent="0.25">
      <c r="A5333" s="1" t="str">
        <f>HYPERLINK("https://lynxcrm-apac--c.eu19.visual.force.com/0011i000001xnJUAAY","The Brain &amp; Spine Clinic")</f>
        <v>The Brain &amp; Spine Clinic</v>
      </c>
      <c r="B5333" t="s">
        <v>9776</v>
      </c>
      <c r="C5333" t="s">
        <v>10</v>
      </c>
      <c r="D5333" t="s">
        <v>8</v>
      </c>
      <c r="E5333" t="s">
        <v>8</v>
      </c>
      <c r="F5333" t="s">
        <v>469</v>
      </c>
      <c r="G5333" t="s">
        <v>3834</v>
      </c>
      <c r="H5333" t="s">
        <v>9777</v>
      </c>
      <c r="I5333" t="s">
        <v>466</v>
      </c>
    </row>
    <row r="5334" spans="1:9" x14ac:dyDescent="0.25">
      <c r="A5334" s="1" t="str">
        <f>HYPERLINK("https://lynxcrm-apac--c.eu19.visual.force.com/0011i00000Xf148AAB","The Cancer Centre")</f>
        <v>The Cancer Centre</v>
      </c>
      <c r="B5334" t="s">
        <v>9778</v>
      </c>
      <c r="C5334" t="s">
        <v>10</v>
      </c>
      <c r="D5334" t="s">
        <v>8</v>
      </c>
      <c r="E5334" t="s">
        <v>8</v>
      </c>
      <c r="F5334" t="s">
        <v>9779</v>
      </c>
      <c r="G5334" t="s">
        <v>9780</v>
      </c>
      <c r="H5334" t="s">
        <v>8</v>
      </c>
      <c r="I5334" t="s">
        <v>85</v>
      </c>
    </row>
    <row r="5335" spans="1:9" x14ac:dyDescent="0.25">
      <c r="A5335" s="1" t="str">
        <f>HYPERLINK("https://lynxcrm-apac--c.eu19.visual.force.com/0011i000001xnAbAAI","The Cardiac Centre")</f>
        <v>The Cardiac Centre</v>
      </c>
      <c r="B5335" t="s">
        <v>9781</v>
      </c>
      <c r="C5335" t="s">
        <v>10</v>
      </c>
      <c r="D5335" t="s">
        <v>8</v>
      </c>
      <c r="E5335" t="s">
        <v>8</v>
      </c>
      <c r="F5335" t="s">
        <v>377</v>
      </c>
      <c r="G5335" t="s">
        <v>9782</v>
      </c>
      <c r="H5335" t="s">
        <v>9783</v>
      </c>
      <c r="I5335" t="s">
        <v>123</v>
      </c>
    </row>
    <row r="5336" spans="1:9" x14ac:dyDescent="0.25">
      <c r="A5336" s="1" t="str">
        <f>HYPERLINK("https://lynxcrm-apac--c.eu19.visual.force.com/0011i000001xnAbAAI","The Cardiac Centre")</f>
        <v>The Cardiac Centre</v>
      </c>
      <c r="B5336" t="s">
        <v>9781</v>
      </c>
      <c r="C5336" t="s">
        <v>10</v>
      </c>
      <c r="D5336" t="s">
        <v>8</v>
      </c>
      <c r="E5336" t="s">
        <v>8</v>
      </c>
      <c r="F5336" t="s">
        <v>1801</v>
      </c>
      <c r="G5336" t="s">
        <v>9784</v>
      </c>
      <c r="H5336" t="s">
        <v>8</v>
      </c>
      <c r="I5336" t="s">
        <v>9785</v>
      </c>
    </row>
    <row r="5337" spans="1:9" x14ac:dyDescent="0.25">
      <c r="A5337" s="1" t="str">
        <f>HYPERLINK("https://lynxcrm-apac--c.eu19.visual.force.com/0011i000001xmsgAAA","The Chest &amp; Internal Medicine Clinic")</f>
        <v>The Chest &amp; Internal Medicine Clinic</v>
      </c>
      <c r="B5337" t="s">
        <v>9786</v>
      </c>
      <c r="C5337" t="s">
        <v>10</v>
      </c>
      <c r="D5337" t="s">
        <v>8</v>
      </c>
      <c r="E5337" t="s">
        <v>8</v>
      </c>
      <c r="F5337" t="s">
        <v>2021</v>
      </c>
      <c r="G5337" t="s">
        <v>8858</v>
      </c>
      <c r="H5337" t="s">
        <v>8858</v>
      </c>
      <c r="I5337" t="s">
        <v>344</v>
      </c>
    </row>
    <row r="5338" spans="1:9" x14ac:dyDescent="0.25">
      <c r="A5338" s="1" t="str">
        <f>HYPERLINK("https://lynxcrm-apac--c.eu19.visual.force.com/0011i000001xmkNAAQ","The Chungkhiaw Family Practice")</f>
        <v>The Chungkhiaw Family Practice</v>
      </c>
      <c r="B5338" t="s">
        <v>9787</v>
      </c>
      <c r="C5338" t="s">
        <v>10</v>
      </c>
      <c r="D5338" t="s">
        <v>8</v>
      </c>
      <c r="E5338" t="s">
        <v>8</v>
      </c>
      <c r="F5338" t="s">
        <v>2405</v>
      </c>
      <c r="G5338" t="s">
        <v>2405</v>
      </c>
      <c r="H5338" t="s">
        <v>8</v>
      </c>
      <c r="I5338" t="s">
        <v>2406</v>
      </c>
    </row>
    <row r="5339" spans="1:9" x14ac:dyDescent="0.25">
      <c r="A5339" s="1" t="str">
        <f>HYPERLINK("https://lynxcrm-apac--c.eu19.visual.force.com/0011i000001xnApAAI","The Chungkiaw Family Practice")</f>
        <v>The Chungkiaw Family Practice</v>
      </c>
      <c r="B5339" t="s">
        <v>9788</v>
      </c>
      <c r="C5339" t="s">
        <v>10</v>
      </c>
      <c r="D5339" t="s">
        <v>8</v>
      </c>
      <c r="E5339" t="s">
        <v>8</v>
      </c>
      <c r="F5339" t="s">
        <v>5047</v>
      </c>
      <c r="G5339" t="s">
        <v>5048</v>
      </c>
      <c r="H5339" t="s">
        <v>5048</v>
      </c>
      <c r="I5339" t="s">
        <v>610</v>
      </c>
    </row>
    <row r="5340" spans="1:9" x14ac:dyDescent="0.25">
      <c r="A5340" s="1" t="str">
        <f>HYPERLINK("https://lynxcrm-apac--c.eu19.visual.force.com/0011i000001xmzXAAQ","The Clinic @ Asperia")</f>
        <v>The Clinic @ Asperia</v>
      </c>
      <c r="B5340" t="s">
        <v>9789</v>
      </c>
      <c r="C5340" t="s">
        <v>10</v>
      </c>
      <c r="D5340" t="s">
        <v>8</v>
      </c>
      <c r="E5340" t="s">
        <v>8</v>
      </c>
      <c r="F5340" t="s">
        <v>1553</v>
      </c>
      <c r="G5340" t="s">
        <v>1554</v>
      </c>
      <c r="H5340" t="s">
        <v>1554</v>
      </c>
      <c r="I5340" t="s">
        <v>1555</v>
      </c>
    </row>
    <row r="5341" spans="1:9" x14ac:dyDescent="0.25">
      <c r="A5341" s="1" t="str">
        <f>HYPERLINK("https://lynxcrm-apac--c.eu19.visual.force.com/0011i000001xmz3AAA","The Clinic @ Campus")</f>
        <v>The Clinic @ Campus</v>
      </c>
      <c r="B5341" t="s">
        <v>9790</v>
      </c>
      <c r="C5341" t="s">
        <v>10</v>
      </c>
      <c r="D5341" t="s">
        <v>8</v>
      </c>
      <c r="E5341" t="s">
        <v>8</v>
      </c>
      <c r="F5341" t="s">
        <v>2460</v>
      </c>
      <c r="G5341" t="s">
        <v>2461</v>
      </c>
      <c r="H5341" t="s">
        <v>2461</v>
      </c>
      <c r="I5341" t="s">
        <v>2462</v>
      </c>
    </row>
    <row r="5342" spans="1:9" x14ac:dyDescent="0.25">
      <c r="A5342" s="1" t="str">
        <f>HYPERLINK("https://lynxcrm-apac--c.eu19.visual.force.com/0011i000001xn1GAAQ","The Clinic @ Capitagreen")</f>
        <v>The Clinic @ Capitagreen</v>
      </c>
      <c r="B5342" t="s">
        <v>9791</v>
      </c>
      <c r="C5342" t="s">
        <v>10</v>
      </c>
      <c r="D5342" t="s">
        <v>8</v>
      </c>
      <c r="E5342" t="s">
        <v>8</v>
      </c>
      <c r="F5342" t="s">
        <v>9792</v>
      </c>
      <c r="G5342" t="s">
        <v>3372</v>
      </c>
      <c r="H5342" t="s">
        <v>3372</v>
      </c>
      <c r="I5342" t="s">
        <v>9793</v>
      </c>
    </row>
    <row r="5343" spans="1:9" x14ac:dyDescent="0.25">
      <c r="A5343" s="1" t="str">
        <f>HYPERLINK("https://lynxcrm-apac--c.eu19.visual.force.com/0011i000005xAbYAAU","The Clinic @ Fusionopolis")</f>
        <v>The Clinic @ Fusionopolis</v>
      </c>
      <c r="B5343" t="s">
        <v>9794</v>
      </c>
      <c r="C5343" t="s">
        <v>10</v>
      </c>
      <c r="D5343" t="s">
        <v>8</v>
      </c>
      <c r="E5343" t="s">
        <v>8</v>
      </c>
      <c r="F5343" t="s">
        <v>9795</v>
      </c>
      <c r="G5343" t="s">
        <v>9796</v>
      </c>
      <c r="H5343" t="s">
        <v>8</v>
      </c>
      <c r="I5343" t="s">
        <v>3824</v>
      </c>
    </row>
    <row r="5344" spans="1:9" x14ac:dyDescent="0.25">
      <c r="A5344" s="1" t="str">
        <f>HYPERLINK("https://lynxcrm-apac--c.eu19.visual.force.com/0011i000001xmlbAAA","The Clinic @ Fusionpolis")</f>
        <v>The Clinic @ Fusionpolis</v>
      </c>
      <c r="B5344" t="s">
        <v>9797</v>
      </c>
      <c r="C5344" t="s">
        <v>10</v>
      </c>
      <c r="D5344" t="s">
        <v>8</v>
      </c>
      <c r="E5344" t="s">
        <v>8</v>
      </c>
      <c r="F5344" t="s">
        <v>3822</v>
      </c>
      <c r="G5344" t="s">
        <v>9798</v>
      </c>
      <c r="H5344" t="s">
        <v>9798</v>
      </c>
      <c r="I5344" t="s">
        <v>9799</v>
      </c>
    </row>
    <row r="5345" spans="1:9" x14ac:dyDescent="0.25">
      <c r="A5345" s="1" t="str">
        <f>HYPERLINK("https://lynxcrm-apac--c.eu19.visual.force.com/0011i000001xnAxAAI","The Clinic @ One George Street")</f>
        <v>The Clinic @ One George Street</v>
      </c>
      <c r="B5345" t="s">
        <v>9800</v>
      </c>
      <c r="C5345" t="s">
        <v>10</v>
      </c>
      <c r="D5345" t="s">
        <v>8</v>
      </c>
      <c r="E5345" t="s">
        <v>8</v>
      </c>
      <c r="F5345" t="s">
        <v>7296</v>
      </c>
      <c r="G5345" t="s">
        <v>9801</v>
      </c>
      <c r="H5345" t="s">
        <v>9801</v>
      </c>
      <c r="I5345" t="s">
        <v>7298</v>
      </c>
    </row>
    <row r="5346" spans="1:9" x14ac:dyDescent="0.25">
      <c r="A5346" s="1" t="str">
        <f>HYPERLINK("https://lynxcrm-apac--c.eu19.visual.force.com/0011i000001xn7PAAQ","The Clinic @ One George Street")</f>
        <v>The Clinic @ One George Street</v>
      </c>
      <c r="B5346" t="s">
        <v>9802</v>
      </c>
      <c r="C5346" t="s">
        <v>10</v>
      </c>
      <c r="D5346" t="s">
        <v>8</v>
      </c>
      <c r="E5346" t="s">
        <v>8</v>
      </c>
      <c r="F5346" t="s">
        <v>7296</v>
      </c>
      <c r="G5346" t="s">
        <v>7297</v>
      </c>
      <c r="H5346" t="s">
        <v>505</v>
      </c>
      <c r="I5346" t="s">
        <v>7298</v>
      </c>
    </row>
    <row r="5347" spans="1:9" x14ac:dyDescent="0.25">
      <c r="A5347" s="1" t="str">
        <f>HYPERLINK("https://lynxcrm-apac--c.eu19.visual.force.com/0011i000001xncZAAQ","The Clinic @ Tai Seng")</f>
        <v>The Clinic @ Tai Seng</v>
      </c>
      <c r="B5347" t="s">
        <v>9803</v>
      </c>
      <c r="C5347" t="s">
        <v>10</v>
      </c>
      <c r="D5347" t="s">
        <v>8</v>
      </c>
      <c r="E5347" t="s">
        <v>8</v>
      </c>
      <c r="F5347" t="s">
        <v>9804</v>
      </c>
      <c r="G5347" t="s">
        <v>9805</v>
      </c>
      <c r="H5347" t="s">
        <v>9805</v>
      </c>
      <c r="I5347" t="s">
        <v>9806</v>
      </c>
    </row>
    <row r="5348" spans="1:9" x14ac:dyDescent="0.25">
      <c r="A5348" s="1" t="str">
        <f>HYPERLINK("https://lynxcrm-apac--c.eu19.visual.force.com/0011i000001xnWAAAY","The Colorectal Clinic Associates")</f>
        <v>The Colorectal Clinic Associates</v>
      </c>
      <c r="B5348" t="s">
        <v>9807</v>
      </c>
      <c r="C5348" t="s">
        <v>10</v>
      </c>
      <c r="D5348" t="s">
        <v>8</v>
      </c>
      <c r="E5348" t="s">
        <v>8</v>
      </c>
      <c r="F5348" t="s">
        <v>9808</v>
      </c>
      <c r="G5348" t="s">
        <v>1838</v>
      </c>
      <c r="H5348" t="s">
        <v>1838</v>
      </c>
      <c r="I5348" t="s">
        <v>344</v>
      </c>
    </row>
    <row r="5349" spans="1:9" x14ac:dyDescent="0.25">
      <c r="A5349" s="1" t="str">
        <f>HYPERLINK("https://lynxcrm-apac--c.eu19.visual.force.com/0011i000001xnAsAAI","The Coronation Clinic")</f>
        <v>The Coronation Clinic</v>
      </c>
      <c r="B5349" t="s">
        <v>9809</v>
      </c>
      <c r="C5349" t="s">
        <v>10</v>
      </c>
      <c r="D5349" t="s">
        <v>8</v>
      </c>
      <c r="E5349" t="s">
        <v>8</v>
      </c>
      <c r="F5349" t="s">
        <v>3276</v>
      </c>
      <c r="G5349" t="s">
        <v>5324</v>
      </c>
      <c r="H5349" t="s">
        <v>5325</v>
      </c>
      <c r="I5349" t="s">
        <v>3278</v>
      </c>
    </row>
    <row r="5350" spans="1:9" x14ac:dyDescent="0.25">
      <c r="A5350" s="1" t="str">
        <f>HYPERLINK("https://lynxcrm-apac--c.eu19.visual.force.com/0011i000001xnDOAAY","The Diabetes &amp; Endocrine Clinic")</f>
        <v>The Diabetes &amp; Endocrine Clinic</v>
      </c>
      <c r="B5350" t="s">
        <v>9810</v>
      </c>
      <c r="C5350" t="s">
        <v>10</v>
      </c>
      <c r="D5350" t="s">
        <v>8</v>
      </c>
      <c r="E5350" t="s">
        <v>8</v>
      </c>
      <c r="F5350" t="s">
        <v>377</v>
      </c>
      <c r="G5350" t="s">
        <v>9169</v>
      </c>
      <c r="H5350" t="s">
        <v>9169</v>
      </c>
      <c r="I5350" t="s">
        <v>123</v>
      </c>
    </row>
    <row r="5351" spans="1:9" x14ac:dyDescent="0.25">
      <c r="A5351" s="1" t="str">
        <f>HYPERLINK("https://lynxcrm-apac--c.eu19.visual.force.com/0011i000001xmwPAAQ","The Doctor's Clinic")</f>
        <v>The Doctor's Clinic</v>
      </c>
      <c r="B5351" t="s">
        <v>9811</v>
      </c>
      <c r="C5351" t="s">
        <v>10</v>
      </c>
      <c r="D5351" t="s">
        <v>8</v>
      </c>
      <c r="E5351" t="s">
        <v>8</v>
      </c>
      <c r="F5351" t="s">
        <v>9812</v>
      </c>
      <c r="G5351" t="s">
        <v>9813</v>
      </c>
      <c r="H5351" t="s">
        <v>9813</v>
      </c>
      <c r="I5351" t="s">
        <v>9814</v>
      </c>
    </row>
    <row r="5352" spans="1:9" x14ac:dyDescent="0.25">
      <c r="A5352" s="1" t="str">
        <f>HYPERLINK("https://lynxcrm-apac--c.eu19.visual.force.com/0011i000001xmgGAAQ","The Dublin Clinic")</f>
        <v>The Dublin Clinic</v>
      </c>
      <c r="B5352" t="s">
        <v>9815</v>
      </c>
      <c r="C5352" t="s">
        <v>10</v>
      </c>
      <c r="D5352" t="s">
        <v>8</v>
      </c>
      <c r="E5352" t="s">
        <v>8</v>
      </c>
      <c r="F5352" t="s">
        <v>9816</v>
      </c>
      <c r="G5352" t="s">
        <v>9817</v>
      </c>
      <c r="H5352" t="s">
        <v>9818</v>
      </c>
      <c r="I5352" t="s">
        <v>7992</v>
      </c>
    </row>
    <row r="5353" spans="1:9" x14ac:dyDescent="0.25">
      <c r="A5353" s="1" t="str">
        <f>HYPERLINK("https://lynxcrm-apac--c.eu19.visual.force.com/0011i000001xmjKAAQ","The Edinburgh Clinic")</f>
        <v>The Edinburgh Clinic</v>
      </c>
      <c r="B5353" t="s">
        <v>9819</v>
      </c>
      <c r="C5353" t="s">
        <v>10</v>
      </c>
      <c r="D5353" t="s">
        <v>8</v>
      </c>
      <c r="E5353" t="s">
        <v>8</v>
      </c>
      <c r="F5353" t="s">
        <v>4743</v>
      </c>
      <c r="G5353" t="s">
        <v>4744</v>
      </c>
      <c r="H5353" t="s">
        <v>4745</v>
      </c>
      <c r="I5353" t="s">
        <v>4746</v>
      </c>
    </row>
    <row r="5354" spans="1:9" x14ac:dyDescent="0.25">
      <c r="A5354" s="1" t="str">
        <f>HYPERLINK("https://lynxcrm-apac--c.eu19.visual.force.com/0011i000001xmm9AAA","The Edinburgh Clinic")</f>
        <v>The Edinburgh Clinic</v>
      </c>
      <c r="B5354" t="s">
        <v>9820</v>
      </c>
      <c r="C5354" t="s">
        <v>10</v>
      </c>
      <c r="D5354" t="s">
        <v>8</v>
      </c>
      <c r="E5354" t="s">
        <v>8</v>
      </c>
      <c r="F5354" t="s">
        <v>4743</v>
      </c>
      <c r="G5354" t="s">
        <v>4744</v>
      </c>
      <c r="H5354" t="s">
        <v>4745</v>
      </c>
      <c r="I5354" t="s">
        <v>4746</v>
      </c>
    </row>
    <row r="5355" spans="1:9" x14ac:dyDescent="0.25">
      <c r="A5355" s="1" t="str">
        <f>HYPERLINK("https://lynxcrm-apac--c.eu19.visual.force.com/0011i000001xn8nAAA","The Endocrine Clinic")</f>
        <v>The Endocrine Clinic</v>
      </c>
      <c r="B5355" t="s">
        <v>9821</v>
      </c>
      <c r="C5355" t="s">
        <v>10</v>
      </c>
      <c r="D5355" t="s">
        <v>8</v>
      </c>
      <c r="E5355" t="s">
        <v>8</v>
      </c>
      <c r="F5355" t="s">
        <v>1837</v>
      </c>
      <c r="G5355" t="s">
        <v>1838</v>
      </c>
      <c r="H5355" t="s">
        <v>1838</v>
      </c>
      <c r="I5355" t="s">
        <v>344</v>
      </c>
    </row>
    <row r="5356" spans="1:9" x14ac:dyDescent="0.25">
      <c r="A5356" s="1" t="str">
        <f>HYPERLINK("https://lynxcrm-apac--c.eu19.visual.force.com/0011i000001xn9FAAQ","The Endocrine Clinic")</f>
        <v>The Endocrine Clinic</v>
      </c>
      <c r="B5356" t="s">
        <v>9822</v>
      </c>
      <c r="C5356" t="s">
        <v>10</v>
      </c>
      <c r="D5356" t="s">
        <v>8</v>
      </c>
      <c r="E5356" t="s">
        <v>8</v>
      </c>
      <c r="F5356" t="s">
        <v>9823</v>
      </c>
      <c r="G5356" t="s">
        <v>121</v>
      </c>
      <c r="H5356" t="s">
        <v>121</v>
      </c>
      <c r="I5356" t="s">
        <v>123</v>
      </c>
    </row>
    <row r="5357" spans="1:9" x14ac:dyDescent="0.25">
      <c r="A5357" s="1" t="str">
        <f>HYPERLINK("https://lynxcrm-apac--c.eu19.visual.force.com/0011i000001xnIYAAY","The Family Clinic")</f>
        <v>The Family Clinic</v>
      </c>
      <c r="B5357" t="s">
        <v>9824</v>
      </c>
      <c r="C5357" t="s">
        <v>10</v>
      </c>
      <c r="D5357" t="s">
        <v>8</v>
      </c>
      <c r="E5357" t="s">
        <v>8</v>
      </c>
      <c r="F5357" t="s">
        <v>2263</v>
      </c>
      <c r="G5357" t="s">
        <v>2339</v>
      </c>
      <c r="H5357" t="s">
        <v>9825</v>
      </c>
      <c r="I5357" t="s">
        <v>2266</v>
      </c>
    </row>
    <row r="5358" spans="1:9" x14ac:dyDescent="0.25">
      <c r="A5358" s="1" t="str">
        <f>HYPERLINK("https://lynxcrm-apac--c.eu19.visual.force.com/0011i000001xnFLAAY","The Family Clinic")</f>
        <v>The Family Clinic</v>
      </c>
      <c r="B5358" t="s">
        <v>9826</v>
      </c>
      <c r="C5358" t="s">
        <v>10</v>
      </c>
      <c r="D5358" t="s">
        <v>8</v>
      </c>
      <c r="E5358" t="s">
        <v>8</v>
      </c>
      <c r="F5358" t="s">
        <v>2263</v>
      </c>
      <c r="G5358" t="s">
        <v>2339</v>
      </c>
      <c r="H5358" t="s">
        <v>9825</v>
      </c>
      <c r="I5358" t="s">
        <v>2266</v>
      </c>
    </row>
    <row r="5359" spans="1:9" x14ac:dyDescent="0.25">
      <c r="A5359" s="1" t="str">
        <f>HYPERLINK("https://lynxcrm-apac--c.eu19.visual.force.com/0011i000001xmlvAAA","The Family Clinic @ Towner")</f>
        <v>The Family Clinic @ Towner</v>
      </c>
      <c r="B5359" t="s">
        <v>9827</v>
      </c>
      <c r="C5359" t="s">
        <v>10</v>
      </c>
      <c r="D5359" t="s">
        <v>8</v>
      </c>
      <c r="E5359" t="s">
        <v>8</v>
      </c>
      <c r="F5359" t="s">
        <v>34</v>
      </c>
      <c r="G5359" t="s">
        <v>1034</v>
      </c>
      <c r="H5359" t="s">
        <v>1034</v>
      </c>
      <c r="I5359" t="s">
        <v>4583</v>
      </c>
    </row>
    <row r="5360" spans="1:9" x14ac:dyDescent="0.25">
      <c r="A5360" s="1" t="str">
        <f>HYPERLINK("https://lynxcrm-apac--c.eu19.visual.force.com/0011i000001xn8XAAQ","The Family Clinic @ Towner")</f>
        <v>The Family Clinic @ Towner</v>
      </c>
      <c r="B5360" t="s">
        <v>9828</v>
      </c>
      <c r="C5360" t="s">
        <v>10</v>
      </c>
      <c r="D5360" t="s">
        <v>8</v>
      </c>
      <c r="E5360" t="s">
        <v>8</v>
      </c>
      <c r="F5360" t="s">
        <v>34</v>
      </c>
      <c r="G5360" t="s">
        <v>1034</v>
      </c>
      <c r="H5360" t="s">
        <v>1034</v>
      </c>
      <c r="I5360" t="s">
        <v>9829</v>
      </c>
    </row>
    <row r="5361" spans="1:9" x14ac:dyDescent="0.25">
      <c r="A5361" s="1" t="str">
        <f>HYPERLINK("https://lynxcrm-apac--c.eu19.visual.force.com/0011i000001xnAzAAI","The Family Doctor Clinic &amp; Surgery")</f>
        <v>The Family Doctor Clinic &amp; Surgery</v>
      </c>
      <c r="B5361" t="s">
        <v>9830</v>
      </c>
      <c r="C5361" t="s">
        <v>10</v>
      </c>
      <c r="D5361" t="s">
        <v>8</v>
      </c>
      <c r="E5361" t="s">
        <v>8</v>
      </c>
      <c r="F5361" t="s">
        <v>866</v>
      </c>
      <c r="G5361" t="s">
        <v>3429</v>
      </c>
      <c r="H5361" t="s">
        <v>5420</v>
      </c>
      <c r="I5361" t="s">
        <v>867</v>
      </c>
    </row>
    <row r="5362" spans="1:9" x14ac:dyDescent="0.25">
      <c r="A5362" s="1" t="str">
        <f>HYPERLINK("https://lynxcrm-apac--c.eu19.visual.force.com/0011i000001xnQlAAI","The Family Doctor Clinic &amp; Surgery")</f>
        <v>The Family Doctor Clinic &amp; Surgery</v>
      </c>
      <c r="B5362" t="s">
        <v>9831</v>
      </c>
      <c r="C5362" t="s">
        <v>10</v>
      </c>
      <c r="D5362" t="s">
        <v>8</v>
      </c>
      <c r="E5362" t="s">
        <v>8</v>
      </c>
      <c r="F5362" t="s">
        <v>9832</v>
      </c>
      <c r="G5362" t="s">
        <v>9832</v>
      </c>
      <c r="H5362" t="s">
        <v>9833</v>
      </c>
      <c r="I5362" t="s">
        <v>9834</v>
      </c>
    </row>
    <row r="5363" spans="1:9" x14ac:dyDescent="0.25">
      <c r="A5363" s="1" t="str">
        <f>HYPERLINK("https://lynxcrm-apac--c.eu19.visual.force.com/0011i000001xnAeAAI","The Family Medical Centre")</f>
        <v>The Family Medical Centre</v>
      </c>
      <c r="B5363" t="s">
        <v>9835</v>
      </c>
      <c r="C5363" t="s">
        <v>10</v>
      </c>
      <c r="D5363" t="s">
        <v>8</v>
      </c>
      <c r="E5363" t="s">
        <v>8</v>
      </c>
      <c r="F5363" t="s">
        <v>9587</v>
      </c>
      <c r="G5363" t="s">
        <v>7326</v>
      </c>
      <c r="H5363" t="s">
        <v>7326</v>
      </c>
      <c r="I5363" t="s">
        <v>9590</v>
      </c>
    </row>
    <row r="5364" spans="1:9" x14ac:dyDescent="0.25">
      <c r="A5364" s="1" t="str">
        <f>HYPERLINK("https://lynxcrm-apac--c.eu19.visual.force.com/0011i000001xmpnAAA","The Family Practice")</f>
        <v>The Family Practice</v>
      </c>
      <c r="B5364" t="s">
        <v>9836</v>
      </c>
      <c r="C5364" t="s">
        <v>10</v>
      </c>
      <c r="D5364" t="s">
        <v>8</v>
      </c>
      <c r="E5364" t="s">
        <v>8</v>
      </c>
      <c r="F5364" t="s">
        <v>9199</v>
      </c>
      <c r="G5364" t="s">
        <v>6621</v>
      </c>
      <c r="H5364" t="s">
        <v>6621</v>
      </c>
      <c r="I5364" t="s">
        <v>7970</v>
      </c>
    </row>
    <row r="5365" spans="1:9" x14ac:dyDescent="0.25">
      <c r="A5365" s="1" t="str">
        <f>HYPERLINK("https://lynxcrm-apac--c.eu19.visual.force.com/0011i000001xnHFAAY","The Family Practice @ Skyville")</f>
        <v>The Family Practice @ Skyville</v>
      </c>
      <c r="B5365" t="s">
        <v>9837</v>
      </c>
      <c r="C5365" t="s">
        <v>10</v>
      </c>
      <c r="D5365" t="s">
        <v>8</v>
      </c>
      <c r="E5365" t="s">
        <v>8</v>
      </c>
      <c r="F5365" t="s">
        <v>2550</v>
      </c>
      <c r="G5365" t="s">
        <v>1442</v>
      </c>
      <c r="H5365" t="s">
        <v>1442</v>
      </c>
      <c r="I5365" t="s">
        <v>2551</v>
      </c>
    </row>
    <row r="5366" spans="1:9" x14ac:dyDescent="0.25">
      <c r="A5366" s="1" t="str">
        <f>HYPERLINK("https://lynxcrm-apac--c.eu19.visual.force.com/0011i000001xmboAAA","The Family Practice Clinic &amp; Surgery")</f>
        <v>The Family Practice Clinic &amp; Surgery</v>
      </c>
      <c r="B5366" t="s">
        <v>9838</v>
      </c>
      <c r="C5366" t="s">
        <v>10</v>
      </c>
      <c r="D5366" t="s">
        <v>8</v>
      </c>
      <c r="E5366" t="s">
        <v>8</v>
      </c>
      <c r="F5366" t="s">
        <v>8322</v>
      </c>
      <c r="G5366" t="s">
        <v>8323</v>
      </c>
      <c r="H5366" t="s">
        <v>8323</v>
      </c>
      <c r="I5366" t="s">
        <v>8324</v>
      </c>
    </row>
    <row r="5367" spans="1:9" x14ac:dyDescent="0.25">
      <c r="A5367" s="1" t="str">
        <f>HYPERLINK("https://lynxcrm-apac--c.eu19.visual.force.com/0011i000001xnBkAAI","The Farenheit Medical Centre")</f>
        <v>The Farenheit Medical Centre</v>
      </c>
      <c r="B5367" t="s">
        <v>9839</v>
      </c>
      <c r="C5367" t="s">
        <v>10</v>
      </c>
      <c r="D5367" t="s">
        <v>8</v>
      </c>
      <c r="E5367" t="s">
        <v>8</v>
      </c>
      <c r="F5367" t="s">
        <v>4005</v>
      </c>
      <c r="G5367" t="s">
        <v>8689</v>
      </c>
      <c r="H5367" t="s">
        <v>8689</v>
      </c>
      <c r="I5367" t="s">
        <v>834</v>
      </c>
    </row>
    <row r="5368" spans="1:9" x14ac:dyDescent="0.25">
      <c r="A5368" s="1" t="str">
        <f>HYPERLINK("https://lynxcrm-apac--c.eu19.visual.force.com/0011i00000oXvbWAAS","The Good Life Medical Center")</f>
        <v>The Good Life Medical Center</v>
      </c>
      <c r="B5368" t="s">
        <v>9840</v>
      </c>
      <c r="C5368" t="s">
        <v>10</v>
      </c>
      <c r="D5368" t="s">
        <v>8</v>
      </c>
      <c r="E5368" t="s">
        <v>8</v>
      </c>
      <c r="F5368" t="s">
        <v>202</v>
      </c>
      <c r="G5368" t="s">
        <v>202</v>
      </c>
      <c r="H5368" t="s">
        <v>1325</v>
      </c>
      <c r="I5368" t="s">
        <v>200</v>
      </c>
    </row>
    <row r="5369" spans="1:9" x14ac:dyDescent="0.25">
      <c r="A5369" s="1" t="str">
        <f>HYPERLINK("https://lynxcrm-apac--c.eu19.visual.force.com/0011i00000oXvbWAAS","The Good Life Medical Center")</f>
        <v>The Good Life Medical Center</v>
      </c>
      <c r="B5369" t="s">
        <v>9840</v>
      </c>
      <c r="C5369" t="s">
        <v>10</v>
      </c>
      <c r="D5369" t="s">
        <v>1324</v>
      </c>
      <c r="E5369" t="s">
        <v>8</v>
      </c>
      <c r="F5369" t="s">
        <v>202</v>
      </c>
      <c r="G5369" t="s">
        <v>202</v>
      </c>
      <c r="H5369" t="s">
        <v>1325</v>
      </c>
      <c r="I5369" t="s">
        <v>200</v>
      </c>
    </row>
    <row r="5370" spans="1:9" x14ac:dyDescent="0.25">
      <c r="A5370" s="1" t="str">
        <f>HYPERLINK("https://lynxcrm-apac--c.eu19.visual.force.com/0011i000001xnbGAAQ","The Hale Medical Clinic")</f>
        <v>The Hale Medical Clinic</v>
      </c>
      <c r="B5370" t="s">
        <v>9841</v>
      </c>
      <c r="C5370" t="s">
        <v>10</v>
      </c>
      <c r="D5370" t="s">
        <v>8</v>
      </c>
      <c r="E5370" t="s">
        <v>8</v>
      </c>
      <c r="F5370" t="s">
        <v>3321</v>
      </c>
      <c r="G5370" t="s">
        <v>3322</v>
      </c>
      <c r="H5370" t="s">
        <v>3323</v>
      </c>
      <c r="I5370" t="s">
        <v>3324</v>
      </c>
    </row>
    <row r="5371" spans="1:9" x14ac:dyDescent="0.25">
      <c r="A5371" s="1" t="str">
        <f>HYPERLINK("https://lynxcrm-apac--c.eu19.visual.force.com/0011i000001xnbuAAA","The Harley Street Heart &amp; Cancer Centre")</f>
        <v>The Harley Street Heart &amp; Cancer Centre</v>
      </c>
      <c r="B5371" t="s">
        <v>9842</v>
      </c>
      <c r="C5371" t="s">
        <v>10</v>
      </c>
      <c r="D5371" t="s">
        <v>8</v>
      </c>
      <c r="E5371" t="s">
        <v>8</v>
      </c>
      <c r="F5371" t="s">
        <v>65</v>
      </c>
      <c r="G5371" t="s">
        <v>9843</v>
      </c>
      <c r="H5371" t="s">
        <v>9843</v>
      </c>
      <c r="I5371" t="s">
        <v>466</v>
      </c>
    </row>
    <row r="5372" spans="1:9" x14ac:dyDescent="0.25">
      <c r="A5372" s="1" t="str">
        <f>HYPERLINK("https://lynxcrm-apac--c.eu19.visual.force.com/0011i00000NqfZXAAZ","The Harley Street Heart &amp; Vascular center")</f>
        <v>The Harley Street Heart &amp; Vascular center</v>
      </c>
      <c r="B5372" t="s">
        <v>9844</v>
      </c>
      <c r="C5372" t="s">
        <v>10</v>
      </c>
      <c r="D5372" t="s">
        <v>8</v>
      </c>
      <c r="E5372" t="s">
        <v>8</v>
      </c>
      <c r="F5372" t="s">
        <v>6502</v>
      </c>
      <c r="G5372" t="s">
        <v>6503</v>
      </c>
      <c r="H5372" t="s">
        <v>8</v>
      </c>
      <c r="I5372" t="s">
        <v>123</v>
      </c>
    </row>
    <row r="5373" spans="1:9" x14ac:dyDescent="0.25">
      <c r="A5373" s="1" t="str">
        <f>HYPERLINK("https://lynxcrm-apac--c.eu19.visual.force.com/0011i000001xn8OAAQ","The Healer Medical Pte Ltd")</f>
        <v>The Healer Medical Pte Ltd</v>
      </c>
      <c r="B5373" t="s">
        <v>9845</v>
      </c>
      <c r="C5373" t="s">
        <v>10</v>
      </c>
      <c r="D5373" t="s">
        <v>8</v>
      </c>
      <c r="E5373" t="s">
        <v>8</v>
      </c>
      <c r="F5373" t="s">
        <v>6203</v>
      </c>
      <c r="G5373" t="s">
        <v>6204</v>
      </c>
      <c r="H5373" t="s">
        <v>6204</v>
      </c>
      <c r="I5373" t="s">
        <v>6205</v>
      </c>
    </row>
    <row r="5374" spans="1:9" x14ac:dyDescent="0.25">
      <c r="A5374" s="1" t="str">
        <f>HYPERLINK("https://lynxcrm-apac--c.eu19.visual.force.com/0011i000001xmruAAA","The Healing Light Clinic")</f>
        <v>The Healing Light Clinic</v>
      </c>
      <c r="B5374" t="s">
        <v>9846</v>
      </c>
      <c r="C5374" t="s">
        <v>10</v>
      </c>
      <c r="D5374" t="s">
        <v>8</v>
      </c>
      <c r="E5374" t="s">
        <v>8</v>
      </c>
      <c r="F5374" t="s">
        <v>9847</v>
      </c>
      <c r="G5374" t="s">
        <v>2350</v>
      </c>
      <c r="H5374" t="s">
        <v>2350</v>
      </c>
      <c r="I5374" t="s">
        <v>4601</v>
      </c>
    </row>
    <row r="5375" spans="1:9" x14ac:dyDescent="0.25">
      <c r="A5375" s="1" t="str">
        <f>HYPERLINK("https://lynxcrm-apac--c.eu19.visual.force.com/0011i000001xmdmAAA","The Heart &amp; Lung Specialist Clinic")</f>
        <v>The Heart &amp; Lung Specialist Clinic</v>
      </c>
      <c r="B5375" t="s">
        <v>9848</v>
      </c>
      <c r="C5375" t="s">
        <v>10</v>
      </c>
      <c r="D5375" t="s">
        <v>8</v>
      </c>
      <c r="E5375" t="s">
        <v>8</v>
      </c>
      <c r="F5375" t="s">
        <v>377</v>
      </c>
      <c r="G5375" t="s">
        <v>8726</v>
      </c>
      <c r="H5375" t="s">
        <v>8727</v>
      </c>
      <c r="I5375" t="s">
        <v>123</v>
      </c>
    </row>
    <row r="5376" spans="1:9" x14ac:dyDescent="0.25">
      <c r="A5376" s="1" t="str">
        <f>HYPERLINK("https://lynxcrm-apac--c.eu19.visual.force.com/0011i000001xnAVAAY","The Heart &amp; Vascular Centre")</f>
        <v>The Heart &amp; Vascular Centre</v>
      </c>
      <c r="B5376" t="s">
        <v>9849</v>
      </c>
      <c r="C5376" t="s">
        <v>10</v>
      </c>
      <c r="D5376" t="s">
        <v>8</v>
      </c>
      <c r="E5376" t="s">
        <v>8</v>
      </c>
      <c r="F5376" t="s">
        <v>9850</v>
      </c>
      <c r="G5376" t="s">
        <v>121</v>
      </c>
      <c r="H5376" t="s">
        <v>121</v>
      </c>
      <c r="I5376" t="s">
        <v>123</v>
      </c>
    </row>
    <row r="5377" spans="1:9" x14ac:dyDescent="0.25">
      <c r="A5377" s="1" t="str">
        <f>HYPERLINK("https://lynxcrm-apac--c.eu19.visual.force.com/0011i000001xnCJAAY","The Heart &amp; Vascular Centre")</f>
        <v>The Heart &amp; Vascular Centre</v>
      </c>
      <c r="B5377" t="s">
        <v>9851</v>
      </c>
      <c r="C5377" t="s">
        <v>10</v>
      </c>
      <c r="D5377" t="s">
        <v>8</v>
      </c>
      <c r="E5377" t="s">
        <v>8</v>
      </c>
      <c r="F5377" t="s">
        <v>9852</v>
      </c>
      <c r="G5377" t="s">
        <v>121</v>
      </c>
      <c r="H5377" t="s">
        <v>121</v>
      </c>
      <c r="I5377" t="s">
        <v>123</v>
      </c>
    </row>
    <row r="5378" spans="1:9" x14ac:dyDescent="0.25">
      <c r="A5378" s="1" t="str">
        <f>HYPERLINK("https://lynxcrm-apac--c.eu19.visual.force.com/0011i000001xn9AAAQ","The Heart Clinic")</f>
        <v>The Heart Clinic</v>
      </c>
      <c r="B5378" t="s">
        <v>9853</v>
      </c>
      <c r="C5378" t="s">
        <v>10</v>
      </c>
      <c r="D5378" t="s">
        <v>8</v>
      </c>
      <c r="E5378" t="s">
        <v>8</v>
      </c>
      <c r="F5378" t="s">
        <v>373</v>
      </c>
      <c r="G5378" t="s">
        <v>5018</v>
      </c>
      <c r="H5378" t="s">
        <v>5019</v>
      </c>
      <c r="I5378" t="s">
        <v>123</v>
      </c>
    </row>
    <row r="5379" spans="1:9" x14ac:dyDescent="0.25">
      <c r="A5379" s="1" t="str">
        <f>HYPERLINK("https://lynxcrm-apac--c.eu19.visual.force.com/0011i000001xnbYAAQ","The Heart Doctors Clinic")</f>
        <v>The Heart Doctors Clinic</v>
      </c>
      <c r="B5379" t="s">
        <v>9854</v>
      </c>
      <c r="C5379" t="s">
        <v>10</v>
      </c>
      <c r="D5379" t="s">
        <v>8</v>
      </c>
      <c r="E5379" t="s">
        <v>8</v>
      </c>
      <c r="F5379" t="s">
        <v>8798</v>
      </c>
      <c r="G5379" t="s">
        <v>8799</v>
      </c>
      <c r="H5379" t="s">
        <v>8800</v>
      </c>
      <c r="I5379" t="s">
        <v>200</v>
      </c>
    </row>
    <row r="5380" spans="1:9" x14ac:dyDescent="0.25">
      <c r="A5380" s="1" t="str">
        <f>HYPERLINK("https://lynxcrm-apac--c.eu19.visual.force.com/0011i000001xoO9AAI","Thein, Aung")</f>
        <v>Thein, Aung</v>
      </c>
      <c r="B5380" t="s">
        <v>9855</v>
      </c>
      <c r="C5380" t="s">
        <v>28</v>
      </c>
      <c r="D5380" t="s">
        <v>709</v>
      </c>
      <c r="E5380" t="s">
        <v>8</v>
      </c>
      <c r="F5380" t="s">
        <v>710</v>
      </c>
      <c r="G5380" t="s">
        <v>135</v>
      </c>
      <c r="H5380" t="s">
        <v>135</v>
      </c>
      <c r="I5380" t="s">
        <v>711</v>
      </c>
    </row>
    <row r="5381" spans="1:9" x14ac:dyDescent="0.25">
      <c r="A5381" s="1" t="str">
        <f>HYPERLINK("https://lynxcrm-apac--c.eu19.visual.force.com/0011i000001xoO9AAI","Thein, Aung")</f>
        <v>Thein, Aung</v>
      </c>
      <c r="B5381" t="s">
        <v>9855</v>
      </c>
      <c r="C5381" t="s">
        <v>28</v>
      </c>
      <c r="D5381" t="s">
        <v>1867</v>
      </c>
      <c r="E5381" t="s">
        <v>8</v>
      </c>
      <c r="F5381" t="s">
        <v>135</v>
      </c>
      <c r="G5381" t="s">
        <v>709</v>
      </c>
      <c r="H5381" t="s">
        <v>709</v>
      </c>
      <c r="I5381" t="s">
        <v>711</v>
      </c>
    </row>
    <row r="5382" spans="1:9" x14ac:dyDescent="0.25">
      <c r="A5382" s="1" t="str">
        <f>HYPERLINK("https://lynxcrm-apac--c.eu19.visual.force.com/0011i000001xnOSAAY","The Japanese Association Clinic")</f>
        <v>The Japanese Association Clinic</v>
      </c>
      <c r="B5382" t="s">
        <v>9856</v>
      </c>
      <c r="C5382" t="s">
        <v>10</v>
      </c>
      <c r="D5382" t="s">
        <v>8</v>
      </c>
      <c r="E5382" t="s">
        <v>8</v>
      </c>
      <c r="F5382" t="s">
        <v>8944</v>
      </c>
      <c r="G5382" t="s">
        <v>8944</v>
      </c>
      <c r="H5382" t="s">
        <v>8</v>
      </c>
      <c r="I5382" t="s">
        <v>8945</v>
      </c>
    </row>
    <row r="5383" spans="1:9" x14ac:dyDescent="0.25">
      <c r="A5383" s="1" t="str">
        <f>HYPERLINK("https://lynxcrm-apac--c.eu19.visual.force.com/0011i000001xmvlAAA","The Japanese Association Clinic")</f>
        <v>The Japanese Association Clinic</v>
      </c>
      <c r="B5383" t="s">
        <v>9857</v>
      </c>
      <c r="C5383" t="s">
        <v>10</v>
      </c>
      <c r="D5383" t="s">
        <v>8</v>
      </c>
      <c r="E5383" t="s">
        <v>8</v>
      </c>
      <c r="F5383" t="s">
        <v>8944</v>
      </c>
      <c r="G5383" t="s">
        <v>8944</v>
      </c>
      <c r="H5383" t="s">
        <v>8</v>
      </c>
      <c r="I5383" t="s">
        <v>8945</v>
      </c>
    </row>
    <row r="5384" spans="1:9" x14ac:dyDescent="0.25">
      <c r="A5384" s="1" t="str">
        <f>HYPERLINK("https://lynxcrm-apac--c.eu19.visual.force.com/0011i000001xmwOAAQ","The Jurong Dispensary")</f>
        <v>The Jurong Dispensary</v>
      </c>
      <c r="B5384" t="s">
        <v>9858</v>
      </c>
      <c r="C5384" t="s">
        <v>10</v>
      </c>
      <c r="D5384" t="s">
        <v>8</v>
      </c>
      <c r="E5384" t="s">
        <v>8</v>
      </c>
      <c r="F5384" t="s">
        <v>6418</v>
      </c>
      <c r="G5384" t="s">
        <v>6419</v>
      </c>
      <c r="H5384" t="s">
        <v>6420</v>
      </c>
      <c r="I5384" t="s">
        <v>6421</v>
      </c>
    </row>
    <row r="5385" spans="1:9" x14ac:dyDescent="0.25">
      <c r="A5385" s="1" t="str">
        <f>HYPERLINK("https://lynxcrm-apac--c.eu19.visual.force.com/0011i000001xml0AAA","The Kidney Clinic")</f>
        <v>The Kidney Clinic</v>
      </c>
      <c r="B5385" t="s">
        <v>9859</v>
      </c>
      <c r="C5385" t="s">
        <v>10</v>
      </c>
      <c r="D5385" t="s">
        <v>8</v>
      </c>
      <c r="E5385" t="s">
        <v>8</v>
      </c>
      <c r="F5385" t="s">
        <v>4216</v>
      </c>
      <c r="G5385" t="s">
        <v>388</v>
      </c>
      <c r="H5385" t="s">
        <v>4217</v>
      </c>
      <c r="I5385" t="s">
        <v>123</v>
      </c>
    </row>
    <row r="5386" spans="1:9" x14ac:dyDescent="0.25">
      <c r="A5386" s="1" t="str">
        <f>HYPERLINK("https://lynxcrm-apac--c.eu19.visual.force.com/0011i000001xnCyAAI","The Lady Gynaecologist")</f>
        <v>The Lady Gynaecologist</v>
      </c>
      <c r="B5386" t="s">
        <v>9860</v>
      </c>
      <c r="C5386" t="s">
        <v>10</v>
      </c>
      <c r="D5386" t="s">
        <v>8</v>
      </c>
      <c r="E5386" t="s">
        <v>8</v>
      </c>
      <c r="F5386" t="s">
        <v>377</v>
      </c>
      <c r="G5386" t="s">
        <v>8555</v>
      </c>
      <c r="H5386" t="s">
        <v>8556</v>
      </c>
      <c r="I5386" t="s">
        <v>123</v>
      </c>
    </row>
    <row r="5387" spans="1:9" x14ac:dyDescent="0.25">
      <c r="A5387" s="1" t="str">
        <f>HYPERLINK("https://lynxcrm-apac--c.eu19.visual.force.com/0011i000001xn9sAAA","The Medical &amp; Aesthetic Clinic")</f>
        <v>The Medical &amp; Aesthetic Clinic</v>
      </c>
      <c r="B5387" t="s">
        <v>9861</v>
      </c>
      <c r="C5387" t="s">
        <v>10</v>
      </c>
      <c r="D5387" t="s">
        <v>8</v>
      </c>
      <c r="E5387" t="s">
        <v>8</v>
      </c>
      <c r="F5387" t="s">
        <v>9862</v>
      </c>
      <c r="G5387" t="s">
        <v>9862</v>
      </c>
      <c r="H5387" t="s">
        <v>8</v>
      </c>
      <c r="I5387" t="s">
        <v>9863</v>
      </c>
    </row>
    <row r="5388" spans="1:9" x14ac:dyDescent="0.25">
      <c r="A5388" s="1" t="str">
        <f>HYPERLINK("https://lynxcrm-apac--c.eu19.visual.force.com/0011i000001xnCVAAY","The Medical &amp; Aesthetic Clinic")</f>
        <v>The Medical &amp; Aesthetic Clinic</v>
      </c>
      <c r="B5388" t="s">
        <v>9864</v>
      </c>
      <c r="C5388" t="s">
        <v>10</v>
      </c>
      <c r="D5388" t="s">
        <v>8</v>
      </c>
      <c r="E5388" t="s">
        <v>8</v>
      </c>
      <c r="F5388" t="s">
        <v>9865</v>
      </c>
      <c r="G5388" t="s">
        <v>9865</v>
      </c>
      <c r="H5388" t="s">
        <v>8</v>
      </c>
      <c r="I5388" t="s">
        <v>9863</v>
      </c>
    </row>
    <row r="5389" spans="1:9" x14ac:dyDescent="0.25">
      <c r="A5389" s="1" t="str">
        <f>HYPERLINK("https://lynxcrm-apac--c.eu19.visual.force.com/0011i000001xnCXAAY","The Medical &amp; Rejuvenation Centre")</f>
        <v>The Medical &amp; Rejuvenation Centre</v>
      </c>
      <c r="B5389" t="s">
        <v>9866</v>
      </c>
      <c r="C5389" t="s">
        <v>10</v>
      </c>
      <c r="D5389" t="s">
        <v>8</v>
      </c>
      <c r="E5389" t="s">
        <v>8</v>
      </c>
      <c r="F5389" t="s">
        <v>1538</v>
      </c>
      <c r="G5389" t="s">
        <v>1539</v>
      </c>
      <c r="H5389" t="s">
        <v>1540</v>
      </c>
      <c r="I5389" t="s">
        <v>1541</v>
      </c>
    </row>
    <row r="5390" spans="1:9" x14ac:dyDescent="0.25">
      <c r="A5390" s="1" t="str">
        <f>HYPERLINK("https://lynxcrm-apac--c.eu19.visual.force.com/0011i000001xnEtAAI","The Medical Centre Clinic")</f>
        <v>The Medical Centre Clinic</v>
      </c>
      <c r="B5390" t="s">
        <v>9867</v>
      </c>
      <c r="C5390" t="s">
        <v>10</v>
      </c>
      <c r="D5390" t="s">
        <v>8</v>
      </c>
      <c r="E5390" t="s">
        <v>8</v>
      </c>
      <c r="F5390" t="s">
        <v>9868</v>
      </c>
      <c r="G5390" t="s">
        <v>9869</v>
      </c>
      <c r="H5390" t="s">
        <v>9870</v>
      </c>
      <c r="I5390" t="s">
        <v>5182</v>
      </c>
    </row>
    <row r="5391" spans="1:9" x14ac:dyDescent="0.25">
      <c r="A5391" s="1" t="str">
        <f>HYPERLINK("https://lynxcrm-apac--c.eu19.visual.force.com/0011i000001xmk2AAA","The Medical Centre Clinic")</f>
        <v>The Medical Centre Clinic</v>
      </c>
      <c r="B5391" t="s">
        <v>9871</v>
      </c>
      <c r="C5391" t="s">
        <v>10</v>
      </c>
      <c r="D5391" t="s">
        <v>8</v>
      </c>
      <c r="E5391" t="s">
        <v>8</v>
      </c>
      <c r="F5391" t="s">
        <v>5179</v>
      </c>
      <c r="G5391" t="s">
        <v>5180</v>
      </c>
      <c r="H5391" t="s">
        <v>5181</v>
      </c>
      <c r="I5391" t="s">
        <v>5182</v>
      </c>
    </row>
    <row r="5392" spans="1:9" x14ac:dyDescent="0.25">
      <c r="A5392" s="1" t="str">
        <f>HYPERLINK("https://lynxcrm-apac--c.eu19.visual.force.com/0011i000001xmjcAAA","The Medical Clinic")</f>
        <v>The Medical Clinic</v>
      </c>
      <c r="B5392" t="s">
        <v>9872</v>
      </c>
      <c r="C5392" t="s">
        <v>10</v>
      </c>
      <c r="D5392" t="s">
        <v>8</v>
      </c>
      <c r="E5392" t="s">
        <v>8</v>
      </c>
      <c r="F5392" t="s">
        <v>9547</v>
      </c>
      <c r="G5392" t="s">
        <v>9548</v>
      </c>
      <c r="H5392" t="s">
        <v>9549</v>
      </c>
      <c r="I5392" t="s">
        <v>9558</v>
      </c>
    </row>
    <row r="5393" spans="1:9" x14ac:dyDescent="0.25">
      <c r="A5393" s="1" t="str">
        <f>HYPERLINK("https://lynxcrm-apac--c.eu19.visual.force.com/0011i000001xnEAAAY","The Medical Clinic")</f>
        <v>The Medical Clinic</v>
      </c>
      <c r="B5393" t="s">
        <v>9873</v>
      </c>
      <c r="C5393" t="s">
        <v>10</v>
      </c>
      <c r="D5393" t="s">
        <v>8</v>
      </c>
      <c r="E5393" t="s">
        <v>8</v>
      </c>
      <c r="F5393" t="s">
        <v>9547</v>
      </c>
      <c r="G5393" t="s">
        <v>9548</v>
      </c>
      <c r="H5393" t="s">
        <v>9549</v>
      </c>
      <c r="I5393" t="s">
        <v>9550</v>
      </c>
    </row>
    <row r="5394" spans="1:9" x14ac:dyDescent="0.25">
      <c r="A5394" s="1" t="str">
        <f>HYPERLINK("https://lynxcrm-apac--c.eu19.visual.force.com/0011i000001xmh2AAA","The Medical Health Clinic")</f>
        <v>The Medical Health Clinic</v>
      </c>
      <c r="B5394" t="s">
        <v>9874</v>
      </c>
      <c r="C5394" t="s">
        <v>10</v>
      </c>
      <c r="D5394" t="s">
        <v>8</v>
      </c>
      <c r="E5394" t="s">
        <v>8</v>
      </c>
      <c r="F5394" t="s">
        <v>3532</v>
      </c>
      <c r="G5394" t="s">
        <v>803</v>
      </c>
      <c r="H5394" t="s">
        <v>803</v>
      </c>
      <c r="I5394" t="s">
        <v>1892</v>
      </c>
    </row>
    <row r="5395" spans="1:9" x14ac:dyDescent="0.25">
      <c r="A5395" s="1" t="str">
        <f>HYPERLINK("https://lynxcrm-apac--c.eu19.visual.force.com/0011i000001xmmqAAA","The Medical House Clinic &amp; Surgery")</f>
        <v>The Medical House Clinic &amp; Surgery</v>
      </c>
      <c r="B5395" t="s">
        <v>9875</v>
      </c>
      <c r="C5395" t="s">
        <v>10</v>
      </c>
      <c r="D5395" t="s">
        <v>8</v>
      </c>
      <c r="E5395" t="s">
        <v>8</v>
      </c>
      <c r="F5395" t="s">
        <v>5738</v>
      </c>
      <c r="G5395" t="s">
        <v>9876</v>
      </c>
      <c r="H5395" t="s">
        <v>9877</v>
      </c>
      <c r="I5395" t="s">
        <v>9878</v>
      </c>
    </row>
    <row r="5396" spans="1:9" x14ac:dyDescent="0.25">
      <c r="A5396" s="1" t="str">
        <f>HYPERLINK("https://lynxcrm-apac--c.eu19.visual.force.com/0011i000001xmrKAAQ","The Medical Practice Pte Ltd")</f>
        <v>The Medical Practice Pte Ltd</v>
      </c>
      <c r="B5396" t="s">
        <v>9879</v>
      </c>
      <c r="C5396" t="s">
        <v>10</v>
      </c>
      <c r="D5396" t="s">
        <v>8</v>
      </c>
      <c r="E5396" t="s">
        <v>8</v>
      </c>
      <c r="F5396" t="s">
        <v>4816</v>
      </c>
      <c r="G5396" t="s">
        <v>4817</v>
      </c>
      <c r="H5396" t="s">
        <v>4818</v>
      </c>
      <c r="I5396" t="s">
        <v>3716</v>
      </c>
    </row>
    <row r="5397" spans="1:9" x14ac:dyDescent="0.25">
      <c r="A5397" s="1" t="str">
        <f>HYPERLINK("https://lynxcrm-apac--c.eu19.visual.force.com/0011i000001xnVZAAY","The Ming Clinic")</f>
        <v>The Ming Clinic</v>
      </c>
      <c r="B5397" t="s">
        <v>9880</v>
      </c>
      <c r="C5397" t="s">
        <v>10</v>
      </c>
      <c r="D5397" t="s">
        <v>8</v>
      </c>
      <c r="E5397" t="s">
        <v>8</v>
      </c>
      <c r="F5397" t="s">
        <v>1849</v>
      </c>
      <c r="G5397" t="s">
        <v>5213</v>
      </c>
      <c r="H5397" t="s">
        <v>5214</v>
      </c>
      <c r="I5397" t="s">
        <v>51</v>
      </c>
    </row>
    <row r="5398" spans="1:9" x14ac:dyDescent="0.25">
      <c r="A5398" s="1" t="str">
        <f>HYPERLINK("https://lynxcrm-apac--c.eu19.visual.force.com/0011i000001xmgSAAQ","The Olive Tree Family Clinic")</f>
        <v>The Olive Tree Family Clinic</v>
      </c>
      <c r="B5398" t="s">
        <v>9881</v>
      </c>
      <c r="C5398" t="s">
        <v>10</v>
      </c>
      <c r="D5398" t="s">
        <v>8</v>
      </c>
      <c r="E5398" t="s">
        <v>8</v>
      </c>
      <c r="F5398" t="s">
        <v>9882</v>
      </c>
      <c r="G5398" t="s">
        <v>564</v>
      </c>
      <c r="H5398" t="s">
        <v>9883</v>
      </c>
      <c r="I5398" t="s">
        <v>9884</v>
      </c>
    </row>
    <row r="5399" spans="1:9" x14ac:dyDescent="0.25">
      <c r="A5399" s="1" t="str">
        <f>HYPERLINK("https://lynxcrm-apac--c.eu19.visual.force.com/0011i000001xnBFAAY","The Orthoklinic")</f>
        <v>The Orthoklinic</v>
      </c>
      <c r="B5399" t="s">
        <v>9885</v>
      </c>
      <c r="C5399" t="s">
        <v>10</v>
      </c>
      <c r="D5399" t="s">
        <v>8</v>
      </c>
      <c r="E5399" t="s">
        <v>8</v>
      </c>
      <c r="F5399" t="s">
        <v>69</v>
      </c>
      <c r="G5399" t="s">
        <v>2059</v>
      </c>
      <c r="H5399" t="s">
        <v>2059</v>
      </c>
      <c r="I5399" t="s">
        <v>67</v>
      </c>
    </row>
    <row r="5400" spans="1:9" x14ac:dyDescent="0.25">
      <c r="A5400" s="1" t="str">
        <f>HYPERLINK("https://lynxcrm-apac--c.eu19.visual.force.com/0011i000001xnbFAAQ","The Pain Specialist")</f>
        <v>The Pain Specialist</v>
      </c>
      <c r="B5400" t="s">
        <v>9886</v>
      </c>
      <c r="C5400" t="s">
        <v>10</v>
      </c>
      <c r="D5400" t="s">
        <v>8</v>
      </c>
      <c r="E5400" t="s">
        <v>8</v>
      </c>
      <c r="F5400" t="s">
        <v>377</v>
      </c>
      <c r="G5400" t="s">
        <v>9887</v>
      </c>
      <c r="H5400" t="s">
        <v>9888</v>
      </c>
      <c r="I5400" t="s">
        <v>123</v>
      </c>
    </row>
    <row r="5401" spans="1:9" x14ac:dyDescent="0.25">
      <c r="A5401" s="1" t="str">
        <f>HYPERLINK("https://lynxcrm-apac--c.eu19.visual.force.com/0011i000001xnChAAI","The People's Clinic")</f>
        <v>The People's Clinic</v>
      </c>
      <c r="B5401" t="s">
        <v>9889</v>
      </c>
      <c r="C5401" t="s">
        <v>10</v>
      </c>
      <c r="D5401" t="s">
        <v>8</v>
      </c>
      <c r="E5401" t="s">
        <v>8</v>
      </c>
      <c r="F5401" t="s">
        <v>7705</v>
      </c>
      <c r="G5401" t="s">
        <v>7706</v>
      </c>
      <c r="H5401" t="s">
        <v>7707</v>
      </c>
      <c r="I5401" t="s">
        <v>7708</v>
      </c>
    </row>
    <row r="5402" spans="1:9" x14ac:dyDescent="0.25">
      <c r="A5402" s="1" t="str">
        <f>HYPERLINK("https://lynxcrm-apac--c.eu19.visual.force.com/0011i000001xn12AAA","The Pharmacy Department")</f>
        <v>The Pharmacy Department</v>
      </c>
      <c r="B5402" t="s">
        <v>9890</v>
      </c>
      <c r="C5402" t="s">
        <v>10</v>
      </c>
      <c r="D5402" t="s">
        <v>8</v>
      </c>
      <c r="E5402" t="s">
        <v>8</v>
      </c>
      <c r="F5402" t="s">
        <v>429</v>
      </c>
      <c r="G5402" t="s">
        <v>9891</v>
      </c>
      <c r="H5402" t="s">
        <v>9891</v>
      </c>
      <c r="I5402" t="s">
        <v>8</v>
      </c>
    </row>
    <row r="5403" spans="1:9" x14ac:dyDescent="0.25">
      <c r="A5403" s="1" t="str">
        <f>HYPERLINK("https://lynxcrm-apac--c.eu19.visual.force.com/0011i000001xnPJAAY","The Premier Medical Clinic")</f>
        <v>The Premier Medical Clinic</v>
      </c>
      <c r="B5403" t="s">
        <v>9892</v>
      </c>
      <c r="C5403" t="s">
        <v>10</v>
      </c>
      <c r="D5403" t="s">
        <v>8</v>
      </c>
      <c r="E5403" t="s">
        <v>8</v>
      </c>
      <c r="F5403" t="s">
        <v>8948</v>
      </c>
      <c r="G5403" t="s">
        <v>8949</v>
      </c>
      <c r="H5403" t="s">
        <v>8949</v>
      </c>
      <c r="I5403" t="s">
        <v>1080</v>
      </c>
    </row>
    <row r="5404" spans="1:9" x14ac:dyDescent="0.25">
      <c r="A5404" s="1" t="str">
        <f>HYPERLINK("https://lynxcrm-apac--c.eu19.visual.force.com/0011i000001xn7DAAQ","The Premier Medical Clinic")</f>
        <v>The Premier Medical Clinic</v>
      </c>
      <c r="B5404" t="s">
        <v>9893</v>
      </c>
      <c r="C5404" t="s">
        <v>10</v>
      </c>
      <c r="D5404" t="s">
        <v>8</v>
      </c>
      <c r="E5404" t="s">
        <v>8</v>
      </c>
      <c r="F5404" t="s">
        <v>9894</v>
      </c>
      <c r="G5404" t="s">
        <v>8949</v>
      </c>
      <c r="H5404" t="s">
        <v>8949</v>
      </c>
      <c r="I5404" t="s">
        <v>1080</v>
      </c>
    </row>
    <row r="5405" spans="1:9" x14ac:dyDescent="0.25">
      <c r="A5405" s="1" t="str">
        <f>HYPERLINK("https://lynxcrm-apac--c.eu19.visual.force.com/0011i000001xnISAAY","The Psychological Medical Practice Pte Ltd")</f>
        <v>The Psychological Medical Practice Pte Ltd</v>
      </c>
      <c r="B5405" t="s">
        <v>9895</v>
      </c>
      <c r="C5405" t="s">
        <v>10</v>
      </c>
      <c r="D5405" t="s">
        <v>8</v>
      </c>
      <c r="E5405" t="s">
        <v>8</v>
      </c>
      <c r="F5405" t="s">
        <v>9896</v>
      </c>
      <c r="G5405" t="s">
        <v>1095</v>
      </c>
      <c r="H5405" t="s">
        <v>9897</v>
      </c>
      <c r="I5405" t="s">
        <v>677</v>
      </c>
    </row>
    <row r="5406" spans="1:9" x14ac:dyDescent="0.25">
      <c r="A5406" s="1" t="str">
        <f>HYPERLINK("https://lynxcrm-apac--c.eu19.visual.force.com/0011i000001xnQGAAY","The Psychological Wellness Centre")</f>
        <v>The Psychological Wellness Centre</v>
      </c>
      <c r="B5406" t="s">
        <v>9898</v>
      </c>
      <c r="C5406" t="s">
        <v>10</v>
      </c>
      <c r="D5406" t="s">
        <v>8</v>
      </c>
      <c r="E5406" t="s">
        <v>8</v>
      </c>
      <c r="F5406" t="s">
        <v>5322</v>
      </c>
      <c r="G5406" t="s">
        <v>326</v>
      </c>
      <c r="H5406" t="s">
        <v>326</v>
      </c>
      <c r="I5406" t="s">
        <v>310</v>
      </c>
    </row>
    <row r="5407" spans="1:9" x14ac:dyDescent="0.25">
      <c r="A5407" s="1" t="str">
        <f>HYPERLINK("https://lynxcrm-apac--c.eu19.visual.force.com/0011i000001xncSAAQ","THe Rafflesian Clinic &amp; Surgery")</f>
        <v>THe Rafflesian Clinic &amp; Surgery</v>
      </c>
      <c r="B5407" t="s">
        <v>9899</v>
      </c>
      <c r="C5407" t="s">
        <v>10</v>
      </c>
      <c r="D5407" t="s">
        <v>8</v>
      </c>
      <c r="E5407" t="s">
        <v>8</v>
      </c>
      <c r="F5407" t="s">
        <v>4857</v>
      </c>
      <c r="G5407" t="s">
        <v>885</v>
      </c>
      <c r="H5407" t="s">
        <v>885</v>
      </c>
      <c r="I5407" t="s">
        <v>887</v>
      </c>
    </row>
    <row r="5408" spans="1:9" x14ac:dyDescent="0.25">
      <c r="A5408" s="1" t="str">
        <f>HYPERLINK("https://lynxcrm-apac--c.eu19.visual.force.com/0011i000001xnZKAAY","Theresa Women's Clinic")</f>
        <v>Theresa Women's Clinic</v>
      </c>
      <c r="B5408" t="s">
        <v>9900</v>
      </c>
      <c r="C5408" t="s">
        <v>10</v>
      </c>
      <c r="D5408" t="s">
        <v>8</v>
      </c>
      <c r="E5408" t="s">
        <v>8</v>
      </c>
      <c r="F5408" t="s">
        <v>9901</v>
      </c>
      <c r="G5408" t="s">
        <v>9902</v>
      </c>
      <c r="H5408" t="s">
        <v>9903</v>
      </c>
      <c r="I5408" t="s">
        <v>9904</v>
      </c>
    </row>
    <row r="5409" spans="1:9" x14ac:dyDescent="0.25">
      <c r="A5409" s="1" t="str">
        <f>HYPERLINK("https://lynxcrm-apac--c.eu19.visual.force.com/0011i000001xnBCAAY","The Resilienz Clinic")</f>
        <v>The Resilienz Clinic</v>
      </c>
      <c r="B5409" t="s">
        <v>9905</v>
      </c>
      <c r="C5409" t="s">
        <v>10</v>
      </c>
      <c r="D5409" t="s">
        <v>8</v>
      </c>
      <c r="E5409" t="s">
        <v>8</v>
      </c>
      <c r="F5409" t="s">
        <v>9906</v>
      </c>
      <c r="G5409" t="s">
        <v>885</v>
      </c>
      <c r="H5409" t="s">
        <v>885</v>
      </c>
      <c r="I5409" t="s">
        <v>887</v>
      </c>
    </row>
    <row r="5410" spans="1:9" x14ac:dyDescent="0.25">
      <c r="A5410" s="1" t="str">
        <f>HYPERLINK("https://lynxcrm-apac--c.eu19.visual.force.com/0011i000001xmvnAAA","The Singapore Clinic for Kidney Diseases")</f>
        <v>The Singapore Clinic for Kidney Diseases</v>
      </c>
      <c r="B5410" t="s">
        <v>9907</v>
      </c>
      <c r="C5410" t="s">
        <v>10</v>
      </c>
      <c r="D5410" t="s">
        <v>8</v>
      </c>
      <c r="E5410" t="s">
        <v>8</v>
      </c>
      <c r="F5410" t="s">
        <v>6307</v>
      </c>
      <c r="G5410" t="s">
        <v>121</v>
      </c>
      <c r="H5410" t="s">
        <v>121</v>
      </c>
      <c r="I5410" t="s">
        <v>123</v>
      </c>
    </row>
    <row r="5411" spans="1:9" x14ac:dyDescent="0.25">
      <c r="A5411" s="1" t="str">
        <f>HYPERLINK("https://lynxcrm-apac--c.eu19.visual.force.com/0011i000001xnGtAAI","The Singapore Clinic For Kidney Diseases Pte Ltd")</f>
        <v>The Singapore Clinic For Kidney Diseases Pte Ltd</v>
      </c>
      <c r="B5411" t="s">
        <v>9908</v>
      </c>
      <c r="C5411" t="s">
        <v>10</v>
      </c>
      <c r="D5411" t="s">
        <v>8</v>
      </c>
      <c r="E5411" t="s">
        <v>8</v>
      </c>
      <c r="F5411" t="s">
        <v>377</v>
      </c>
      <c r="G5411" t="s">
        <v>9909</v>
      </c>
      <c r="H5411" t="s">
        <v>9909</v>
      </c>
      <c r="I5411" t="s">
        <v>123</v>
      </c>
    </row>
    <row r="5412" spans="1:9" x14ac:dyDescent="0.25">
      <c r="A5412" s="1" t="str">
        <f>HYPERLINK("https://lynxcrm-apac--c.eu19.visual.force.com/0011i000001xmv1AAA","The Skin Clinic")</f>
        <v>The Skin Clinic</v>
      </c>
      <c r="B5412" t="s">
        <v>9910</v>
      </c>
      <c r="C5412" t="s">
        <v>10</v>
      </c>
      <c r="D5412" t="s">
        <v>8</v>
      </c>
      <c r="E5412" t="s">
        <v>8</v>
      </c>
      <c r="F5412" t="s">
        <v>2355</v>
      </c>
      <c r="G5412" t="s">
        <v>2356</v>
      </c>
      <c r="H5412" t="s">
        <v>2356</v>
      </c>
      <c r="I5412" t="s">
        <v>2357</v>
      </c>
    </row>
    <row r="5413" spans="1:9" x14ac:dyDescent="0.25">
      <c r="A5413" s="1" t="str">
        <f>HYPERLINK("https://lynxcrm-apac--c.eu19.visual.force.com/0011i000001xn7vAAA","The Tow Yung Clinic")</f>
        <v>The Tow Yung Clinic</v>
      </c>
      <c r="B5413" t="s">
        <v>9911</v>
      </c>
      <c r="C5413" t="s">
        <v>10</v>
      </c>
      <c r="D5413" t="s">
        <v>8</v>
      </c>
      <c r="E5413" t="s">
        <v>8</v>
      </c>
      <c r="F5413" t="s">
        <v>1768</v>
      </c>
      <c r="G5413" t="s">
        <v>6015</v>
      </c>
      <c r="H5413" t="s">
        <v>6016</v>
      </c>
      <c r="I5413" t="s">
        <v>47</v>
      </c>
    </row>
    <row r="5414" spans="1:9" x14ac:dyDescent="0.25">
      <c r="A5414" s="1" t="str">
        <f>HYPERLINK("https://lynxcrm-apac--c.eu19.visual.force.com/0011i000001xnbQAAQ","The Tow Yung Clinic")</f>
        <v>The Tow Yung Clinic</v>
      </c>
      <c r="B5414" t="s">
        <v>9912</v>
      </c>
      <c r="C5414" t="s">
        <v>10</v>
      </c>
      <c r="D5414" t="s">
        <v>8</v>
      </c>
      <c r="E5414" t="s">
        <v>8</v>
      </c>
      <c r="F5414" t="s">
        <v>1768</v>
      </c>
      <c r="G5414" t="s">
        <v>6015</v>
      </c>
      <c r="H5414" t="s">
        <v>6016</v>
      </c>
      <c r="I5414" t="s">
        <v>47</v>
      </c>
    </row>
    <row r="5415" spans="1:9" x14ac:dyDescent="0.25">
      <c r="A5415" s="1" t="str">
        <f>HYPERLINK("https://lynxcrm-apac--c.eu19.visual.force.com/0011i000001xmeYAAQ","The Vein Clinic &amp; Surgery")</f>
        <v>The Vein Clinic &amp; Surgery</v>
      </c>
      <c r="B5415" t="s">
        <v>9913</v>
      </c>
      <c r="C5415" t="s">
        <v>10</v>
      </c>
      <c r="D5415" t="s">
        <v>8</v>
      </c>
      <c r="E5415" t="s">
        <v>8</v>
      </c>
      <c r="F5415" t="s">
        <v>317</v>
      </c>
      <c r="G5415" t="s">
        <v>9041</v>
      </c>
      <c r="H5415" t="s">
        <v>9042</v>
      </c>
      <c r="I5415" t="s">
        <v>85</v>
      </c>
    </row>
    <row r="5416" spans="1:9" x14ac:dyDescent="0.25">
      <c r="A5416" s="1" t="str">
        <f>HYPERLINK("https://lynxcrm-apac--c.eu19.visual.force.com/0011i000001xnQPAAY","The Women's Specialist")</f>
        <v>The Women's Specialist</v>
      </c>
      <c r="B5416" t="s">
        <v>9914</v>
      </c>
      <c r="C5416" t="s">
        <v>10</v>
      </c>
      <c r="D5416" t="s">
        <v>8</v>
      </c>
      <c r="E5416" t="s">
        <v>8</v>
      </c>
      <c r="F5416" t="s">
        <v>2561</v>
      </c>
      <c r="G5416" t="s">
        <v>2562</v>
      </c>
      <c r="H5416" t="s">
        <v>2562</v>
      </c>
      <c r="I5416" t="s">
        <v>2352</v>
      </c>
    </row>
    <row r="5417" spans="1:9" x14ac:dyDescent="0.25">
      <c r="A5417" s="1" t="str">
        <f>HYPERLINK("https://lynxcrm-apac--c.eu19.visual.force.com/0011i000001xmoIAAQ","The Women's Specialist Centre")</f>
        <v>The Women's Specialist Centre</v>
      </c>
      <c r="B5417" t="s">
        <v>9915</v>
      </c>
      <c r="C5417" t="s">
        <v>10</v>
      </c>
      <c r="D5417" t="s">
        <v>8</v>
      </c>
      <c r="E5417" t="s">
        <v>8</v>
      </c>
      <c r="F5417" t="s">
        <v>69</v>
      </c>
      <c r="G5417" t="s">
        <v>1314</v>
      </c>
      <c r="H5417" t="s">
        <v>1315</v>
      </c>
      <c r="I5417" t="s">
        <v>67</v>
      </c>
    </row>
    <row r="5418" spans="1:9" x14ac:dyDescent="0.25">
      <c r="A5418" s="1" t="str">
        <f>HYPERLINK("https://lynxcrm-apac--c.eu19.visual.force.com/0011i000001xo2HAAQ","Thia, Teck Joo Kevin")</f>
        <v>Thia, Teck Joo Kevin</v>
      </c>
      <c r="B5418" t="s">
        <v>9916</v>
      </c>
      <c r="C5418" t="s">
        <v>28</v>
      </c>
      <c r="D5418" t="s">
        <v>9917</v>
      </c>
      <c r="E5418" t="s">
        <v>8</v>
      </c>
      <c r="F5418" t="s">
        <v>412</v>
      </c>
      <c r="G5418" t="s">
        <v>121</v>
      </c>
      <c r="H5418" t="s">
        <v>121</v>
      </c>
      <c r="I5418" t="s">
        <v>123</v>
      </c>
    </row>
    <row r="5419" spans="1:9" x14ac:dyDescent="0.25">
      <c r="A5419" s="1" t="str">
        <f>HYPERLINK("https://lynxcrm-apac--c.eu19.visual.force.com/0011i000001xoaHAAQ","Thian, Toh Meng Anthony")</f>
        <v>Thian, Toh Meng Anthony</v>
      </c>
      <c r="B5419" t="s">
        <v>9918</v>
      </c>
      <c r="C5419" t="s">
        <v>28</v>
      </c>
      <c r="D5419" t="s">
        <v>8947</v>
      </c>
      <c r="E5419" t="s">
        <v>8</v>
      </c>
      <c r="F5419" t="s">
        <v>9894</v>
      </c>
      <c r="G5419" t="s">
        <v>8949</v>
      </c>
      <c r="H5419" t="s">
        <v>8949</v>
      </c>
      <c r="I5419" t="s">
        <v>1080</v>
      </c>
    </row>
    <row r="5420" spans="1:9" x14ac:dyDescent="0.25">
      <c r="A5420" s="1" t="str">
        <f>HYPERLINK("https://lynxcrm-apac--c.eu19.visual.force.com/0011i000001xnubAAA","Thiow, Boon Yin")</f>
        <v>Thiow, Boon Yin</v>
      </c>
      <c r="B5420" t="s">
        <v>9919</v>
      </c>
      <c r="C5420" t="s">
        <v>28</v>
      </c>
      <c r="D5420" t="s">
        <v>9920</v>
      </c>
      <c r="E5420" t="s">
        <v>8</v>
      </c>
      <c r="F5420" t="s">
        <v>9921</v>
      </c>
      <c r="G5420" t="s">
        <v>2191</v>
      </c>
      <c r="H5420" t="s">
        <v>9922</v>
      </c>
      <c r="I5420" t="s">
        <v>834</v>
      </c>
    </row>
    <row r="5421" spans="1:9" x14ac:dyDescent="0.25">
      <c r="A5421" s="1" t="str">
        <f>HYPERLINK("https://lynxcrm-apac--c.eu19.visual.force.com/0011i000001xnudAAA","Thng, Hooi Leong")</f>
        <v>Thng, Hooi Leong</v>
      </c>
      <c r="B5421" t="s">
        <v>9923</v>
      </c>
      <c r="C5421" t="s">
        <v>28</v>
      </c>
      <c r="D5421" t="s">
        <v>2155</v>
      </c>
      <c r="E5421" t="s">
        <v>8</v>
      </c>
      <c r="F5421" t="s">
        <v>2156</v>
      </c>
      <c r="G5421" t="s">
        <v>2157</v>
      </c>
      <c r="H5421" t="s">
        <v>2157</v>
      </c>
      <c r="I5421" t="s">
        <v>2158</v>
      </c>
    </row>
    <row r="5422" spans="1:9" x14ac:dyDescent="0.25">
      <c r="A5422" s="1" t="str">
        <f>HYPERLINK("https://lynxcrm-apac--c.eu19.visual.force.com/0011i000001xo6nAAA","Tho, Kam San")</f>
        <v>Tho, Kam San</v>
      </c>
      <c r="B5422" t="s">
        <v>9924</v>
      </c>
      <c r="C5422" t="s">
        <v>28</v>
      </c>
      <c r="D5422" t="s">
        <v>5602</v>
      </c>
      <c r="E5422" t="s">
        <v>8</v>
      </c>
      <c r="F5422" t="s">
        <v>69</v>
      </c>
      <c r="G5422" t="s">
        <v>5603</v>
      </c>
      <c r="H5422" t="s">
        <v>1139</v>
      </c>
      <c r="I5422" t="s">
        <v>67</v>
      </c>
    </row>
    <row r="5423" spans="1:9" x14ac:dyDescent="0.25">
      <c r="A5423" s="1" t="str">
        <f>HYPERLINK("https://lynxcrm-apac--c.eu19.visual.force.com/0011i000001xn59AAA","Thomson Women's Clinic")</f>
        <v>Thomson Women's Clinic</v>
      </c>
      <c r="B5423" t="s">
        <v>9925</v>
      </c>
      <c r="C5423" t="s">
        <v>10</v>
      </c>
      <c r="D5423" t="s">
        <v>8</v>
      </c>
      <c r="E5423" t="s">
        <v>8</v>
      </c>
      <c r="F5423" t="s">
        <v>563</v>
      </c>
      <c r="G5423" t="s">
        <v>564</v>
      </c>
      <c r="H5423" t="s">
        <v>564</v>
      </c>
      <c r="I5423" t="s">
        <v>565</v>
      </c>
    </row>
    <row r="5424" spans="1:9" x14ac:dyDescent="0.25">
      <c r="A5424" s="1" t="str">
        <f>HYPERLINK("https://lynxcrm-apac--c.eu19.visual.force.com/0011i000007FFhPAAW","Thong, Chee Ming")</f>
        <v>Thong, Chee Ming</v>
      </c>
      <c r="B5424" t="s">
        <v>9926</v>
      </c>
      <c r="C5424" t="s">
        <v>28</v>
      </c>
      <c r="D5424" t="s">
        <v>9927</v>
      </c>
      <c r="E5424" t="s">
        <v>8</v>
      </c>
      <c r="F5424" t="s">
        <v>3949</v>
      </c>
      <c r="G5424" t="s">
        <v>3950</v>
      </c>
      <c r="H5424" t="s">
        <v>8</v>
      </c>
      <c r="I5424" t="s">
        <v>3951</v>
      </c>
    </row>
    <row r="5425" spans="1:9" x14ac:dyDescent="0.25">
      <c r="A5425" s="1" t="str">
        <f>HYPERLINK("https://lynxcrm-apac--c.eu19.visual.force.com/0011i000001xnufAAA","Thong, Pao-Wen Joan")</f>
        <v>Thong, Pao-Wen Joan</v>
      </c>
      <c r="B5425" t="s">
        <v>9928</v>
      </c>
      <c r="C5425" t="s">
        <v>28</v>
      </c>
      <c r="D5425" t="s">
        <v>164</v>
      </c>
      <c r="E5425" t="s">
        <v>8</v>
      </c>
      <c r="F5425" t="s">
        <v>2244</v>
      </c>
      <c r="G5425" t="s">
        <v>163</v>
      </c>
      <c r="H5425" t="s">
        <v>242</v>
      </c>
      <c r="I5425" t="s">
        <v>165</v>
      </c>
    </row>
    <row r="5426" spans="1:9" x14ac:dyDescent="0.25">
      <c r="A5426" s="1" t="str">
        <f>HYPERLINK("https://lynxcrm-apac--c.eu19.visual.force.com/0011i000001xnZiAAI","Thong Hoe Clinic")</f>
        <v>Thong Hoe Clinic</v>
      </c>
      <c r="B5426" t="s">
        <v>9929</v>
      </c>
      <c r="C5426" t="s">
        <v>10</v>
      </c>
      <c r="D5426" t="s">
        <v>8</v>
      </c>
      <c r="E5426" t="s">
        <v>8</v>
      </c>
      <c r="F5426" t="s">
        <v>1371</v>
      </c>
      <c r="G5426" t="s">
        <v>1372</v>
      </c>
      <c r="H5426" t="s">
        <v>1372</v>
      </c>
      <c r="I5426" t="s">
        <v>1373</v>
      </c>
    </row>
    <row r="5427" spans="1:9" x14ac:dyDescent="0.25">
      <c r="A5427" s="1" t="str">
        <f>HYPERLINK("https://lynxcrm-apac--c.eu19.visual.force.com/0011i000001xmjJAAQ","Thong Teck Clinic")</f>
        <v>Thong Teck Clinic</v>
      </c>
      <c r="B5427" t="s">
        <v>9930</v>
      </c>
      <c r="C5427" t="s">
        <v>10</v>
      </c>
      <c r="D5427" t="s">
        <v>8</v>
      </c>
      <c r="E5427" t="s">
        <v>8</v>
      </c>
      <c r="F5427" t="s">
        <v>9330</v>
      </c>
      <c r="G5427" t="s">
        <v>9330</v>
      </c>
      <c r="H5427" t="s">
        <v>9331</v>
      </c>
      <c r="I5427" t="s">
        <v>9332</v>
      </c>
    </row>
    <row r="5428" spans="1:9" x14ac:dyDescent="0.25">
      <c r="A5428" s="1" t="str">
        <f>HYPERLINK("https://lynxcrm-apac--c.eu19.visual.force.com/0011i00000S3HIiAAN","Thu, Win")</f>
        <v>Thu, Win</v>
      </c>
      <c r="B5428" t="s">
        <v>9931</v>
      </c>
      <c r="C5428" t="s">
        <v>28</v>
      </c>
      <c r="D5428" t="s">
        <v>147</v>
      </c>
      <c r="E5428" t="s">
        <v>8</v>
      </c>
      <c r="F5428" t="s">
        <v>147</v>
      </c>
      <c r="G5428" t="s">
        <v>148</v>
      </c>
      <c r="H5428" t="s">
        <v>148</v>
      </c>
      <c r="I5428" t="s">
        <v>149</v>
      </c>
    </row>
    <row r="5429" spans="1:9" x14ac:dyDescent="0.25">
      <c r="A5429" s="1" t="str">
        <f>HYPERLINK("https://lynxcrm-apac--c.eu19.visual.force.com/0011i000001xo8SAAQ","Ti, Thiow Kong")</f>
        <v>Ti, Thiow Kong</v>
      </c>
      <c r="B5429" t="s">
        <v>9932</v>
      </c>
      <c r="C5429" t="s">
        <v>28</v>
      </c>
      <c r="D5429" t="s">
        <v>9933</v>
      </c>
      <c r="E5429" t="s">
        <v>8</v>
      </c>
      <c r="F5429" t="s">
        <v>121</v>
      </c>
      <c r="G5429" t="s">
        <v>129</v>
      </c>
      <c r="H5429" t="s">
        <v>129</v>
      </c>
      <c r="I5429" t="s">
        <v>123</v>
      </c>
    </row>
    <row r="5430" spans="1:9" x14ac:dyDescent="0.25">
      <c r="A5430" s="1" t="str">
        <f>HYPERLINK("https://lynxcrm-apac--c.eu19.visual.force.com/0011i000001xoIZAAY","Tiah, Jean")</f>
        <v>Tiah, Jean</v>
      </c>
      <c r="B5430" t="s">
        <v>9934</v>
      </c>
      <c r="C5430" t="s">
        <v>28</v>
      </c>
      <c r="D5430" t="s">
        <v>9260</v>
      </c>
      <c r="E5430" t="s">
        <v>8</v>
      </c>
      <c r="F5430" t="s">
        <v>3937</v>
      </c>
      <c r="G5430" t="s">
        <v>178</v>
      </c>
      <c r="H5430" t="s">
        <v>3938</v>
      </c>
      <c r="I5430" t="s">
        <v>1892</v>
      </c>
    </row>
    <row r="5431" spans="1:9" x14ac:dyDescent="0.25">
      <c r="A5431" s="1" t="str">
        <f>HYPERLINK("https://lynxcrm-apac--c.eu19.visual.force.com/0011i000001xoCuAAI","Tiah, Ling")</f>
        <v>Tiah, Ling</v>
      </c>
      <c r="B5431" t="s">
        <v>9935</v>
      </c>
      <c r="C5431" t="s">
        <v>28</v>
      </c>
      <c r="D5431" t="s">
        <v>368</v>
      </c>
      <c r="E5431" t="s">
        <v>8</v>
      </c>
      <c r="F5431" t="s">
        <v>584</v>
      </c>
      <c r="G5431" t="s">
        <v>583</v>
      </c>
      <c r="H5431" t="s">
        <v>583</v>
      </c>
      <c r="I5431" t="s">
        <v>585</v>
      </c>
    </row>
    <row r="5432" spans="1:9" x14ac:dyDescent="0.25">
      <c r="A5432" s="1" t="str">
        <f>HYPERLINK("https://lynxcrm-apac--c.eu19.visual.force.com/0011i000001xoCuAAI","Tiah, Ling")</f>
        <v>Tiah, Ling</v>
      </c>
      <c r="B5432" t="s">
        <v>9935</v>
      </c>
      <c r="C5432" t="s">
        <v>28</v>
      </c>
      <c r="D5432" t="s">
        <v>583</v>
      </c>
      <c r="E5432" t="s">
        <v>8</v>
      </c>
      <c r="F5432" t="s">
        <v>583</v>
      </c>
      <c r="G5432" t="s">
        <v>584</v>
      </c>
      <c r="H5432" t="s">
        <v>584</v>
      </c>
      <c r="I5432" t="s">
        <v>585</v>
      </c>
    </row>
    <row r="5433" spans="1:9" x14ac:dyDescent="0.25">
      <c r="A5433" s="1" t="str">
        <f>HYPERLINK("https://lynxcrm-apac--c.eu19.visual.force.com/0011i000002IdA9AAK","Tian, Elizabeth")</f>
        <v>Tian, Elizabeth</v>
      </c>
      <c r="B5433" t="s">
        <v>9936</v>
      </c>
      <c r="C5433" t="s">
        <v>28</v>
      </c>
      <c r="D5433" t="s">
        <v>12</v>
      </c>
      <c r="E5433" t="s">
        <v>8</v>
      </c>
      <c r="F5433" t="s">
        <v>11</v>
      </c>
      <c r="G5433" t="s">
        <v>11</v>
      </c>
      <c r="H5433" t="s">
        <v>8</v>
      </c>
      <c r="I5433" t="s">
        <v>13</v>
      </c>
    </row>
    <row r="5434" spans="1:9" x14ac:dyDescent="0.25">
      <c r="A5434" s="1" t="str">
        <f>HYPERLINK("https://lynxcrm-apac--c.eu19.visual.force.com/0011i00000C7VxTAAV","Tian, Zhao")</f>
        <v>Tian, Zhao</v>
      </c>
      <c r="B5434" t="s">
        <v>9937</v>
      </c>
      <c r="C5434" t="s">
        <v>28</v>
      </c>
      <c r="D5434" t="s">
        <v>1333</v>
      </c>
      <c r="E5434" t="s">
        <v>8</v>
      </c>
      <c r="F5434" t="s">
        <v>4019</v>
      </c>
      <c r="G5434" t="s">
        <v>1774</v>
      </c>
      <c r="H5434" t="s">
        <v>1774</v>
      </c>
      <c r="I5434" t="s">
        <v>4020</v>
      </c>
    </row>
    <row r="5435" spans="1:9" x14ac:dyDescent="0.25">
      <c r="A5435" s="1" t="str">
        <f>HYPERLINK("https://lynxcrm-apac--c.eu19.visual.force.com/0011i00000Q8clDAAR","Ting, Choon Meng")</f>
        <v>Ting, Choon Meng</v>
      </c>
      <c r="B5435" t="s">
        <v>9938</v>
      </c>
      <c r="C5435" t="s">
        <v>28</v>
      </c>
      <c r="D5435" t="s">
        <v>9939</v>
      </c>
      <c r="E5435" t="s">
        <v>8</v>
      </c>
      <c r="F5435" t="s">
        <v>8935</v>
      </c>
      <c r="G5435" t="s">
        <v>8936</v>
      </c>
      <c r="H5435" t="s">
        <v>8</v>
      </c>
      <c r="I5435" t="s">
        <v>8933</v>
      </c>
    </row>
    <row r="5436" spans="1:9" x14ac:dyDescent="0.25">
      <c r="A5436" s="1" t="str">
        <f>HYPERLINK("https://lynxcrm-apac--c.eu19.visual.force.com/0011i000001xnujAAA","Ting, Choon Meng")</f>
        <v>Ting, Choon Meng</v>
      </c>
      <c r="B5436" t="s">
        <v>9940</v>
      </c>
      <c r="C5436" t="s">
        <v>28</v>
      </c>
      <c r="D5436" t="s">
        <v>9941</v>
      </c>
      <c r="E5436" t="s">
        <v>8</v>
      </c>
      <c r="F5436" t="s">
        <v>8930</v>
      </c>
      <c r="G5436" t="s">
        <v>8931</v>
      </c>
      <c r="H5436" t="s">
        <v>8932</v>
      </c>
      <c r="I5436" t="s">
        <v>8933</v>
      </c>
    </row>
    <row r="5437" spans="1:9" x14ac:dyDescent="0.25">
      <c r="A5437" s="1" t="str">
        <f>HYPERLINK("https://lynxcrm-apac--c.eu19.visual.force.com/0011i000007EVHLAA4","Ting, Peter")</f>
        <v>Ting, Peter</v>
      </c>
      <c r="B5437" t="s">
        <v>9942</v>
      </c>
      <c r="C5437" t="s">
        <v>28</v>
      </c>
      <c r="D5437" t="s">
        <v>9943</v>
      </c>
      <c r="E5437" t="s">
        <v>8</v>
      </c>
      <c r="F5437" t="s">
        <v>7989</v>
      </c>
      <c r="G5437" t="s">
        <v>469</v>
      </c>
      <c r="H5437" t="s">
        <v>8</v>
      </c>
      <c r="I5437" t="s">
        <v>466</v>
      </c>
    </row>
    <row r="5438" spans="1:9" x14ac:dyDescent="0.25">
      <c r="A5438" s="1" t="str">
        <f>HYPERLINK("https://lynxcrm-apac--c.eu19.visual.force.com/0011i000007EVHLAA4","Ting, Peter")</f>
        <v>Ting, Peter</v>
      </c>
      <c r="B5438" t="s">
        <v>9942</v>
      </c>
      <c r="C5438" t="s">
        <v>28</v>
      </c>
      <c r="D5438" t="s">
        <v>1927</v>
      </c>
      <c r="E5438" t="s">
        <v>8</v>
      </c>
      <c r="F5438" t="s">
        <v>786</v>
      </c>
      <c r="G5438" t="s">
        <v>1928</v>
      </c>
      <c r="H5438" t="s">
        <v>8</v>
      </c>
      <c r="I5438" t="s">
        <v>788</v>
      </c>
    </row>
    <row r="5439" spans="1:9" x14ac:dyDescent="0.25">
      <c r="A5439" s="1" t="str">
        <f>HYPERLINK("https://lynxcrm-apac--c.eu19.visual.force.com/0011i00000Xf1IiAAJ","Ting, Wen Chang")</f>
        <v>Ting, Wen Chang</v>
      </c>
      <c r="B5439" t="s">
        <v>9944</v>
      </c>
      <c r="C5439" t="s">
        <v>28</v>
      </c>
      <c r="D5439" t="s">
        <v>9945</v>
      </c>
      <c r="E5439" t="s">
        <v>8</v>
      </c>
      <c r="F5439" t="s">
        <v>9946</v>
      </c>
      <c r="G5439" t="s">
        <v>388</v>
      </c>
      <c r="H5439" t="s">
        <v>8</v>
      </c>
      <c r="I5439" t="s">
        <v>123</v>
      </c>
    </row>
    <row r="5440" spans="1:9" x14ac:dyDescent="0.25">
      <c r="A5440" s="1" t="str">
        <f>HYPERLINK("https://lynxcrm-apac--c.eu19.visual.force.com/0011i000001xoCvAAI","Ting, Wong Sing Vincent")</f>
        <v>Ting, Wong Sing Vincent</v>
      </c>
      <c r="B5440" t="s">
        <v>9947</v>
      </c>
      <c r="C5440" t="s">
        <v>28</v>
      </c>
      <c r="D5440" t="s">
        <v>5353</v>
      </c>
      <c r="E5440" t="s">
        <v>8</v>
      </c>
      <c r="F5440" t="s">
        <v>6824</v>
      </c>
      <c r="G5440" t="s">
        <v>6825</v>
      </c>
      <c r="H5440" t="s">
        <v>6825</v>
      </c>
      <c r="I5440" t="s">
        <v>6826</v>
      </c>
    </row>
    <row r="5441" spans="1:9" x14ac:dyDescent="0.25">
      <c r="A5441" s="1" t="str">
        <f>HYPERLINK("https://lynxcrm-apac--c.eu19.visual.force.com/0011i000001xobjAAA","Tiong, Sylvia")</f>
        <v>Tiong, Sylvia</v>
      </c>
      <c r="B5441" t="s">
        <v>9948</v>
      </c>
      <c r="C5441" t="s">
        <v>28</v>
      </c>
      <c r="D5441" t="s">
        <v>9390</v>
      </c>
      <c r="E5441" t="s">
        <v>8</v>
      </c>
      <c r="F5441" t="s">
        <v>9949</v>
      </c>
      <c r="G5441" t="s">
        <v>3119</v>
      </c>
      <c r="H5441" t="s">
        <v>3119</v>
      </c>
      <c r="I5441" t="s">
        <v>1158</v>
      </c>
    </row>
    <row r="5442" spans="1:9" x14ac:dyDescent="0.25">
      <c r="A5442" s="1" t="str">
        <f>HYPERLINK("https://lynxcrm-apac--c.eu19.visual.force.com/0011i000001xnj3AAA","Tiong, Yee Sian")</f>
        <v>Tiong, Yee Sian</v>
      </c>
      <c r="B5442" t="s">
        <v>9950</v>
      </c>
      <c r="C5442" t="s">
        <v>28</v>
      </c>
      <c r="D5442" t="s">
        <v>429</v>
      </c>
      <c r="E5442" t="s">
        <v>8</v>
      </c>
      <c r="F5442" t="s">
        <v>429</v>
      </c>
      <c r="G5442" t="s">
        <v>428</v>
      </c>
      <c r="H5442" t="s">
        <v>428</v>
      </c>
      <c r="I5442" t="s">
        <v>430</v>
      </c>
    </row>
    <row r="5443" spans="1:9" x14ac:dyDescent="0.25">
      <c r="A5443" s="1" t="str">
        <f>HYPERLINK("https://lynxcrm-apac--c.eu19.visual.force.com/0011i000001xnj3AAA","Tiong, Yee Sian")</f>
        <v>Tiong, Yee Sian</v>
      </c>
      <c r="B5443" t="s">
        <v>9950</v>
      </c>
      <c r="C5443" t="s">
        <v>28</v>
      </c>
      <c r="D5443" t="s">
        <v>429</v>
      </c>
      <c r="E5443" t="s">
        <v>8</v>
      </c>
      <c r="F5443" t="s">
        <v>444</v>
      </c>
      <c r="G5443" t="s">
        <v>444</v>
      </c>
      <c r="H5443" t="s">
        <v>8</v>
      </c>
      <c r="I5443" t="s">
        <v>430</v>
      </c>
    </row>
    <row r="5444" spans="1:9" x14ac:dyDescent="0.25">
      <c r="A5444" s="1" t="str">
        <f>HYPERLINK("https://lynxcrm-apac--c.eu19.visual.force.com/0011i000001xnj3AAA","Tiong, Yee Sian")</f>
        <v>Tiong, Yee Sian</v>
      </c>
      <c r="B5444" t="s">
        <v>9950</v>
      </c>
      <c r="C5444" t="s">
        <v>28</v>
      </c>
      <c r="D5444" t="s">
        <v>429</v>
      </c>
      <c r="E5444" t="s">
        <v>8</v>
      </c>
      <c r="F5444" t="s">
        <v>445</v>
      </c>
      <c r="G5444" t="s">
        <v>428</v>
      </c>
      <c r="H5444" t="s">
        <v>428</v>
      </c>
      <c r="I5444" t="s">
        <v>430</v>
      </c>
    </row>
    <row r="5445" spans="1:9" x14ac:dyDescent="0.25">
      <c r="A5445" s="1" t="str">
        <f>HYPERLINK("https://lynxcrm-apac--c.eu19.visual.force.com/0011i000001xnj3AAA","Tiong, Yee Sian")</f>
        <v>Tiong, Yee Sian</v>
      </c>
      <c r="B5445" t="s">
        <v>9950</v>
      </c>
      <c r="C5445" t="s">
        <v>28</v>
      </c>
      <c r="D5445" t="s">
        <v>429</v>
      </c>
      <c r="E5445" t="s">
        <v>8</v>
      </c>
      <c r="F5445" t="s">
        <v>444</v>
      </c>
      <c r="G5445" t="s">
        <v>444</v>
      </c>
      <c r="H5445" t="s">
        <v>8</v>
      </c>
      <c r="I5445" t="s">
        <v>8</v>
      </c>
    </row>
    <row r="5446" spans="1:9" x14ac:dyDescent="0.25">
      <c r="A5446" s="1" t="str">
        <f>HYPERLINK("https://lynxcrm-apac--c.eu19.visual.force.com/0011i000001xmdGAAQ","Tiong Bahru Medical Centre Pte Ltd")</f>
        <v>Tiong Bahru Medical Centre Pte Ltd</v>
      </c>
      <c r="B5446" t="s">
        <v>9951</v>
      </c>
      <c r="C5446" t="s">
        <v>10</v>
      </c>
      <c r="D5446" t="s">
        <v>8</v>
      </c>
      <c r="E5446" t="s">
        <v>8</v>
      </c>
      <c r="F5446" t="s">
        <v>9952</v>
      </c>
      <c r="G5446" t="s">
        <v>9953</v>
      </c>
      <c r="H5446" t="s">
        <v>9954</v>
      </c>
      <c r="I5446" t="s">
        <v>9955</v>
      </c>
    </row>
    <row r="5447" spans="1:9" x14ac:dyDescent="0.25">
      <c r="A5447" s="1" t="str">
        <f>HYPERLINK("https://lynxcrm-apac--c.eu19.visual.force.com/0011i000001xnulAAA","Tirtasana, Lily (Mrs Neo)")</f>
        <v>Tirtasana, Lily (Mrs Neo)</v>
      </c>
      <c r="B5447" t="s">
        <v>9956</v>
      </c>
      <c r="C5447" t="s">
        <v>28</v>
      </c>
      <c r="D5447" t="s">
        <v>9957</v>
      </c>
      <c r="E5447" t="s">
        <v>8</v>
      </c>
      <c r="F5447" t="s">
        <v>9438</v>
      </c>
      <c r="G5447" t="s">
        <v>9439</v>
      </c>
      <c r="H5447" t="s">
        <v>9440</v>
      </c>
      <c r="I5447" t="s">
        <v>9441</v>
      </c>
    </row>
    <row r="5448" spans="1:9" x14ac:dyDescent="0.25">
      <c r="A5448" s="1" t="str">
        <f>HYPERLINK("https://lynxcrm-apac--c.eu19.visual.force.com/0011i000001xoDuAAI","Tiruchittampalam, Mohan")</f>
        <v>Tiruchittampalam, Mohan</v>
      </c>
      <c r="B5448" t="s">
        <v>9958</v>
      </c>
      <c r="C5448" t="s">
        <v>28</v>
      </c>
      <c r="D5448" t="s">
        <v>583</v>
      </c>
      <c r="E5448" t="s">
        <v>8</v>
      </c>
      <c r="F5448" t="s">
        <v>583</v>
      </c>
      <c r="G5448" t="s">
        <v>584</v>
      </c>
      <c r="H5448" t="s">
        <v>584</v>
      </c>
      <c r="I5448" t="s">
        <v>585</v>
      </c>
    </row>
    <row r="5449" spans="1:9" x14ac:dyDescent="0.25">
      <c r="A5449" s="1" t="str">
        <f>HYPERLINK("https://lynxcrm-apac--c.eu19.visual.force.com/0011i000001xoDuAAI","Tiruchittampalam, Mohan")</f>
        <v>Tiruchittampalam, Mohan</v>
      </c>
      <c r="B5449" t="s">
        <v>9958</v>
      </c>
      <c r="C5449" t="s">
        <v>28</v>
      </c>
      <c r="D5449" t="s">
        <v>368</v>
      </c>
      <c r="E5449" t="s">
        <v>8</v>
      </c>
      <c r="F5449" t="s">
        <v>584</v>
      </c>
      <c r="G5449" t="s">
        <v>583</v>
      </c>
      <c r="H5449" t="s">
        <v>583</v>
      </c>
      <c r="I5449" t="s">
        <v>585</v>
      </c>
    </row>
    <row r="5450" spans="1:9" x14ac:dyDescent="0.25">
      <c r="A5450" s="1" t="str">
        <f>HYPERLINK("https://lynxcrm-apac--c.eu19.visual.force.com/0011i000001xo6qAAA","Tjia, Tjoei Lian Hele")</f>
        <v>Tjia, Tjoei Lian Hele</v>
      </c>
      <c r="B5450" t="s">
        <v>9959</v>
      </c>
      <c r="C5450" t="s">
        <v>28</v>
      </c>
      <c r="D5450" t="s">
        <v>474</v>
      </c>
      <c r="E5450" t="s">
        <v>8</v>
      </c>
      <c r="F5450" t="s">
        <v>1263</v>
      </c>
      <c r="G5450" t="s">
        <v>258</v>
      </c>
      <c r="H5450" t="s">
        <v>259</v>
      </c>
      <c r="I5450" t="s">
        <v>260</v>
      </c>
    </row>
    <row r="5451" spans="1:9" x14ac:dyDescent="0.25">
      <c r="A5451" s="1" t="str">
        <f>HYPERLINK("https://lynxcrm-apac--c.eu19.visual.force.com/0011i000001xnNhAAI","TJ Medical Clinic &amp; Surgery")</f>
        <v>TJ Medical Clinic &amp; Surgery</v>
      </c>
      <c r="B5451" t="s">
        <v>9960</v>
      </c>
      <c r="C5451" t="s">
        <v>10</v>
      </c>
      <c r="D5451" t="s">
        <v>8</v>
      </c>
      <c r="E5451" t="s">
        <v>8</v>
      </c>
      <c r="F5451" t="s">
        <v>9961</v>
      </c>
      <c r="G5451" t="s">
        <v>4126</v>
      </c>
      <c r="H5451" t="s">
        <v>9962</v>
      </c>
      <c r="I5451" t="s">
        <v>9963</v>
      </c>
    </row>
    <row r="5452" spans="1:9" x14ac:dyDescent="0.25">
      <c r="A5452" s="1" t="str">
        <f>HYPERLINK("https://lynxcrm-apac--c.eu19.visual.force.com/0011i000001xndIAAQ","TJ Medical Clinic &amp; Surgery")</f>
        <v>TJ Medical Clinic &amp; Surgery</v>
      </c>
      <c r="B5452" t="s">
        <v>9964</v>
      </c>
      <c r="C5452" t="s">
        <v>10</v>
      </c>
      <c r="D5452" t="s">
        <v>8</v>
      </c>
      <c r="E5452" t="s">
        <v>8</v>
      </c>
      <c r="F5452" t="s">
        <v>9965</v>
      </c>
      <c r="G5452" t="s">
        <v>4126</v>
      </c>
      <c r="H5452" t="s">
        <v>4126</v>
      </c>
      <c r="I5452" t="s">
        <v>9963</v>
      </c>
    </row>
    <row r="5453" spans="1:9" x14ac:dyDescent="0.25">
      <c r="A5453" s="1" t="str">
        <f>HYPERLINK("https://lynxcrm-apac--c.eu19.visual.force.com/0011i000001xnFTAAY","T L Koh Clinic &amp; Surgery")</f>
        <v>T L Koh Clinic &amp; Surgery</v>
      </c>
      <c r="B5453" t="s">
        <v>9966</v>
      </c>
      <c r="C5453" t="s">
        <v>10</v>
      </c>
      <c r="D5453" t="s">
        <v>8</v>
      </c>
      <c r="E5453" t="s">
        <v>8</v>
      </c>
      <c r="F5453" t="s">
        <v>5029</v>
      </c>
      <c r="G5453" t="s">
        <v>5030</v>
      </c>
      <c r="H5453" t="s">
        <v>5031</v>
      </c>
      <c r="I5453" t="s">
        <v>5032</v>
      </c>
    </row>
    <row r="5454" spans="1:9" x14ac:dyDescent="0.25">
      <c r="A5454" s="1" t="str">
        <f>HYPERLINK("https://lynxcrm-apac--c.eu19.visual.force.com/0011i000001xmg6AAA","T M Auw Clinic")</f>
        <v>T M Auw Clinic</v>
      </c>
      <c r="B5454" t="s">
        <v>9967</v>
      </c>
      <c r="C5454" t="s">
        <v>10</v>
      </c>
      <c r="D5454" t="s">
        <v>8</v>
      </c>
      <c r="E5454" t="s">
        <v>8</v>
      </c>
      <c r="F5454" t="s">
        <v>743</v>
      </c>
      <c r="G5454" t="s">
        <v>744</v>
      </c>
      <c r="H5454" t="s">
        <v>744</v>
      </c>
      <c r="I5454" t="s">
        <v>745</v>
      </c>
    </row>
    <row r="5455" spans="1:9" x14ac:dyDescent="0.25">
      <c r="A5455" s="1" t="str">
        <f>HYPERLINK("https://lynxcrm-apac--c.eu19.visual.force.com/0011i000001xmwTAAQ","T M Auw Clinic")</f>
        <v>T M Auw Clinic</v>
      </c>
      <c r="B5455" t="s">
        <v>9968</v>
      </c>
      <c r="C5455" t="s">
        <v>10</v>
      </c>
      <c r="D5455" t="s">
        <v>8</v>
      </c>
      <c r="E5455" t="s">
        <v>8</v>
      </c>
      <c r="F5455" t="s">
        <v>743</v>
      </c>
      <c r="G5455" t="s">
        <v>744</v>
      </c>
      <c r="H5455" t="s">
        <v>744</v>
      </c>
      <c r="I5455" t="s">
        <v>745</v>
      </c>
    </row>
    <row r="5456" spans="1:9" x14ac:dyDescent="0.25">
      <c r="A5456" s="1" t="str">
        <f>HYPERLINK("https://lynxcrm-apac--c.eu19.visual.force.com/0011i000001xnOwAAI","TMVC Singapore Pte Ltd / International Medical Clinic")</f>
        <v>TMVC Singapore Pte Ltd / International Medical Clinic</v>
      </c>
      <c r="B5456" t="s">
        <v>9969</v>
      </c>
      <c r="C5456" t="s">
        <v>10</v>
      </c>
      <c r="D5456" t="s">
        <v>8</v>
      </c>
      <c r="E5456" t="s">
        <v>8</v>
      </c>
      <c r="F5456" t="s">
        <v>1849</v>
      </c>
      <c r="G5456" t="s">
        <v>1850</v>
      </c>
      <c r="H5456" t="s">
        <v>1850</v>
      </c>
      <c r="I5456" t="s">
        <v>47</v>
      </c>
    </row>
    <row r="5457" spans="1:9" x14ac:dyDescent="0.25">
      <c r="A5457" s="1" t="str">
        <f>HYPERLINK("https://lynxcrm-apac--c.eu19.visual.force.com/0011i000001xoQ1AAI","To, Ka Chi")</f>
        <v>To, Ka Chi</v>
      </c>
      <c r="B5457" t="s">
        <v>9970</v>
      </c>
      <c r="C5457" t="s">
        <v>28</v>
      </c>
      <c r="D5457" t="s">
        <v>335</v>
      </c>
      <c r="E5457" t="s">
        <v>8</v>
      </c>
      <c r="F5457" t="s">
        <v>336</v>
      </c>
      <c r="G5457" t="s">
        <v>337</v>
      </c>
      <c r="H5457" t="s">
        <v>337</v>
      </c>
      <c r="I5457" t="s">
        <v>338</v>
      </c>
    </row>
    <row r="5458" spans="1:9" x14ac:dyDescent="0.25">
      <c r="A5458" s="1" t="str">
        <f>HYPERLINK("https://lynxcrm-apac--c.eu19.visual.force.com/0011i000001xnbvAAA","Toa Payoh North Clinic &amp; Surgery")</f>
        <v>Toa Payoh North Clinic &amp; Surgery</v>
      </c>
      <c r="B5458" t="s">
        <v>9971</v>
      </c>
      <c r="C5458" t="s">
        <v>10</v>
      </c>
      <c r="D5458" t="s">
        <v>8</v>
      </c>
      <c r="E5458" t="s">
        <v>8</v>
      </c>
      <c r="F5458" t="s">
        <v>5008</v>
      </c>
      <c r="G5458" t="s">
        <v>5009</v>
      </c>
      <c r="H5458" t="s">
        <v>5010</v>
      </c>
      <c r="I5458" t="s">
        <v>5011</v>
      </c>
    </row>
    <row r="5459" spans="1:9" x14ac:dyDescent="0.25">
      <c r="A5459" s="1" t="str">
        <f>HYPERLINK("https://lynxcrm-apac--c.eu19.visual.force.com/0011i000001xn0BAAQ","Toa Payoh Polyclinic")</f>
        <v>Toa Payoh Polyclinic</v>
      </c>
      <c r="B5459" t="s">
        <v>9972</v>
      </c>
      <c r="C5459" t="s">
        <v>10</v>
      </c>
      <c r="D5459" t="s">
        <v>8</v>
      </c>
      <c r="E5459" t="s">
        <v>8</v>
      </c>
      <c r="F5459" t="s">
        <v>1225</v>
      </c>
      <c r="G5459" t="s">
        <v>1225</v>
      </c>
      <c r="H5459" t="s">
        <v>1226</v>
      </c>
      <c r="I5459" t="s">
        <v>55</v>
      </c>
    </row>
    <row r="5460" spans="1:9" x14ac:dyDescent="0.25">
      <c r="A5460" s="1" t="str">
        <f>HYPERLINK("https://lynxcrm-apac--c.eu19.visual.force.com/0011i000001xnGVAAY","Toa Payoh Polyclinic")</f>
        <v>Toa Payoh Polyclinic</v>
      </c>
      <c r="B5460" t="s">
        <v>9973</v>
      </c>
      <c r="C5460" t="s">
        <v>10</v>
      </c>
      <c r="D5460" t="s">
        <v>8</v>
      </c>
      <c r="E5460" t="s">
        <v>8</v>
      </c>
      <c r="F5460" t="s">
        <v>1225</v>
      </c>
      <c r="G5460" t="s">
        <v>1225</v>
      </c>
      <c r="H5460" t="s">
        <v>1226</v>
      </c>
      <c r="I5460" t="s">
        <v>55</v>
      </c>
    </row>
    <row r="5461" spans="1:9" x14ac:dyDescent="0.25">
      <c r="A5461" s="1" t="str">
        <f>HYPERLINK("https://lynxcrm-apac--c.eu19.visual.force.com/0011i000001xnZ1AAI","Toa Payoh Polyclinic")</f>
        <v>Toa Payoh Polyclinic</v>
      </c>
      <c r="B5461" t="s">
        <v>9974</v>
      </c>
      <c r="C5461" t="s">
        <v>10</v>
      </c>
      <c r="D5461" t="s">
        <v>8</v>
      </c>
      <c r="E5461" t="s">
        <v>8</v>
      </c>
      <c r="F5461" t="s">
        <v>1225</v>
      </c>
      <c r="G5461" t="s">
        <v>1225</v>
      </c>
      <c r="H5461" t="s">
        <v>1226</v>
      </c>
      <c r="I5461" t="s">
        <v>55</v>
      </c>
    </row>
    <row r="5462" spans="1:9" x14ac:dyDescent="0.25">
      <c r="A5462" s="1" t="str">
        <f>HYPERLINK("https://lynxcrm-apac--c.eu19.visual.force.com/0011i000001xn0CAAQ","Toa Payoh Polyclinic")</f>
        <v>Toa Payoh Polyclinic</v>
      </c>
      <c r="B5462" t="s">
        <v>9975</v>
      </c>
      <c r="C5462" t="s">
        <v>10</v>
      </c>
      <c r="D5462" t="s">
        <v>8</v>
      </c>
      <c r="E5462" t="s">
        <v>8</v>
      </c>
      <c r="F5462" t="s">
        <v>1225</v>
      </c>
      <c r="G5462" t="s">
        <v>1225</v>
      </c>
      <c r="H5462" t="s">
        <v>1226</v>
      </c>
      <c r="I5462" t="s">
        <v>55</v>
      </c>
    </row>
    <row r="5463" spans="1:9" x14ac:dyDescent="0.25">
      <c r="A5463" s="1" t="str">
        <f>HYPERLINK("https://lynxcrm-apac--c.eu19.visual.force.com/0011i000001xnIwAAI","Toa Payoh Polyclinic")</f>
        <v>Toa Payoh Polyclinic</v>
      </c>
      <c r="B5463" t="s">
        <v>9976</v>
      </c>
      <c r="C5463" t="s">
        <v>10</v>
      </c>
      <c r="D5463" t="s">
        <v>8</v>
      </c>
      <c r="E5463" t="s">
        <v>8</v>
      </c>
      <c r="F5463" t="s">
        <v>1225</v>
      </c>
      <c r="G5463" t="s">
        <v>1225</v>
      </c>
      <c r="H5463" t="s">
        <v>1226</v>
      </c>
      <c r="I5463" t="s">
        <v>55</v>
      </c>
    </row>
    <row r="5464" spans="1:9" x14ac:dyDescent="0.25">
      <c r="A5464" s="1" t="str">
        <f>HYPERLINK("https://lynxcrm-apac--c.eu19.visual.force.com/0011i000001xn0DAAQ","Toa Payoh Polyclinic")</f>
        <v>Toa Payoh Polyclinic</v>
      </c>
      <c r="B5464" t="s">
        <v>9977</v>
      </c>
      <c r="C5464" t="s">
        <v>10</v>
      </c>
      <c r="D5464" t="s">
        <v>8</v>
      </c>
      <c r="E5464" t="s">
        <v>8</v>
      </c>
      <c r="F5464" t="s">
        <v>1225</v>
      </c>
      <c r="G5464" t="s">
        <v>1225</v>
      </c>
      <c r="H5464" t="s">
        <v>1226</v>
      </c>
      <c r="I5464" t="s">
        <v>55</v>
      </c>
    </row>
    <row r="5465" spans="1:9" x14ac:dyDescent="0.25">
      <c r="A5465" s="1" t="str">
        <f>HYPERLINK("https://lynxcrm-apac--c.eu19.visual.force.com/0011i000001xnANAAY","Toa Payoh Polyclinic")</f>
        <v>Toa Payoh Polyclinic</v>
      </c>
      <c r="B5465" t="s">
        <v>9978</v>
      </c>
      <c r="C5465" t="s">
        <v>10</v>
      </c>
      <c r="D5465" t="s">
        <v>8</v>
      </c>
      <c r="E5465" t="s">
        <v>8</v>
      </c>
      <c r="F5465" t="s">
        <v>1225</v>
      </c>
      <c r="G5465" t="s">
        <v>1225</v>
      </c>
      <c r="H5465" t="s">
        <v>1226</v>
      </c>
      <c r="I5465" t="s">
        <v>55</v>
      </c>
    </row>
    <row r="5466" spans="1:9" x14ac:dyDescent="0.25">
      <c r="A5466" s="1" t="str">
        <f>HYPERLINK("https://lynxcrm-apac--c.eu19.visual.force.com/0011i000001xnGWAAY","Toa Payoh Polyclinic")</f>
        <v>Toa Payoh Polyclinic</v>
      </c>
      <c r="B5466" t="s">
        <v>9979</v>
      </c>
      <c r="C5466" t="s">
        <v>10</v>
      </c>
      <c r="D5466" t="s">
        <v>8</v>
      </c>
      <c r="E5466" t="s">
        <v>8</v>
      </c>
      <c r="F5466" t="s">
        <v>1225</v>
      </c>
      <c r="G5466" t="s">
        <v>1225</v>
      </c>
      <c r="H5466" t="s">
        <v>1226</v>
      </c>
      <c r="I5466" t="s">
        <v>55</v>
      </c>
    </row>
    <row r="5467" spans="1:9" x14ac:dyDescent="0.25">
      <c r="A5467" s="1" t="str">
        <f>HYPERLINK("https://lynxcrm-apac--c.eu19.visual.force.com/0011i000001xnuoAAA","Toh, Chai Soon Charles")</f>
        <v>Toh, Chai Soon Charles</v>
      </c>
      <c r="B5467" t="s">
        <v>9980</v>
      </c>
      <c r="C5467" t="s">
        <v>28</v>
      </c>
      <c r="D5467" t="s">
        <v>9981</v>
      </c>
      <c r="E5467" t="s">
        <v>8</v>
      </c>
      <c r="F5467" t="s">
        <v>373</v>
      </c>
      <c r="G5467" t="s">
        <v>9982</v>
      </c>
      <c r="H5467" t="s">
        <v>9983</v>
      </c>
      <c r="I5467" t="s">
        <v>123</v>
      </c>
    </row>
    <row r="5468" spans="1:9" x14ac:dyDescent="0.25">
      <c r="A5468" s="1" t="str">
        <f>HYPERLINK("https://lynxcrm-apac--c.eu19.visual.force.com/0011i000001xo6rAAA","Toh, Choon Lai")</f>
        <v>Toh, Choon Lai</v>
      </c>
      <c r="B5468" t="s">
        <v>9984</v>
      </c>
      <c r="C5468" t="s">
        <v>28</v>
      </c>
      <c r="D5468" t="s">
        <v>5465</v>
      </c>
      <c r="E5468" t="s">
        <v>8</v>
      </c>
      <c r="F5468" t="s">
        <v>377</v>
      </c>
      <c r="G5468" t="s">
        <v>5466</v>
      </c>
      <c r="H5468" t="s">
        <v>5467</v>
      </c>
      <c r="I5468" t="s">
        <v>123</v>
      </c>
    </row>
    <row r="5469" spans="1:9" x14ac:dyDescent="0.25">
      <c r="A5469" s="1" t="str">
        <f>HYPERLINK("https://lynxcrm-apac--c.eu19.visual.force.com/0011i00000Xf1GTAAZ","Toh, Han Chong")</f>
        <v>Toh, Han Chong</v>
      </c>
      <c r="B5469" t="s">
        <v>9985</v>
      </c>
      <c r="C5469" t="s">
        <v>28</v>
      </c>
      <c r="D5469" t="s">
        <v>2027</v>
      </c>
      <c r="E5469" t="s">
        <v>8</v>
      </c>
      <c r="F5469" t="s">
        <v>2028</v>
      </c>
      <c r="G5469" t="s">
        <v>2029</v>
      </c>
      <c r="H5469" t="s">
        <v>8</v>
      </c>
      <c r="I5469" t="s">
        <v>488</v>
      </c>
    </row>
    <row r="5470" spans="1:9" x14ac:dyDescent="0.25">
      <c r="A5470" s="1" t="str">
        <f>HYPERLINK("https://lynxcrm-apac--c.eu19.visual.force.com/0011i000001xoCzAAI","Toh, Hong Seong Gabriel")</f>
        <v>Toh, Hong Seong Gabriel</v>
      </c>
      <c r="B5470" t="s">
        <v>9986</v>
      </c>
      <c r="C5470" t="s">
        <v>28</v>
      </c>
      <c r="D5470" t="s">
        <v>392</v>
      </c>
      <c r="E5470" t="s">
        <v>8</v>
      </c>
      <c r="F5470" t="s">
        <v>393</v>
      </c>
      <c r="G5470" t="s">
        <v>393</v>
      </c>
      <c r="H5470" t="s">
        <v>8</v>
      </c>
      <c r="I5470" t="s">
        <v>396</v>
      </c>
    </row>
    <row r="5471" spans="1:9" x14ac:dyDescent="0.25">
      <c r="A5471" s="1" t="str">
        <f>HYPERLINK("https://lynxcrm-apac--c.eu19.visual.force.com/0011i000001xnuqAAA","Toh, Ho Sing Michael")</f>
        <v>Toh, Ho Sing Michael</v>
      </c>
      <c r="B5471" t="s">
        <v>9987</v>
      </c>
      <c r="C5471" t="s">
        <v>28</v>
      </c>
      <c r="D5471" t="s">
        <v>9988</v>
      </c>
      <c r="E5471" t="s">
        <v>8</v>
      </c>
      <c r="F5471" t="s">
        <v>3387</v>
      </c>
      <c r="G5471" t="s">
        <v>3388</v>
      </c>
      <c r="H5471" t="s">
        <v>3389</v>
      </c>
      <c r="I5471" t="s">
        <v>3390</v>
      </c>
    </row>
    <row r="5472" spans="1:9" x14ac:dyDescent="0.25">
      <c r="A5472" s="1" t="str">
        <f>HYPERLINK("https://lynxcrm-apac--c.eu19.visual.force.com/0011i000001xoD3AAI","Toh, Khai San")</f>
        <v>Toh, Khai San</v>
      </c>
      <c r="B5472" t="s">
        <v>9989</v>
      </c>
      <c r="C5472" t="s">
        <v>28</v>
      </c>
      <c r="D5472" t="s">
        <v>261</v>
      </c>
      <c r="E5472" t="s">
        <v>8</v>
      </c>
      <c r="F5472" t="s">
        <v>261</v>
      </c>
      <c r="G5472" t="s">
        <v>347</v>
      </c>
      <c r="H5472" t="s">
        <v>347</v>
      </c>
      <c r="I5472" t="s">
        <v>260</v>
      </c>
    </row>
    <row r="5473" spans="1:9" x14ac:dyDescent="0.25">
      <c r="A5473" s="1" t="str">
        <f>HYPERLINK("https://lynxcrm-apac--c.eu19.visual.force.com/0011i000001xoD3AAI","Toh, Khai San")</f>
        <v>Toh, Khai San</v>
      </c>
      <c r="B5473" t="s">
        <v>9989</v>
      </c>
      <c r="C5473" t="s">
        <v>28</v>
      </c>
      <c r="D5473" t="s">
        <v>368</v>
      </c>
      <c r="E5473" t="s">
        <v>8</v>
      </c>
      <c r="F5473" t="s">
        <v>258</v>
      </c>
      <c r="G5473" t="s">
        <v>261</v>
      </c>
      <c r="H5473" t="s">
        <v>261</v>
      </c>
      <c r="I5473" t="s">
        <v>260</v>
      </c>
    </row>
    <row r="5474" spans="1:9" x14ac:dyDescent="0.25">
      <c r="A5474" s="1" t="str">
        <f>HYPERLINK("https://lynxcrm-apac--c.eu19.visual.force.com/0011i000001xoZNAAY","Toh, K K Michael")</f>
        <v>Toh, K K Michael</v>
      </c>
      <c r="B5474" t="s">
        <v>9990</v>
      </c>
      <c r="C5474" t="s">
        <v>28</v>
      </c>
      <c r="D5474" t="s">
        <v>9991</v>
      </c>
      <c r="E5474" t="s">
        <v>8</v>
      </c>
      <c r="F5474" t="s">
        <v>83</v>
      </c>
      <c r="G5474" t="s">
        <v>84</v>
      </c>
      <c r="H5474" t="s">
        <v>84</v>
      </c>
      <c r="I5474" t="s">
        <v>85</v>
      </c>
    </row>
    <row r="5475" spans="1:9" x14ac:dyDescent="0.25">
      <c r="A5475" s="1" t="str">
        <f>HYPERLINK("https://lynxcrm-apac--c.eu19.visual.force.com/0011i000001xnutAAA","Toh, Kok Thye")</f>
        <v>Toh, Kok Thye</v>
      </c>
      <c r="B5475" t="s">
        <v>9992</v>
      </c>
      <c r="C5475" t="s">
        <v>28</v>
      </c>
      <c r="D5475" t="s">
        <v>9993</v>
      </c>
      <c r="E5475" t="s">
        <v>8</v>
      </c>
      <c r="F5475" t="s">
        <v>7551</v>
      </c>
      <c r="G5475" t="s">
        <v>4347</v>
      </c>
      <c r="H5475" t="s">
        <v>7552</v>
      </c>
      <c r="I5475" t="s">
        <v>3124</v>
      </c>
    </row>
    <row r="5476" spans="1:9" x14ac:dyDescent="0.25">
      <c r="A5476" s="1" t="str">
        <f>HYPERLINK("https://lynxcrm-apac--c.eu19.visual.force.com/0011i000001xoPQAAY","Toh, Kwan Wei Kevin")</f>
        <v>Toh, Kwan Wei Kevin</v>
      </c>
      <c r="B5476" t="s">
        <v>9994</v>
      </c>
      <c r="C5476" t="s">
        <v>28</v>
      </c>
      <c r="D5476" t="s">
        <v>701</v>
      </c>
      <c r="E5476" t="s">
        <v>8</v>
      </c>
      <c r="F5476" t="s">
        <v>1123</v>
      </c>
      <c r="G5476" t="s">
        <v>1123</v>
      </c>
      <c r="H5476" t="s">
        <v>8</v>
      </c>
      <c r="I5476" t="s">
        <v>703</v>
      </c>
    </row>
    <row r="5477" spans="1:9" x14ac:dyDescent="0.25">
      <c r="A5477" s="1" t="str">
        <f>HYPERLINK("https://lynxcrm-apac--c.eu19.visual.force.com/0011i000001xol5AAA","Toh, Lena")</f>
        <v>Toh, Lena</v>
      </c>
      <c r="B5477" t="s">
        <v>9995</v>
      </c>
      <c r="C5477" t="s">
        <v>28</v>
      </c>
      <c r="D5477" t="s">
        <v>148</v>
      </c>
      <c r="E5477" t="s">
        <v>8</v>
      </c>
      <c r="F5477" t="s">
        <v>736</v>
      </c>
      <c r="G5477" t="s">
        <v>736</v>
      </c>
      <c r="H5477" t="s">
        <v>8</v>
      </c>
      <c r="I5477" t="s">
        <v>149</v>
      </c>
    </row>
    <row r="5478" spans="1:9" x14ac:dyDescent="0.25">
      <c r="A5478" s="1" t="str">
        <f>HYPERLINK("https://lynxcrm-apac--c.eu19.visual.force.com/0011i000001xoRNAAY","Toh, Sheng Cheong")</f>
        <v>Toh, Sheng Cheong</v>
      </c>
      <c r="B5478" t="s">
        <v>9996</v>
      </c>
      <c r="C5478" t="s">
        <v>28</v>
      </c>
      <c r="D5478" t="s">
        <v>2390</v>
      </c>
      <c r="E5478" t="s">
        <v>8</v>
      </c>
      <c r="F5478" t="s">
        <v>191</v>
      </c>
      <c r="G5478" t="s">
        <v>7329</v>
      </c>
      <c r="H5478" t="s">
        <v>7330</v>
      </c>
      <c r="I5478" t="s">
        <v>193</v>
      </c>
    </row>
    <row r="5479" spans="1:9" x14ac:dyDescent="0.25">
      <c r="A5479" s="1" t="str">
        <f>HYPERLINK("https://lynxcrm-apac--c.eu19.visual.force.com/0011i000001xoD4AAI","Toh, Soo Ling Serene")</f>
        <v>Toh, Soo Ling Serene</v>
      </c>
      <c r="B5479" t="s">
        <v>9997</v>
      </c>
      <c r="C5479" t="s">
        <v>28</v>
      </c>
      <c r="D5479" t="s">
        <v>9998</v>
      </c>
      <c r="E5479" t="s">
        <v>8</v>
      </c>
      <c r="F5479" t="s">
        <v>9999</v>
      </c>
      <c r="G5479" t="s">
        <v>10000</v>
      </c>
      <c r="H5479" t="s">
        <v>10001</v>
      </c>
      <c r="I5479" t="s">
        <v>10002</v>
      </c>
    </row>
    <row r="5480" spans="1:9" x14ac:dyDescent="0.25">
      <c r="A5480" s="1" t="str">
        <f>HYPERLINK("https://lynxcrm-apac--c.eu19.visual.force.com/0011i000001xo5HAAQ","Toh, Sue Anne")</f>
        <v>Toh, Sue Anne</v>
      </c>
      <c r="B5480" t="s">
        <v>10003</v>
      </c>
      <c r="C5480" t="s">
        <v>28</v>
      </c>
      <c r="D5480" t="s">
        <v>429</v>
      </c>
      <c r="E5480" t="s">
        <v>8</v>
      </c>
      <c r="F5480" t="s">
        <v>429</v>
      </c>
      <c r="G5480" t="s">
        <v>428</v>
      </c>
      <c r="H5480" t="s">
        <v>428</v>
      </c>
      <c r="I5480" t="s">
        <v>430</v>
      </c>
    </row>
    <row r="5481" spans="1:9" x14ac:dyDescent="0.25">
      <c r="A5481" s="1" t="str">
        <f>HYPERLINK("https://lynxcrm-apac--c.eu19.visual.force.com/0011i000001xo5HAAQ","Toh, Sue Anne")</f>
        <v>Toh, Sue Anne</v>
      </c>
      <c r="B5481" t="s">
        <v>10003</v>
      </c>
      <c r="C5481" t="s">
        <v>28</v>
      </c>
      <c r="D5481" t="s">
        <v>429</v>
      </c>
      <c r="E5481" t="s">
        <v>8</v>
      </c>
      <c r="F5481" t="s">
        <v>444</v>
      </c>
      <c r="G5481" t="s">
        <v>444</v>
      </c>
      <c r="H5481" t="s">
        <v>8</v>
      </c>
      <c r="I5481" t="s">
        <v>430</v>
      </c>
    </row>
    <row r="5482" spans="1:9" x14ac:dyDescent="0.25">
      <c r="A5482" s="1" t="str">
        <f>HYPERLINK("https://lynxcrm-apac--c.eu19.visual.force.com/0011i000001xo5HAAQ","Toh, Sue Anne")</f>
        <v>Toh, Sue Anne</v>
      </c>
      <c r="B5482" t="s">
        <v>10003</v>
      </c>
      <c r="C5482" t="s">
        <v>28</v>
      </c>
      <c r="D5482" t="s">
        <v>429</v>
      </c>
      <c r="E5482" t="s">
        <v>8</v>
      </c>
      <c r="F5482" t="s">
        <v>445</v>
      </c>
      <c r="G5482" t="s">
        <v>428</v>
      </c>
      <c r="H5482" t="s">
        <v>428</v>
      </c>
      <c r="I5482" t="s">
        <v>430</v>
      </c>
    </row>
    <row r="5483" spans="1:9" x14ac:dyDescent="0.25">
      <c r="A5483" s="1" t="str">
        <f>HYPERLINK("https://lynxcrm-apac--c.eu19.visual.force.com/0011i000001xo5HAAQ","Toh, Sue Anne")</f>
        <v>Toh, Sue Anne</v>
      </c>
      <c r="B5483" t="s">
        <v>10003</v>
      </c>
      <c r="C5483" t="s">
        <v>28</v>
      </c>
      <c r="D5483" t="s">
        <v>429</v>
      </c>
      <c r="E5483" t="s">
        <v>8</v>
      </c>
      <c r="F5483" t="s">
        <v>444</v>
      </c>
      <c r="G5483" t="s">
        <v>444</v>
      </c>
      <c r="H5483" t="s">
        <v>8</v>
      </c>
      <c r="I5483" t="s">
        <v>8</v>
      </c>
    </row>
    <row r="5484" spans="1:9" x14ac:dyDescent="0.25">
      <c r="A5484" s="1" t="str">
        <f>HYPERLINK("https://lynxcrm-apac--c.eu19.visual.force.com/0011i00000Jdz5EAAR","Toh, Terry")</f>
        <v>Toh, Terry</v>
      </c>
      <c r="B5484" t="s">
        <v>10004</v>
      </c>
      <c r="C5484" t="s">
        <v>28</v>
      </c>
      <c r="D5484" t="s">
        <v>429</v>
      </c>
      <c r="E5484" t="s">
        <v>8</v>
      </c>
      <c r="F5484" t="s">
        <v>429</v>
      </c>
      <c r="G5484" t="s">
        <v>428</v>
      </c>
      <c r="H5484" t="s">
        <v>428</v>
      </c>
      <c r="I5484" t="s">
        <v>430</v>
      </c>
    </row>
    <row r="5485" spans="1:9" x14ac:dyDescent="0.25">
      <c r="A5485" s="1" t="str">
        <f>HYPERLINK("https://lynxcrm-apac--c.eu19.visual.force.com/0011i000001xoD6AAI","Toh, Thiam Kiat")</f>
        <v>Toh, Thiam Kiat</v>
      </c>
      <c r="B5485" t="s">
        <v>10005</v>
      </c>
      <c r="C5485" t="s">
        <v>28</v>
      </c>
      <c r="D5485" t="s">
        <v>10006</v>
      </c>
      <c r="E5485" t="s">
        <v>8</v>
      </c>
      <c r="F5485" t="s">
        <v>4099</v>
      </c>
      <c r="G5485" t="s">
        <v>985</v>
      </c>
      <c r="H5485" t="s">
        <v>985</v>
      </c>
      <c r="I5485" t="s">
        <v>4100</v>
      </c>
    </row>
    <row r="5486" spans="1:9" x14ac:dyDescent="0.25">
      <c r="A5486" s="1" t="str">
        <f>HYPERLINK("https://lynxcrm-apac--c.eu19.visual.force.com/0011i000001xoaSAAQ","Toh, Yvonne")</f>
        <v>Toh, Yvonne</v>
      </c>
      <c r="B5486" t="s">
        <v>10007</v>
      </c>
      <c r="C5486" t="s">
        <v>28</v>
      </c>
      <c r="D5486" t="s">
        <v>10008</v>
      </c>
      <c r="E5486" t="s">
        <v>8</v>
      </c>
      <c r="F5486" t="s">
        <v>9961</v>
      </c>
      <c r="G5486" t="s">
        <v>4126</v>
      </c>
      <c r="H5486" t="s">
        <v>9962</v>
      </c>
      <c r="I5486" t="s">
        <v>9963</v>
      </c>
    </row>
    <row r="5487" spans="1:9" x14ac:dyDescent="0.25">
      <c r="A5487" s="1" t="str">
        <f>HYPERLINK("https://lynxcrm-apac--c.eu19.visual.force.com/0011i000001xnRkAAI","Toh Yi Medical Clinic")</f>
        <v>Toh Yi Medical Clinic</v>
      </c>
      <c r="B5487" t="s">
        <v>10009</v>
      </c>
      <c r="C5487" t="s">
        <v>10</v>
      </c>
      <c r="D5487" t="s">
        <v>8</v>
      </c>
      <c r="E5487" t="s">
        <v>8</v>
      </c>
      <c r="F5487" t="s">
        <v>10010</v>
      </c>
      <c r="G5487" t="s">
        <v>273</v>
      </c>
      <c r="H5487" t="s">
        <v>273</v>
      </c>
      <c r="I5487" t="s">
        <v>10011</v>
      </c>
    </row>
    <row r="5488" spans="1:9" x14ac:dyDescent="0.25">
      <c r="A5488" s="1" t="str">
        <f>HYPERLINK("https://lynxcrm-apac--c.eu19.visual.force.com/0011i000001xotgAAA","Tok, Ern Lai")</f>
        <v>Tok, Ern Lai</v>
      </c>
      <c r="B5488" t="s">
        <v>10012</v>
      </c>
      <c r="C5488" t="s">
        <v>28</v>
      </c>
      <c r="D5488" t="s">
        <v>937</v>
      </c>
      <c r="E5488" t="s">
        <v>8</v>
      </c>
      <c r="F5488" t="s">
        <v>4005</v>
      </c>
      <c r="G5488" t="s">
        <v>833</v>
      </c>
      <c r="H5488" t="s">
        <v>833</v>
      </c>
      <c r="I5488" t="s">
        <v>834</v>
      </c>
    </row>
    <row r="5489" spans="1:9" x14ac:dyDescent="0.25">
      <c r="A5489" s="1" t="str">
        <f>HYPERLINK("https://lynxcrm-apac--c.eu19.visual.force.com/0011i000001xnuwAAA","Tong, Chuan Hong")</f>
        <v>Tong, Chuan Hong</v>
      </c>
      <c r="B5489" t="s">
        <v>10013</v>
      </c>
      <c r="C5489" t="s">
        <v>28</v>
      </c>
      <c r="D5489" t="s">
        <v>10014</v>
      </c>
      <c r="E5489" t="s">
        <v>8</v>
      </c>
      <c r="F5489" t="s">
        <v>10015</v>
      </c>
      <c r="G5489" t="s">
        <v>6983</v>
      </c>
      <c r="H5489" t="s">
        <v>10016</v>
      </c>
      <c r="I5489" t="s">
        <v>10017</v>
      </c>
    </row>
    <row r="5490" spans="1:9" x14ac:dyDescent="0.25">
      <c r="A5490" s="1" t="str">
        <f>HYPERLINK("https://lynxcrm-apac--c.eu19.visual.force.com/0011i000001xnuxAAA","Tong, G On")</f>
        <v>Tong, G On</v>
      </c>
      <c r="B5490" t="s">
        <v>10018</v>
      </c>
      <c r="C5490" t="s">
        <v>28</v>
      </c>
      <c r="D5490" t="s">
        <v>5465</v>
      </c>
      <c r="E5490" t="s">
        <v>8</v>
      </c>
      <c r="F5490" t="s">
        <v>377</v>
      </c>
      <c r="G5490" t="s">
        <v>5466</v>
      </c>
      <c r="H5490" t="s">
        <v>5467</v>
      </c>
      <c r="I5490" t="s">
        <v>123</v>
      </c>
    </row>
    <row r="5491" spans="1:9" x14ac:dyDescent="0.25">
      <c r="A5491" s="1" t="str">
        <f>HYPERLINK("https://lynxcrm-apac--c.eu19.visual.force.com/0011i000001xoGuAAI","Tong, Khim Leng")</f>
        <v>Tong, Khim Leng</v>
      </c>
      <c r="B5491" t="s">
        <v>10019</v>
      </c>
      <c r="C5491" t="s">
        <v>28</v>
      </c>
      <c r="D5491" t="s">
        <v>583</v>
      </c>
      <c r="E5491" t="s">
        <v>8</v>
      </c>
      <c r="F5491" t="s">
        <v>234</v>
      </c>
      <c r="G5491" t="s">
        <v>584</v>
      </c>
      <c r="H5491" t="s">
        <v>1386</v>
      </c>
      <c r="I5491" t="s">
        <v>585</v>
      </c>
    </row>
    <row r="5492" spans="1:9" x14ac:dyDescent="0.25">
      <c r="A5492" s="1" t="str">
        <f>HYPERLINK("https://lynxcrm-apac--c.eu19.visual.force.com/0011i000001xoD8AAI","Tong, Mei Ling")</f>
        <v>Tong, Mei Ling</v>
      </c>
      <c r="B5492" t="s">
        <v>10020</v>
      </c>
      <c r="C5492" t="s">
        <v>28</v>
      </c>
      <c r="D5492" t="s">
        <v>10021</v>
      </c>
      <c r="E5492" t="s">
        <v>8</v>
      </c>
      <c r="F5492" t="s">
        <v>258</v>
      </c>
      <c r="G5492" t="s">
        <v>261</v>
      </c>
      <c r="H5492" t="s">
        <v>261</v>
      </c>
      <c r="I5492" t="s">
        <v>260</v>
      </c>
    </row>
    <row r="5493" spans="1:9" x14ac:dyDescent="0.25">
      <c r="A5493" s="1" t="str">
        <f>HYPERLINK("https://lynxcrm-apac--c.eu19.visual.force.com/0011i000001xoD8AAI","Tong, Mei Ling")</f>
        <v>Tong, Mei Ling</v>
      </c>
      <c r="B5493" t="s">
        <v>10020</v>
      </c>
      <c r="C5493" t="s">
        <v>28</v>
      </c>
      <c r="D5493" t="s">
        <v>261</v>
      </c>
      <c r="E5493" t="s">
        <v>8</v>
      </c>
      <c r="F5493" t="s">
        <v>261</v>
      </c>
      <c r="G5493" t="s">
        <v>347</v>
      </c>
      <c r="H5493" t="s">
        <v>347</v>
      </c>
      <c r="I5493" t="s">
        <v>260</v>
      </c>
    </row>
    <row r="5494" spans="1:9" x14ac:dyDescent="0.25">
      <c r="A5494" s="1" t="str">
        <f>HYPERLINK("https://lynxcrm-apac--c.eu19.visual.force.com/0011i000001xnv3AAA","Tong, Thean Seng")</f>
        <v>Tong, Thean Seng</v>
      </c>
      <c r="B5494" t="s">
        <v>10022</v>
      </c>
      <c r="C5494" t="s">
        <v>28</v>
      </c>
      <c r="D5494" t="s">
        <v>10023</v>
      </c>
      <c r="E5494" t="s">
        <v>8</v>
      </c>
      <c r="F5494" t="s">
        <v>6565</v>
      </c>
      <c r="G5494" t="s">
        <v>5310</v>
      </c>
      <c r="H5494" t="s">
        <v>6566</v>
      </c>
      <c r="I5494" t="s">
        <v>6567</v>
      </c>
    </row>
    <row r="5495" spans="1:9" x14ac:dyDescent="0.25">
      <c r="A5495" s="1" t="str">
        <f>HYPERLINK("https://lynxcrm-apac--c.eu19.visual.force.com/0011i000001xoN4AAI","Tor, Phern Chern")</f>
        <v>Tor, Phern Chern</v>
      </c>
      <c r="B5495" t="s">
        <v>10024</v>
      </c>
      <c r="C5495" t="s">
        <v>28</v>
      </c>
      <c r="D5495" t="s">
        <v>815</v>
      </c>
      <c r="E5495" t="s">
        <v>8</v>
      </c>
      <c r="F5495" t="s">
        <v>816</v>
      </c>
      <c r="G5495" t="s">
        <v>815</v>
      </c>
      <c r="H5495" t="s">
        <v>815</v>
      </c>
      <c r="I5495" t="s">
        <v>817</v>
      </c>
    </row>
    <row r="5496" spans="1:9" x14ac:dyDescent="0.25">
      <c r="A5496" s="1" t="str">
        <f>HYPERLINK("https://lynxcrm-apac--c.eu19.visual.force.com/0011i000001xo6vAAA","Tow, Peh-Er Adela Ma")</f>
        <v>Tow, Peh-Er Adela Ma</v>
      </c>
      <c r="B5496" t="s">
        <v>10025</v>
      </c>
      <c r="C5496" t="s">
        <v>28</v>
      </c>
      <c r="D5496" t="s">
        <v>261</v>
      </c>
      <c r="E5496" t="s">
        <v>8</v>
      </c>
      <c r="F5496" t="s">
        <v>261</v>
      </c>
      <c r="G5496" t="s">
        <v>347</v>
      </c>
      <c r="H5496" t="s">
        <v>347</v>
      </c>
      <c r="I5496" t="s">
        <v>260</v>
      </c>
    </row>
    <row r="5497" spans="1:9" x14ac:dyDescent="0.25">
      <c r="A5497" s="1" t="str">
        <f>HYPERLINK("https://lynxcrm-apac--c.eu19.visual.force.com/0011i000001xo6vAAA","Tow, Peh-Er Adela Ma")</f>
        <v>Tow, Peh-Er Adela Ma</v>
      </c>
      <c r="B5497" t="s">
        <v>10025</v>
      </c>
      <c r="C5497" t="s">
        <v>28</v>
      </c>
      <c r="D5497" t="s">
        <v>261</v>
      </c>
      <c r="E5497" t="s">
        <v>8</v>
      </c>
      <c r="F5497" t="s">
        <v>1417</v>
      </c>
      <c r="G5497" t="s">
        <v>258</v>
      </c>
      <c r="H5497" t="s">
        <v>259</v>
      </c>
      <c r="I5497" t="s">
        <v>260</v>
      </c>
    </row>
    <row r="5498" spans="1:9" x14ac:dyDescent="0.25">
      <c r="A5498" s="1" t="str">
        <f>HYPERLINK("https://lynxcrm-apac--c.eu19.visual.force.com/0011i000001xn10AAA","Town Hall Clinic")</f>
        <v>Town Hall Clinic</v>
      </c>
      <c r="B5498" t="s">
        <v>10026</v>
      </c>
      <c r="C5498" t="s">
        <v>10</v>
      </c>
      <c r="D5498" t="s">
        <v>8</v>
      </c>
      <c r="E5498" t="s">
        <v>8</v>
      </c>
      <c r="F5498" t="s">
        <v>2334</v>
      </c>
      <c r="G5498" t="s">
        <v>2335</v>
      </c>
      <c r="H5498" t="s">
        <v>2335</v>
      </c>
      <c r="I5498" t="s">
        <v>2336</v>
      </c>
    </row>
    <row r="5499" spans="1:9" x14ac:dyDescent="0.25">
      <c r="A5499" s="1" t="str">
        <f>HYPERLINK("https://lynxcrm-apac--c.eu19.visual.force.com/0011i000001xnQXAAY","Toyu Medical Centre")</f>
        <v>Toyu Medical Centre</v>
      </c>
      <c r="B5499" t="s">
        <v>10027</v>
      </c>
      <c r="C5499" t="s">
        <v>10</v>
      </c>
      <c r="D5499" t="s">
        <v>8</v>
      </c>
      <c r="E5499" t="s">
        <v>8</v>
      </c>
      <c r="F5499" t="s">
        <v>10028</v>
      </c>
      <c r="G5499" t="s">
        <v>830</v>
      </c>
      <c r="H5499" t="s">
        <v>10029</v>
      </c>
      <c r="I5499" t="s">
        <v>10030</v>
      </c>
    </row>
    <row r="5500" spans="1:9" x14ac:dyDescent="0.25">
      <c r="A5500" s="1" t="str">
        <f>HYPERLINK("https://lynxcrm-apac--c.eu19.visual.force.com/0011i000001xn13AAA","TPC Medical Clinic")</f>
        <v>TPC Medical Clinic</v>
      </c>
      <c r="B5500" t="s">
        <v>10031</v>
      </c>
      <c r="C5500" t="s">
        <v>10</v>
      </c>
      <c r="D5500" t="s">
        <v>8</v>
      </c>
      <c r="E5500" t="s">
        <v>8</v>
      </c>
      <c r="F5500" t="s">
        <v>10032</v>
      </c>
      <c r="G5500" t="s">
        <v>10033</v>
      </c>
      <c r="H5500" t="s">
        <v>10033</v>
      </c>
      <c r="I5500" t="s">
        <v>10034</v>
      </c>
    </row>
    <row r="5501" spans="1:9" x14ac:dyDescent="0.25">
      <c r="A5501" s="1" t="str">
        <f>HYPERLINK("https://lynxcrm-apac--c.eu19.visual.force.com/0011i000001xmaoAAA","T P Sim Family Clinic &amp; Surgery")</f>
        <v>T P Sim Family Clinic &amp; Surgery</v>
      </c>
      <c r="B5501" t="s">
        <v>10035</v>
      </c>
      <c r="C5501" t="s">
        <v>10</v>
      </c>
      <c r="D5501" t="s">
        <v>8</v>
      </c>
      <c r="E5501" t="s">
        <v>8</v>
      </c>
      <c r="F5501" t="s">
        <v>8565</v>
      </c>
      <c r="G5501" t="s">
        <v>4969</v>
      </c>
      <c r="H5501" t="s">
        <v>8566</v>
      </c>
      <c r="I5501" t="s">
        <v>4970</v>
      </c>
    </row>
    <row r="5502" spans="1:9" x14ac:dyDescent="0.25">
      <c r="A5502" s="1" t="str">
        <f>HYPERLINK("https://lynxcrm-apac--c.eu19.visual.force.com/0011i000001xoYhAAI","Trah, Seow Hwee Jane")</f>
        <v>Trah, Seow Hwee Jane</v>
      </c>
      <c r="B5502" t="s">
        <v>10036</v>
      </c>
      <c r="C5502" t="s">
        <v>28</v>
      </c>
      <c r="D5502" t="s">
        <v>148</v>
      </c>
      <c r="E5502" t="s">
        <v>8</v>
      </c>
      <c r="F5502" t="s">
        <v>736</v>
      </c>
      <c r="G5502" t="s">
        <v>736</v>
      </c>
      <c r="H5502" t="s">
        <v>8</v>
      </c>
      <c r="I5502" t="s">
        <v>149</v>
      </c>
    </row>
    <row r="5503" spans="1:9" x14ac:dyDescent="0.25">
      <c r="A5503" s="1" t="str">
        <f>HYPERLINK("https://lynxcrm-apac--c.eu19.visual.force.com/0011i000001xn1bAAA","Trans-Island Medical Group")</f>
        <v>Trans-Island Medical Group</v>
      </c>
      <c r="B5503" t="s">
        <v>10037</v>
      </c>
      <c r="C5503" t="s">
        <v>10</v>
      </c>
      <c r="D5503" t="s">
        <v>8</v>
      </c>
      <c r="E5503" t="s">
        <v>8</v>
      </c>
      <c r="F5503" t="s">
        <v>5932</v>
      </c>
      <c r="G5503" t="s">
        <v>1917</v>
      </c>
      <c r="H5503" t="s">
        <v>1917</v>
      </c>
      <c r="I5503" t="s">
        <v>5933</v>
      </c>
    </row>
    <row r="5504" spans="1:9" x14ac:dyDescent="0.25">
      <c r="A5504" s="1" t="str">
        <f>HYPERLINK("https://lynxcrm-apac--c.eu19.visual.force.com/0011i000001xn7MAAQ","Trinity Family Clinic")</f>
        <v>Trinity Family Clinic</v>
      </c>
      <c r="B5504" t="s">
        <v>10038</v>
      </c>
      <c r="C5504" t="s">
        <v>10</v>
      </c>
      <c r="D5504" t="s">
        <v>8</v>
      </c>
      <c r="E5504" t="s">
        <v>8</v>
      </c>
      <c r="F5504" t="s">
        <v>10039</v>
      </c>
      <c r="G5504" t="s">
        <v>10040</v>
      </c>
      <c r="H5504" t="s">
        <v>10040</v>
      </c>
      <c r="I5504" t="s">
        <v>10041</v>
      </c>
    </row>
    <row r="5505" spans="1:9" x14ac:dyDescent="0.25">
      <c r="A5505" s="1" t="str">
        <f>HYPERLINK("https://lynxcrm-apac--c.eu19.visual.force.com/0011i000001xn5pAAA","Trinity Family Clinic")</f>
        <v>Trinity Family Clinic</v>
      </c>
      <c r="B5505" t="s">
        <v>10042</v>
      </c>
      <c r="C5505" t="s">
        <v>10</v>
      </c>
      <c r="D5505" t="s">
        <v>8</v>
      </c>
      <c r="E5505" t="s">
        <v>8</v>
      </c>
      <c r="F5505" t="s">
        <v>10043</v>
      </c>
      <c r="G5505" t="s">
        <v>6621</v>
      </c>
      <c r="H5505" t="s">
        <v>6621</v>
      </c>
      <c r="I5505" t="s">
        <v>10041</v>
      </c>
    </row>
    <row r="5506" spans="1:9" x14ac:dyDescent="0.25">
      <c r="A5506" s="1" t="str">
        <f>HYPERLINK("https://lynxcrm-apac--c.eu19.visual.force.com/0011i000001xnLYAAY","Trinity Medical Centre")</f>
        <v>Trinity Medical Centre</v>
      </c>
      <c r="B5506" t="s">
        <v>10044</v>
      </c>
      <c r="C5506" t="s">
        <v>10</v>
      </c>
      <c r="D5506" t="s">
        <v>8</v>
      </c>
      <c r="E5506" t="s">
        <v>8</v>
      </c>
      <c r="F5506" t="s">
        <v>1728</v>
      </c>
      <c r="G5506" t="s">
        <v>1729</v>
      </c>
      <c r="H5506" t="s">
        <v>1729</v>
      </c>
      <c r="I5506" t="s">
        <v>1730</v>
      </c>
    </row>
    <row r="5507" spans="1:9" x14ac:dyDescent="0.25">
      <c r="A5507" s="1" t="str">
        <f>HYPERLINK("https://lynxcrm-apac--c.eu19.visual.force.com/0011i000001xmbAAAQ","Trinity Medical Clinic")</f>
        <v>Trinity Medical Clinic</v>
      </c>
      <c r="B5507" t="s">
        <v>10045</v>
      </c>
      <c r="C5507" t="s">
        <v>10</v>
      </c>
      <c r="D5507" t="s">
        <v>8</v>
      </c>
      <c r="E5507" t="s">
        <v>8</v>
      </c>
      <c r="F5507" t="s">
        <v>10046</v>
      </c>
      <c r="G5507" t="s">
        <v>10047</v>
      </c>
      <c r="H5507" t="s">
        <v>10047</v>
      </c>
      <c r="I5507" t="s">
        <v>4183</v>
      </c>
    </row>
    <row r="5508" spans="1:9" x14ac:dyDescent="0.25">
      <c r="A5508" s="1" t="str">
        <f>HYPERLINK("https://lynxcrm-apac--c.eu19.visual.force.com/0011i000001xnLCAAY","Trinity Medical Clinic")</f>
        <v>Trinity Medical Clinic</v>
      </c>
      <c r="B5508" t="s">
        <v>10048</v>
      </c>
      <c r="C5508" t="s">
        <v>10</v>
      </c>
      <c r="D5508" t="s">
        <v>8</v>
      </c>
      <c r="E5508" t="s">
        <v>8</v>
      </c>
      <c r="F5508" t="s">
        <v>5425</v>
      </c>
      <c r="G5508" t="s">
        <v>1454</v>
      </c>
      <c r="H5508" t="s">
        <v>1454</v>
      </c>
      <c r="I5508" t="s">
        <v>5426</v>
      </c>
    </row>
    <row r="5509" spans="1:9" x14ac:dyDescent="0.25">
      <c r="A5509" s="1" t="str">
        <f>HYPERLINK("https://lynxcrm-apac--c.eu19.visual.force.com/0011i000001xmiSAAQ","Trinity Medical Clinic &amp; Dental Surgery")</f>
        <v>Trinity Medical Clinic &amp; Dental Surgery</v>
      </c>
      <c r="B5509" t="s">
        <v>10049</v>
      </c>
      <c r="C5509" t="s">
        <v>10</v>
      </c>
      <c r="D5509" t="s">
        <v>8</v>
      </c>
      <c r="E5509" t="s">
        <v>8</v>
      </c>
      <c r="F5509" t="s">
        <v>4181</v>
      </c>
      <c r="G5509" t="s">
        <v>4182</v>
      </c>
      <c r="H5509" t="s">
        <v>4182</v>
      </c>
      <c r="I5509" t="s">
        <v>4183</v>
      </c>
    </row>
    <row r="5510" spans="1:9" x14ac:dyDescent="0.25">
      <c r="A5510" s="1" t="str">
        <f>HYPERLINK("https://lynxcrm-apac--c.eu19.visual.force.com/0011i000001xmkoAAA","Trinity Medical Clinic &amp; Dental Surgery")</f>
        <v>Trinity Medical Clinic &amp; Dental Surgery</v>
      </c>
      <c r="B5510" t="s">
        <v>10050</v>
      </c>
      <c r="C5510" t="s">
        <v>10</v>
      </c>
      <c r="D5510" t="s">
        <v>8</v>
      </c>
      <c r="E5510" t="s">
        <v>8</v>
      </c>
      <c r="F5510" t="s">
        <v>4181</v>
      </c>
      <c r="G5510" t="s">
        <v>4182</v>
      </c>
      <c r="H5510" t="s">
        <v>4182</v>
      </c>
      <c r="I5510" t="s">
        <v>4183</v>
      </c>
    </row>
    <row r="5511" spans="1:9" x14ac:dyDescent="0.25">
      <c r="A5511" s="1" t="str">
        <f>HYPERLINK("https://lynxcrm-apac--c.eu19.visual.force.com/0011i000001xnJLAAY","Trinity Medical Group")</f>
        <v>Trinity Medical Group</v>
      </c>
      <c r="B5511" t="s">
        <v>10051</v>
      </c>
      <c r="C5511" t="s">
        <v>10</v>
      </c>
      <c r="D5511" t="s">
        <v>8</v>
      </c>
      <c r="E5511" t="s">
        <v>8</v>
      </c>
      <c r="F5511" t="s">
        <v>10052</v>
      </c>
      <c r="G5511" t="s">
        <v>10053</v>
      </c>
      <c r="H5511" t="s">
        <v>10053</v>
      </c>
      <c r="I5511" t="s">
        <v>1173</v>
      </c>
    </row>
    <row r="5512" spans="1:9" x14ac:dyDescent="0.25">
      <c r="A5512" s="1" t="str">
        <f>HYPERLINK("https://lynxcrm-apac--c.eu19.visual.force.com/0011i000001xn0uAAA","Trinity Medical Group")</f>
        <v>Trinity Medical Group</v>
      </c>
      <c r="B5512" t="s">
        <v>10054</v>
      </c>
      <c r="C5512" t="s">
        <v>10</v>
      </c>
      <c r="D5512" t="s">
        <v>8</v>
      </c>
      <c r="E5512" t="s">
        <v>8</v>
      </c>
      <c r="F5512" t="s">
        <v>1171</v>
      </c>
      <c r="G5512" t="s">
        <v>1172</v>
      </c>
      <c r="H5512" t="s">
        <v>1172</v>
      </c>
      <c r="I5512" t="s">
        <v>1173</v>
      </c>
    </row>
    <row r="5513" spans="1:9" x14ac:dyDescent="0.25">
      <c r="A5513" s="1" t="str">
        <f>HYPERLINK("https://lynxcrm-apac--c.eu19.visual.force.com/0011i000001xnJhAAI","Trinity Medical Group")</f>
        <v>Trinity Medical Group</v>
      </c>
      <c r="B5513" t="s">
        <v>10055</v>
      </c>
      <c r="C5513" t="s">
        <v>10</v>
      </c>
      <c r="D5513" t="s">
        <v>8</v>
      </c>
      <c r="E5513" t="s">
        <v>8</v>
      </c>
      <c r="F5513" t="s">
        <v>1171</v>
      </c>
      <c r="G5513" t="s">
        <v>1172</v>
      </c>
      <c r="H5513" t="s">
        <v>1172</v>
      </c>
      <c r="I5513" t="s">
        <v>1173</v>
      </c>
    </row>
    <row r="5514" spans="1:9" x14ac:dyDescent="0.25">
      <c r="A5514" s="1" t="str">
        <f>HYPERLINK("https://lynxcrm-apac--c.eu19.visual.force.com/0011i000001xmmQAAQ","Trinity Medical Group")</f>
        <v>Trinity Medical Group</v>
      </c>
      <c r="B5514" t="s">
        <v>10056</v>
      </c>
      <c r="C5514" t="s">
        <v>10</v>
      </c>
      <c r="D5514" t="s">
        <v>8</v>
      </c>
      <c r="E5514" t="s">
        <v>8</v>
      </c>
      <c r="F5514" t="s">
        <v>1647</v>
      </c>
      <c r="G5514" t="s">
        <v>1648</v>
      </c>
      <c r="H5514" t="s">
        <v>1648</v>
      </c>
      <c r="I5514" t="s">
        <v>1649</v>
      </c>
    </row>
    <row r="5515" spans="1:9" x14ac:dyDescent="0.25">
      <c r="A5515" s="1" t="str">
        <f>HYPERLINK("https://lynxcrm-apac--c.eu19.visual.force.com/0011i000001xnVqAAI","Tropical Med &amp; Infectious Diseases")</f>
        <v>Tropical Med &amp; Infectious Diseases</v>
      </c>
      <c r="B5515" t="s">
        <v>10057</v>
      </c>
      <c r="C5515" t="s">
        <v>10</v>
      </c>
      <c r="D5515" t="s">
        <v>8</v>
      </c>
      <c r="E5515" t="s">
        <v>8</v>
      </c>
      <c r="F5515" t="s">
        <v>377</v>
      </c>
      <c r="G5515" t="s">
        <v>7497</v>
      </c>
      <c r="H5515" t="s">
        <v>7497</v>
      </c>
      <c r="I5515" t="s">
        <v>123</v>
      </c>
    </row>
    <row r="5516" spans="1:9" x14ac:dyDescent="0.25">
      <c r="A5516" s="1" t="str">
        <f>HYPERLINK("https://lynxcrm-apac--c.eu19.visual.force.com/0011i000001xoJFAAY","Tsakok, Maurine")</f>
        <v>Tsakok, Maurine</v>
      </c>
      <c r="B5516" t="s">
        <v>10058</v>
      </c>
      <c r="C5516" t="s">
        <v>28</v>
      </c>
      <c r="D5516" t="s">
        <v>10059</v>
      </c>
      <c r="E5516" t="s">
        <v>8</v>
      </c>
      <c r="F5516" t="s">
        <v>1849</v>
      </c>
      <c r="G5516" t="s">
        <v>6581</v>
      </c>
      <c r="H5516" t="s">
        <v>6582</v>
      </c>
      <c r="I5516" t="s">
        <v>51</v>
      </c>
    </row>
    <row r="5517" spans="1:9" x14ac:dyDescent="0.25">
      <c r="A5517" s="1" t="str">
        <f>HYPERLINK("https://lynxcrm-apac--c.eu19.visual.force.com/0011i000001xo6wAAA","Tsang, Bih Shioh Charles")</f>
        <v>Tsang, Bih Shioh Charles</v>
      </c>
      <c r="B5517" t="s">
        <v>10060</v>
      </c>
      <c r="C5517" t="s">
        <v>28</v>
      </c>
      <c r="D5517" t="s">
        <v>10061</v>
      </c>
      <c r="E5517" t="s">
        <v>8</v>
      </c>
      <c r="F5517" t="s">
        <v>9808</v>
      </c>
      <c r="G5517" t="s">
        <v>1838</v>
      </c>
      <c r="H5517" t="s">
        <v>1838</v>
      </c>
      <c r="I5517" t="s">
        <v>344</v>
      </c>
    </row>
    <row r="5518" spans="1:9" x14ac:dyDescent="0.25">
      <c r="A5518" s="1" t="str">
        <f>HYPERLINK("https://lynxcrm-apac--c.eu19.visual.force.com/0011i00000pbW4ZAAU","Tsang, Li Ping Marianne")</f>
        <v>Tsang, Li Ping Marianne</v>
      </c>
      <c r="B5518" t="s">
        <v>10062</v>
      </c>
      <c r="C5518" t="s">
        <v>28</v>
      </c>
      <c r="D5518" t="s">
        <v>589</v>
      </c>
      <c r="E5518" t="s">
        <v>8</v>
      </c>
      <c r="F5518" t="s">
        <v>590</v>
      </c>
      <c r="G5518" t="s">
        <v>591</v>
      </c>
      <c r="H5518" t="s">
        <v>8</v>
      </c>
      <c r="I5518" t="s">
        <v>592</v>
      </c>
    </row>
    <row r="5519" spans="1:9" x14ac:dyDescent="0.25">
      <c r="A5519" s="1" t="str">
        <f>HYPERLINK("https://lynxcrm-apac--c.eu19.visual.force.com/0011i000001xojtAAA","Tse, Wan Lung Derek")</f>
        <v>Tse, Wan Lung Derek</v>
      </c>
      <c r="B5519" t="s">
        <v>10063</v>
      </c>
      <c r="C5519" t="s">
        <v>28</v>
      </c>
      <c r="D5519" t="s">
        <v>392</v>
      </c>
      <c r="E5519" t="s">
        <v>8</v>
      </c>
      <c r="F5519" t="s">
        <v>393</v>
      </c>
      <c r="G5519" t="s">
        <v>394</v>
      </c>
      <c r="H5519" t="s">
        <v>395</v>
      </c>
      <c r="I5519" t="s">
        <v>396</v>
      </c>
    </row>
    <row r="5520" spans="1:9" x14ac:dyDescent="0.25">
      <c r="A5520" s="1" t="str">
        <f>HYPERLINK("https://lynxcrm-apac--c.eu19.visual.force.com/0011i000001xnpxAAA","Tseng, Arthur")</f>
        <v>Tseng, Arthur</v>
      </c>
      <c r="B5520" t="s">
        <v>10064</v>
      </c>
      <c r="C5520" t="s">
        <v>28</v>
      </c>
      <c r="D5520" t="s">
        <v>10065</v>
      </c>
      <c r="E5520" t="s">
        <v>8</v>
      </c>
      <c r="F5520" t="s">
        <v>10066</v>
      </c>
      <c r="G5520" t="s">
        <v>65</v>
      </c>
      <c r="H5520" t="s">
        <v>65</v>
      </c>
      <c r="I5520" t="s">
        <v>67</v>
      </c>
    </row>
    <row r="5521" spans="1:9" x14ac:dyDescent="0.25">
      <c r="A5521" s="1" t="str">
        <f>HYPERLINK("https://lynxcrm-apac--c.eu19.visual.force.com/0011i000001xnDpAAI","Tseng, Liauw &amp; Chua Gynaecological Clinic")</f>
        <v>Tseng, Liauw &amp; Chua Gynaecological Clinic</v>
      </c>
      <c r="B5521" t="s">
        <v>10067</v>
      </c>
      <c r="C5521" t="s">
        <v>10</v>
      </c>
      <c r="D5521" t="s">
        <v>8</v>
      </c>
      <c r="E5521" t="s">
        <v>8</v>
      </c>
      <c r="F5521" t="s">
        <v>263</v>
      </c>
      <c r="G5521" t="s">
        <v>10068</v>
      </c>
      <c r="H5521" t="s">
        <v>10069</v>
      </c>
      <c r="I5521" t="s">
        <v>266</v>
      </c>
    </row>
    <row r="5522" spans="1:9" x14ac:dyDescent="0.25">
      <c r="A5522" s="1" t="str">
        <f>HYPERLINK("https://lynxcrm-apac--c.eu19.visual.force.com/0011i000001xo6xAAA","Tseng, Seng Fook Peter")</f>
        <v>Tseng, Seng Fook Peter</v>
      </c>
      <c r="B5522" t="s">
        <v>10070</v>
      </c>
      <c r="C5522" t="s">
        <v>28</v>
      </c>
      <c r="D5522" t="s">
        <v>251</v>
      </c>
      <c r="E5522" t="s">
        <v>8</v>
      </c>
      <c r="F5522" t="s">
        <v>251</v>
      </c>
      <c r="G5522" t="s">
        <v>252</v>
      </c>
      <c r="H5522" t="s">
        <v>252</v>
      </c>
      <c r="I5522" t="s">
        <v>253</v>
      </c>
    </row>
    <row r="5523" spans="1:9" x14ac:dyDescent="0.25">
      <c r="A5523" s="1" t="str">
        <f>HYPERLINK("https://lynxcrm-apac--c.eu19.visual.force.com/0011i000001xo6xAAA","Tseng, Seng Fook Peter")</f>
        <v>Tseng, Seng Fook Peter</v>
      </c>
      <c r="B5523" t="s">
        <v>10070</v>
      </c>
      <c r="C5523" t="s">
        <v>28</v>
      </c>
      <c r="D5523" t="s">
        <v>1318</v>
      </c>
      <c r="E5523" t="s">
        <v>8</v>
      </c>
      <c r="F5523" t="s">
        <v>252</v>
      </c>
      <c r="G5523" t="s">
        <v>251</v>
      </c>
      <c r="H5523" t="s">
        <v>251</v>
      </c>
      <c r="I5523" t="s">
        <v>253</v>
      </c>
    </row>
    <row r="5524" spans="1:9" x14ac:dyDescent="0.25">
      <c r="A5524" s="1" t="str">
        <f>HYPERLINK("https://lynxcrm-apac--c.eu19.visual.force.com/0011i000001xnmXAAQ","Tseng, William")</f>
        <v>Tseng, William</v>
      </c>
      <c r="B5524" t="s">
        <v>10071</v>
      </c>
      <c r="C5524" t="s">
        <v>28</v>
      </c>
      <c r="D5524" t="s">
        <v>10072</v>
      </c>
      <c r="E5524" t="s">
        <v>8</v>
      </c>
      <c r="F5524" t="s">
        <v>4207</v>
      </c>
      <c r="G5524" t="s">
        <v>4208</v>
      </c>
      <c r="H5524" t="s">
        <v>4208</v>
      </c>
      <c r="I5524" t="s">
        <v>4209</v>
      </c>
    </row>
    <row r="5525" spans="1:9" x14ac:dyDescent="0.25">
      <c r="A5525" s="1" t="str">
        <f>HYPERLINK("https://lynxcrm-apac--c.eu19.visual.force.com/0011i000001xnHHAAY","TSP Clinics Pte Ltd")</f>
        <v>TSP Clinics Pte Ltd</v>
      </c>
      <c r="B5525" t="s">
        <v>10073</v>
      </c>
      <c r="C5525" t="s">
        <v>10</v>
      </c>
      <c r="D5525" t="s">
        <v>8</v>
      </c>
      <c r="E5525" t="s">
        <v>8</v>
      </c>
      <c r="F5525" t="s">
        <v>10074</v>
      </c>
      <c r="G5525" t="s">
        <v>1838</v>
      </c>
      <c r="H5525" t="s">
        <v>1838</v>
      </c>
      <c r="I5525" t="s">
        <v>344</v>
      </c>
    </row>
    <row r="5526" spans="1:9" x14ac:dyDescent="0.25">
      <c r="A5526" s="1" t="str">
        <f>HYPERLINK("https://lynxcrm-apac--c.eu19.visual.force.com/0011i000001xnHVAAY","TTLIM Cardiology Pte Ltd.")</f>
        <v>TTLIM Cardiology Pte Ltd.</v>
      </c>
      <c r="B5526" t="s">
        <v>10075</v>
      </c>
      <c r="C5526" t="s">
        <v>10</v>
      </c>
      <c r="D5526" t="s">
        <v>8</v>
      </c>
      <c r="E5526" t="s">
        <v>8</v>
      </c>
      <c r="F5526" t="s">
        <v>6092</v>
      </c>
      <c r="G5526" t="s">
        <v>83</v>
      </c>
      <c r="H5526" t="s">
        <v>83</v>
      </c>
      <c r="I5526" t="s">
        <v>6093</v>
      </c>
    </row>
    <row r="5527" spans="1:9" x14ac:dyDescent="0.25">
      <c r="A5527" s="1" t="str">
        <f>HYPERLINK("https://lynxcrm-apac--c.eu19.visual.force.com/0011i000001xmp0AAA","TTSH Rehab Services")</f>
        <v>TTSH Rehab Services</v>
      </c>
      <c r="B5527" t="s">
        <v>10076</v>
      </c>
      <c r="C5527" t="s">
        <v>10</v>
      </c>
      <c r="D5527" t="s">
        <v>8</v>
      </c>
      <c r="E5527" t="s">
        <v>8</v>
      </c>
      <c r="F5527" t="s">
        <v>1306</v>
      </c>
      <c r="G5527" t="s">
        <v>1307</v>
      </c>
      <c r="H5527" t="s">
        <v>1307</v>
      </c>
      <c r="I5527" t="s">
        <v>610</v>
      </c>
    </row>
    <row r="5528" spans="1:9" x14ac:dyDescent="0.25">
      <c r="A5528" s="1" t="str">
        <f>HYPERLINK("https://lynxcrm-apac--c.eu19.visual.force.com/0011i00000Xf14BAAR","Tucker Medical")</f>
        <v>Tucker Medical</v>
      </c>
      <c r="B5528" t="s">
        <v>10077</v>
      </c>
      <c r="C5528" t="s">
        <v>10</v>
      </c>
      <c r="D5528" t="s">
        <v>8</v>
      </c>
      <c r="E5528" t="s">
        <v>8</v>
      </c>
      <c r="F5528" t="s">
        <v>10078</v>
      </c>
      <c r="G5528" t="s">
        <v>1830</v>
      </c>
      <c r="H5528" t="s">
        <v>8</v>
      </c>
      <c r="I5528" t="s">
        <v>1832</v>
      </c>
    </row>
    <row r="5529" spans="1:9" x14ac:dyDescent="0.25">
      <c r="A5529" s="1" t="str">
        <f>HYPERLINK("https://lynxcrm-apac--c.eu19.visual.force.com/0011i000001xoj2AAA","Tung, Evangeline")</f>
        <v>Tung, Evangeline</v>
      </c>
      <c r="B5529" t="s">
        <v>10079</v>
      </c>
      <c r="C5529" t="s">
        <v>28</v>
      </c>
      <c r="D5529" t="s">
        <v>516</v>
      </c>
      <c r="E5529" t="s">
        <v>8</v>
      </c>
      <c r="F5529" t="s">
        <v>517</v>
      </c>
      <c r="G5529" t="s">
        <v>517</v>
      </c>
      <c r="H5529" t="s">
        <v>8</v>
      </c>
      <c r="I5529" t="s">
        <v>518</v>
      </c>
    </row>
    <row r="5530" spans="1:9" x14ac:dyDescent="0.25">
      <c r="A5530" s="1" t="str">
        <f>HYPERLINK("https://lynxcrm-apac--c.eu19.visual.force.com/0011i000001xo8TAAQ","Tung, Kean Hin")</f>
        <v>Tung, Kean Hin</v>
      </c>
      <c r="B5530" t="s">
        <v>10080</v>
      </c>
      <c r="C5530" t="s">
        <v>28</v>
      </c>
      <c r="D5530" t="s">
        <v>10081</v>
      </c>
      <c r="E5530" t="s">
        <v>8</v>
      </c>
      <c r="F5530" t="s">
        <v>69</v>
      </c>
      <c r="G5530" t="s">
        <v>10082</v>
      </c>
      <c r="H5530" t="s">
        <v>10083</v>
      </c>
      <c r="I5530" t="s">
        <v>67</v>
      </c>
    </row>
    <row r="5531" spans="1:9" x14ac:dyDescent="0.25">
      <c r="A5531" s="1" t="str">
        <f>HYPERLINK("https://lynxcrm-apac--c.eu19.visual.force.com/0011i000001xo2TAAQ","Tung, Yew Cheong")</f>
        <v>Tung, Yew Cheong</v>
      </c>
      <c r="B5531" t="s">
        <v>10084</v>
      </c>
      <c r="C5531" t="s">
        <v>28</v>
      </c>
      <c r="D5531" t="s">
        <v>54</v>
      </c>
      <c r="E5531" t="s">
        <v>8</v>
      </c>
      <c r="F5531" t="s">
        <v>1225</v>
      </c>
      <c r="G5531" t="s">
        <v>1225</v>
      </c>
      <c r="H5531" t="s">
        <v>8</v>
      </c>
      <c r="I5531" t="s">
        <v>55</v>
      </c>
    </row>
    <row r="5532" spans="1:9" x14ac:dyDescent="0.25">
      <c r="A5532" s="1" t="str">
        <f>HYPERLINK("https://lynxcrm-apac--c.eu19.visual.force.com/0011i000001xo70AAA","Tung, Yu Yee Mathew")</f>
        <v>Tung, Yu Yee Mathew</v>
      </c>
      <c r="B5532" t="s">
        <v>10085</v>
      </c>
      <c r="C5532" t="s">
        <v>28</v>
      </c>
      <c r="D5532" t="s">
        <v>261</v>
      </c>
      <c r="E5532" t="s">
        <v>8</v>
      </c>
      <c r="F5532" t="s">
        <v>261</v>
      </c>
      <c r="G5532" t="s">
        <v>347</v>
      </c>
      <c r="H5532" t="s">
        <v>347</v>
      </c>
      <c r="I5532" t="s">
        <v>260</v>
      </c>
    </row>
    <row r="5533" spans="1:9" x14ac:dyDescent="0.25">
      <c r="A5533" s="1" t="str">
        <f>HYPERLINK("https://lynxcrm-apac--c.eu19.visual.force.com/0011i000001xo70AAA","Tung, Yu Yee Mathew")</f>
        <v>Tung, Yu Yee Mathew</v>
      </c>
      <c r="B5533" t="s">
        <v>10085</v>
      </c>
      <c r="C5533" t="s">
        <v>28</v>
      </c>
      <c r="D5533" t="s">
        <v>10086</v>
      </c>
      <c r="E5533" t="s">
        <v>8</v>
      </c>
      <c r="F5533" t="s">
        <v>258</v>
      </c>
      <c r="G5533" t="s">
        <v>261</v>
      </c>
      <c r="H5533" t="s">
        <v>261</v>
      </c>
      <c r="I5533" t="s">
        <v>260</v>
      </c>
    </row>
    <row r="5534" spans="1:9" x14ac:dyDescent="0.25">
      <c r="A5534" s="1" t="str">
        <f>HYPERLINK("https://lynxcrm-apac--c.eu19.visual.force.com/0011i000001xnEqAAI","Twin City Medical Group")</f>
        <v>Twin City Medical Group</v>
      </c>
      <c r="B5534" t="s">
        <v>10087</v>
      </c>
      <c r="C5534" t="s">
        <v>10</v>
      </c>
      <c r="D5534" t="s">
        <v>8</v>
      </c>
      <c r="E5534" t="s">
        <v>8</v>
      </c>
      <c r="F5534" t="s">
        <v>8285</v>
      </c>
      <c r="G5534" t="s">
        <v>8286</v>
      </c>
      <c r="H5534" t="s">
        <v>8287</v>
      </c>
      <c r="I5534" t="s">
        <v>3730</v>
      </c>
    </row>
    <row r="5535" spans="1:9" x14ac:dyDescent="0.25">
      <c r="A5535" s="1" t="str">
        <f>HYPERLINK("https://lynxcrm-apac--c.eu19.visual.force.com/0011i000001xn5LAAQ","Twin City Medical Practice")</f>
        <v>Twin City Medical Practice</v>
      </c>
      <c r="B5535" t="s">
        <v>10088</v>
      </c>
      <c r="C5535" t="s">
        <v>10</v>
      </c>
      <c r="D5535" t="s">
        <v>8</v>
      </c>
      <c r="E5535" t="s">
        <v>8</v>
      </c>
      <c r="F5535" t="s">
        <v>10089</v>
      </c>
      <c r="G5535" t="s">
        <v>706</v>
      </c>
      <c r="H5535" t="s">
        <v>505</v>
      </c>
      <c r="I5535" t="s">
        <v>543</v>
      </c>
    </row>
    <row r="5536" spans="1:9" x14ac:dyDescent="0.25">
      <c r="A5536" s="1" t="str">
        <f>HYPERLINK("https://lynxcrm-apac--c.eu19.visual.force.com/0011i000001xmelAAA","Ubi Family Clinic &amp; Surgery")</f>
        <v>Ubi Family Clinic &amp; Surgery</v>
      </c>
      <c r="B5536" t="s">
        <v>10090</v>
      </c>
      <c r="C5536" t="s">
        <v>10</v>
      </c>
      <c r="D5536" t="s">
        <v>8</v>
      </c>
      <c r="E5536" t="s">
        <v>8</v>
      </c>
      <c r="F5536" t="s">
        <v>10091</v>
      </c>
      <c r="G5536" t="s">
        <v>4126</v>
      </c>
      <c r="H5536" t="s">
        <v>4126</v>
      </c>
      <c r="I5536" t="s">
        <v>10092</v>
      </c>
    </row>
    <row r="5537" spans="1:9" x14ac:dyDescent="0.25">
      <c r="A5537" s="1" t="str">
        <f>HYPERLINK("https://lynxcrm-apac--c.eu19.visual.force.com/0011i000001xnESAAY","Ubi Medical Clinic")</f>
        <v>Ubi Medical Clinic</v>
      </c>
      <c r="B5537" t="s">
        <v>10093</v>
      </c>
      <c r="C5537" t="s">
        <v>10</v>
      </c>
      <c r="D5537" t="s">
        <v>8</v>
      </c>
      <c r="E5537" t="s">
        <v>8</v>
      </c>
      <c r="F5537" t="s">
        <v>10094</v>
      </c>
      <c r="G5537" t="s">
        <v>10095</v>
      </c>
      <c r="H5537" t="s">
        <v>7130</v>
      </c>
      <c r="I5537" t="s">
        <v>10092</v>
      </c>
    </row>
    <row r="5538" spans="1:9" x14ac:dyDescent="0.25">
      <c r="A5538" s="1" t="str">
        <f>HYPERLINK("https://lynxcrm-apac--c.eu19.visual.force.com/0011i000001xnPOAAY","Ubi Medical Clinic")</f>
        <v>Ubi Medical Clinic</v>
      </c>
      <c r="B5538" t="s">
        <v>10096</v>
      </c>
      <c r="C5538" t="s">
        <v>10</v>
      </c>
      <c r="D5538" t="s">
        <v>8</v>
      </c>
      <c r="E5538" t="s">
        <v>8</v>
      </c>
      <c r="F5538" t="s">
        <v>10097</v>
      </c>
      <c r="G5538" t="s">
        <v>10095</v>
      </c>
      <c r="H5538" t="s">
        <v>7130</v>
      </c>
      <c r="I5538" t="s">
        <v>10092</v>
      </c>
    </row>
    <row r="5539" spans="1:9" x14ac:dyDescent="0.25">
      <c r="A5539" s="1" t="str">
        <f>HYPERLINK("https://lynxcrm-apac--c.eu19.visual.force.com/0011i000001xoAeAAI","Umapathi, N Thirugnanam")</f>
        <v>Umapathi, N Thirugnanam</v>
      </c>
      <c r="B5539" t="s">
        <v>10098</v>
      </c>
      <c r="C5539" t="s">
        <v>28</v>
      </c>
      <c r="D5539" t="s">
        <v>474</v>
      </c>
      <c r="E5539" t="s">
        <v>8</v>
      </c>
      <c r="F5539" t="s">
        <v>1263</v>
      </c>
      <c r="G5539" t="s">
        <v>258</v>
      </c>
      <c r="H5539" t="s">
        <v>258</v>
      </c>
      <c r="I5539" t="s">
        <v>260</v>
      </c>
    </row>
    <row r="5540" spans="1:9" x14ac:dyDescent="0.25">
      <c r="A5540" s="1" t="str">
        <f>HYPERLINK("https://lynxcrm-apac--c.eu19.visual.force.com/0011i000001xns5AAA","Ung, Eng Khean Ken")</f>
        <v>Ung, Eng Khean Ken</v>
      </c>
      <c r="B5540" t="s">
        <v>10099</v>
      </c>
      <c r="C5540" t="s">
        <v>28</v>
      </c>
      <c r="D5540" t="s">
        <v>10100</v>
      </c>
      <c r="E5540" t="s">
        <v>8</v>
      </c>
      <c r="F5540" t="s">
        <v>10101</v>
      </c>
      <c r="G5540" t="s">
        <v>10102</v>
      </c>
      <c r="H5540" t="s">
        <v>10102</v>
      </c>
      <c r="I5540" t="s">
        <v>10103</v>
      </c>
    </row>
    <row r="5541" spans="1:9" x14ac:dyDescent="0.25">
      <c r="A5541" s="1" t="str">
        <f>HYPERLINK("https://lynxcrm-apac--c.eu19.visual.force.com/0011i000001xnvBAAQ","Ung, Eugene")</f>
        <v>Ung, Eugene</v>
      </c>
      <c r="B5541" t="s">
        <v>10104</v>
      </c>
      <c r="C5541" t="s">
        <v>28</v>
      </c>
      <c r="D5541" t="s">
        <v>4393</v>
      </c>
      <c r="E5541" t="s">
        <v>8</v>
      </c>
      <c r="F5541" t="s">
        <v>5029</v>
      </c>
      <c r="G5541" t="s">
        <v>654</v>
      </c>
      <c r="H5541" t="s">
        <v>6691</v>
      </c>
      <c r="I5541" t="s">
        <v>5032</v>
      </c>
    </row>
    <row r="5542" spans="1:9" x14ac:dyDescent="0.25">
      <c r="A5542" s="1" t="str">
        <f>HYPERLINK("https://lynxcrm-apac--c.eu19.visual.force.com/0011i000001xnzNAAQ","Ung, Peck Huoy")</f>
        <v>Ung, Peck Huoy</v>
      </c>
      <c r="B5542" t="s">
        <v>10105</v>
      </c>
      <c r="C5542" t="s">
        <v>28</v>
      </c>
      <c r="D5542" t="s">
        <v>261</v>
      </c>
      <c r="E5542" t="s">
        <v>8</v>
      </c>
      <c r="F5542" t="s">
        <v>261</v>
      </c>
      <c r="G5542" t="s">
        <v>347</v>
      </c>
      <c r="H5542" t="s">
        <v>347</v>
      </c>
      <c r="I5542" t="s">
        <v>260</v>
      </c>
    </row>
    <row r="5543" spans="1:9" x14ac:dyDescent="0.25">
      <c r="A5543" s="1" t="str">
        <f>HYPERLINK("https://lynxcrm-apac--c.eu19.visual.force.com/0011i00000tWN9pAAG","Unihealth 24-Hr Clinic (Toa Payoh)")</f>
        <v>Unihealth 24-Hr Clinic (Toa Payoh)</v>
      </c>
      <c r="B5543" t="s">
        <v>10106</v>
      </c>
      <c r="C5543" t="s">
        <v>10</v>
      </c>
      <c r="D5543" t="s">
        <v>8</v>
      </c>
      <c r="E5543" t="s">
        <v>8</v>
      </c>
      <c r="F5543" t="s">
        <v>10107</v>
      </c>
      <c r="G5543" t="s">
        <v>10108</v>
      </c>
      <c r="H5543" t="s">
        <v>8</v>
      </c>
      <c r="I5543" t="s">
        <v>10109</v>
      </c>
    </row>
    <row r="5544" spans="1:9" x14ac:dyDescent="0.25">
      <c r="A5544" s="1" t="str">
        <f>HYPERLINK("https://lynxcrm-apac--c.eu19.visual.force.com/0011i000001xnTyAAI","Union Clinic &amp; Surgery")</f>
        <v>Union Clinic &amp; Surgery</v>
      </c>
      <c r="B5544" t="s">
        <v>10110</v>
      </c>
      <c r="C5544" t="s">
        <v>10</v>
      </c>
      <c r="D5544" t="s">
        <v>8</v>
      </c>
      <c r="E5544" t="s">
        <v>8</v>
      </c>
      <c r="F5544" t="s">
        <v>10111</v>
      </c>
      <c r="G5544" t="s">
        <v>10112</v>
      </c>
      <c r="H5544" t="s">
        <v>10113</v>
      </c>
      <c r="I5544" t="s">
        <v>10114</v>
      </c>
    </row>
    <row r="5545" spans="1:9" x14ac:dyDescent="0.25">
      <c r="A5545" s="1" t="str">
        <f>HYPERLINK("https://lynxcrm-apac--c.eu19.visual.force.com/0011i000001xnLTAAY","Union Medical Clinic &amp; Surgery")</f>
        <v>Union Medical Clinic &amp; Surgery</v>
      </c>
      <c r="B5545" t="s">
        <v>10115</v>
      </c>
      <c r="C5545" t="s">
        <v>10</v>
      </c>
      <c r="D5545" t="s">
        <v>8</v>
      </c>
      <c r="E5545" t="s">
        <v>8</v>
      </c>
      <c r="F5545" t="s">
        <v>5005</v>
      </c>
      <c r="G5545" t="s">
        <v>4386</v>
      </c>
      <c r="H5545" t="s">
        <v>4386</v>
      </c>
      <c r="I5545" t="s">
        <v>494</v>
      </c>
    </row>
    <row r="5546" spans="1:9" x14ac:dyDescent="0.25">
      <c r="A5546" s="1" t="str">
        <f>HYPERLINK("https://lynxcrm-apac--c.eu19.visual.force.com/0011i000001xnc9AAA","United Clinic")</f>
        <v>United Clinic</v>
      </c>
      <c r="B5546" t="s">
        <v>10116</v>
      </c>
      <c r="C5546" t="s">
        <v>10</v>
      </c>
      <c r="D5546" t="s">
        <v>8</v>
      </c>
      <c r="E5546" t="s">
        <v>8</v>
      </c>
      <c r="F5546" t="s">
        <v>6303</v>
      </c>
      <c r="G5546" t="s">
        <v>6304</v>
      </c>
      <c r="H5546" t="s">
        <v>6304</v>
      </c>
      <c r="I5546" t="s">
        <v>6030</v>
      </c>
    </row>
    <row r="5547" spans="1:9" x14ac:dyDescent="0.25">
      <c r="A5547" s="1" t="str">
        <f>HYPERLINK("https://lynxcrm-apac--c.eu19.visual.force.com/0011i000001xnceAAA","United Clinic")</f>
        <v>United Clinic</v>
      </c>
      <c r="B5547" t="s">
        <v>10117</v>
      </c>
      <c r="C5547" t="s">
        <v>10</v>
      </c>
      <c r="D5547" t="s">
        <v>8</v>
      </c>
      <c r="E5547" t="s">
        <v>8</v>
      </c>
      <c r="F5547" t="s">
        <v>6303</v>
      </c>
      <c r="G5547" t="s">
        <v>6304</v>
      </c>
      <c r="H5547" t="s">
        <v>6304</v>
      </c>
      <c r="I5547" t="s">
        <v>6030</v>
      </c>
    </row>
    <row r="5548" spans="1:9" x14ac:dyDescent="0.25">
      <c r="A5548" s="1" t="str">
        <f>HYPERLINK("https://lynxcrm-apac--c.eu19.visual.force.com/0011i000001xnYfAAI","United Health Family Clinic &amp; Surgery")</f>
        <v>United Health Family Clinic &amp; Surgery</v>
      </c>
      <c r="B5548" t="s">
        <v>10118</v>
      </c>
      <c r="C5548" t="s">
        <v>10</v>
      </c>
      <c r="D5548" t="s">
        <v>8</v>
      </c>
      <c r="E5548" t="s">
        <v>8</v>
      </c>
      <c r="F5548" t="s">
        <v>10119</v>
      </c>
      <c r="G5548" t="s">
        <v>225</v>
      </c>
      <c r="H5548" t="s">
        <v>10120</v>
      </c>
      <c r="I5548" t="s">
        <v>10121</v>
      </c>
    </row>
    <row r="5549" spans="1:9" x14ac:dyDescent="0.25">
      <c r="A5549" s="1" t="str">
        <f>HYPERLINK("https://lynxcrm-apac--c.eu19.visual.force.com/0011i000001xmoOAAQ","United Medical Clinic")</f>
        <v>United Medical Clinic</v>
      </c>
      <c r="B5549" t="s">
        <v>10122</v>
      </c>
      <c r="C5549" t="s">
        <v>10</v>
      </c>
      <c r="D5549" t="s">
        <v>8</v>
      </c>
      <c r="E5549" t="s">
        <v>8</v>
      </c>
      <c r="F5549" t="s">
        <v>477</v>
      </c>
      <c r="G5549" t="s">
        <v>478</v>
      </c>
      <c r="H5549" t="s">
        <v>9673</v>
      </c>
      <c r="I5549" t="s">
        <v>479</v>
      </c>
    </row>
    <row r="5550" spans="1:9" x14ac:dyDescent="0.25">
      <c r="A5550" s="1" t="str">
        <f>HYPERLINK("https://lynxcrm-apac--c.eu19.visual.force.com/0011i000001xnWIAAY","United Medical Practitioners")</f>
        <v>United Medical Practitioners</v>
      </c>
      <c r="B5550" t="s">
        <v>10123</v>
      </c>
      <c r="C5550" t="s">
        <v>10</v>
      </c>
      <c r="D5550" t="s">
        <v>8</v>
      </c>
      <c r="E5550" t="s">
        <v>8</v>
      </c>
      <c r="F5550" t="s">
        <v>4276</v>
      </c>
      <c r="G5550" t="s">
        <v>4277</v>
      </c>
      <c r="H5550" t="s">
        <v>4277</v>
      </c>
      <c r="I5550" t="s">
        <v>4278</v>
      </c>
    </row>
    <row r="5551" spans="1:9" x14ac:dyDescent="0.25">
      <c r="A5551" s="1" t="str">
        <f>HYPERLINK("https://lynxcrm-apac--c.eu19.visual.force.com/0011i000001xnFpAAI","United Vision Holdings Pte Ltd")</f>
        <v>United Vision Holdings Pte Ltd</v>
      </c>
      <c r="B5551" t="s">
        <v>10124</v>
      </c>
      <c r="C5551" t="s">
        <v>10</v>
      </c>
      <c r="D5551" t="s">
        <v>8</v>
      </c>
      <c r="E5551" t="s">
        <v>8</v>
      </c>
      <c r="F5551" t="s">
        <v>10125</v>
      </c>
      <c r="G5551" t="s">
        <v>10126</v>
      </c>
      <c r="H5551" t="s">
        <v>10127</v>
      </c>
      <c r="I5551" t="s">
        <v>10128</v>
      </c>
    </row>
    <row r="5552" spans="1:9" x14ac:dyDescent="0.25">
      <c r="A5552" s="1" t="str">
        <f>HYPERLINK("https://lynxcrm-apac--c.eu19.visual.force.com/0011i000001xnOvAAI","Unity Healthcare Pharmacy - Thomson Plaza")</f>
        <v>Unity Healthcare Pharmacy - Thomson Plaza</v>
      </c>
      <c r="B5552" t="s">
        <v>10129</v>
      </c>
      <c r="C5552" t="s">
        <v>28</v>
      </c>
      <c r="D5552" t="s">
        <v>8</v>
      </c>
      <c r="E5552" t="s">
        <v>8</v>
      </c>
      <c r="F5552" t="s">
        <v>7875</v>
      </c>
      <c r="G5552" t="s">
        <v>7876</v>
      </c>
      <c r="H5552" t="s">
        <v>7876</v>
      </c>
      <c r="I5552" t="s">
        <v>3792</v>
      </c>
    </row>
    <row r="5553" spans="1:9" x14ac:dyDescent="0.25">
      <c r="A5553" s="1" t="str">
        <f>HYPERLINK("https://lynxcrm-apac--c.eu19.visual.force.com/0011i000001xnTXAAY","Unity Pharmacy - AMK Hub")</f>
        <v>Unity Pharmacy - AMK Hub</v>
      </c>
      <c r="B5553" t="s">
        <v>10130</v>
      </c>
      <c r="C5553" t="s">
        <v>28</v>
      </c>
      <c r="D5553" t="s">
        <v>8</v>
      </c>
      <c r="E5553" t="s">
        <v>8</v>
      </c>
      <c r="F5553" t="s">
        <v>10131</v>
      </c>
      <c r="G5553" t="s">
        <v>10132</v>
      </c>
      <c r="H5553" t="s">
        <v>10132</v>
      </c>
      <c r="I5553" t="s">
        <v>10133</v>
      </c>
    </row>
    <row r="5554" spans="1:9" x14ac:dyDescent="0.25">
      <c r="A5554" s="1" t="str">
        <f>HYPERLINK("https://lynxcrm-apac--c.eu19.visual.force.com/0011i000001xmjtAAA","Unity Pharmacy - Bedok North")</f>
        <v>Unity Pharmacy - Bedok North</v>
      </c>
      <c r="B5554" t="s">
        <v>10134</v>
      </c>
      <c r="C5554" t="s">
        <v>28</v>
      </c>
      <c r="D5554" t="s">
        <v>8</v>
      </c>
      <c r="E5554" t="s">
        <v>8</v>
      </c>
      <c r="F5554" t="s">
        <v>10135</v>
      </c>
      <c r="G5554" t="s">
        <v>10136</v>
      </c>
      <c r="H5554" t="s">
        <v>10136</v>
      </c>
      <c r="I5554" t="s">
        <v>847</v>
      </c>
    </row>
    <row r="5555" spans="1:9" x14ac:dyDescent="0.25">
      <c r="A5555" s="1" t="str">
        <f>HYPERLINK("https://lynxcrm-apac--c.eu19.visual.force.com/0011i000001xn3NAAQ","Unity Pharmacy - Clementi Mall")</f>
        <v>Unity Pharmacy - Clementi Mall</v>
      </c>
      <c r="B5555" t="s">
        <v>10137</v>
      </c>
      <c r="C5555" t="s">
        <v>28</v>
      </c>
      <c r="D5555" t="s">
        <v>8</v>
      </c>
      <c r="E5555" t="s">
        <v>8</v>
      </c>
      <c r="F5555" t="s">
        <v>7761</v>
      </c>
      <c r="G5555" t="s">
        <v>7762</v>
      </c>
      <c r="H5555" t="s">
        <v>7762</v>
      </c>
      <c r="I5555" t="s">
        <v>7763</v>
      </c>
    </row>
    <row r="5556" spans="1:9" x14ac:dyDescent="0.25">
      <c r="A5556" s="1" t="str">
        <f>HYPERLINK("https://lynxcrm-apac--c.eu19.visual.force.com/0011i000001xmjuAAA","Unity Pharmacy - Hougang Mall")</f>
        <v>Unity Pharmacy - Hougang Mall</v>
      </c>
      <c r="B5556" t="s">
        <v>10138</v>
      </c>
      <c r="C5556" t="s">
        <v>28</v>
      </c>
      <c r="D5556" t="s">
        <v>8</v>
      </c>
      <c r="E5556" t="s">
        <v>8</v>
      </c>
      <c r="F5556" t="s">
        <v>7792</v>
      </c>
      <c r="G5556" t="s">
        <v>7793</v>
      </c>
      <c r="H5556" t="s">
        <v>7793</v>
      </c>
      <c r="I5556" t="s">
        <v>3993</v>
      </c>
    </row>
    <row r="5557" spans="1:9" x14ac:dyDescent="0.25">
      <c r="A5557" s="1" t="str">
        <f>HYPERLINK("https://lynxcrm-apac--c.eu19.visual.force.com/0011i000001xmncAAA","Unity Pharmacy - Marina Parade")</f>
        <v>Unity Pharmacy - Marina Parade</v>
      </c>
      <c r="B5557" t="s">
        <v>10139</v>
      </c>
      <c r="C5557" t="s">
        <v>28</v>
      </c>
      <c r="D5557" t="s">
        <v>8</v>
      </c>
      <c r="E5557" t="s">
        <v>8</v>
      </c>
      <c r="F5557" t="s">
        <v>10140</v>
      </c>
      <c r="G5557" t="s">
        <v>8701</v>
      </c>
      <c r="H5557" t="s">
        <v>8701</v>
      </c>
      <c r="I5557" t="s">
        <v>8703</v>
      </c>
    </row>
    <row r="5558" spans="1:9" x14ac:dyDescent="0.25">
      <c r="A5558" s="1" t="str">
        <f>HYPERLINK("https://lynxcrm-apac--c.eu19.visual.force.com/0011i000001xmkgAAA","Unity Pharmacy - Plaza Singapura")</f>
        <v>Unity Pharmacy - Plaza Singapura</v>
      </c>
      <c r="B5558" t="s">
        <v>10141</v>
      </c>
      <c r="C5558" t="s">
        <v>28</v>
      </c>
      <c r="D5558" t="s">
        <v>8</v>
      </c>
      <c r="E5558" t="s">
        <v>8</v>
      </c>
      <c r="F5558" t="s">
        <v>7841</v>
      </c>
      <c r="G5558" t="s">
        <v>7842</v>
      </c>
      <c r="H5558" t="s">
        <v>7842</v>
      </c>
      <c r="I5558" t="s">
        <v>7843</v>
      </c>
    </row>
    <row r="5559" spans="1:9" x14ac:dyDescent="0.25">
      <c r="A5559" s="1" t="str">
        <f>HYPERLINK("https://lynxcrm-apac--c.eu19.visual.force.com/0011i000001xmxoAAA","Unity Pharmacy - Seletar Mall")</f>
        <v>Unity Pharmacy - Seletar Mall</v>
      </c>
      <c r="B5559" t="s">
        <v>10142</v>
      </c>
      <c r="C5559" t="s">
        <v>28</v>
      </c>
      <c r="D5559" t="s">
        <v>8</v>
      </c>
      <c r="E5559" t="s">
        <v>8</v>
      </c>
      <c r="F5559" t="s">
        <v>7723</v>
      </c>
      <c r="G5559" t="s">
        <v>7724</v>
      </c>
      <c r="H5559" t="s">
        <v>7724</v>
      </c>
      <c r="I5559" t="s">
        <v>7725</v>
      </c>
    </row>
    <row r="5560" spans="1:9" x14ac:dyDescent="0.25">
      <c r="A5560" s="1" t="str">
        <f>HYPERLINK("https://lynxcrm-apac--c.eu19.visual.force.com/0011i000001xmndAAA","Unity Pharmacy - Tampines 1")</f>
        <v>Unity Pharmacy - Tampines 1</v>
      </c>
      <c r="B5560" t="s">
        <v>10143</v>
      </c>
      <c r="C5560" t="s">
        <v>28</v>
      </c>
      <c r="D5560" t="s">
        <v>8</v>
      </c>
      <c r="E5560" t="s">
        <v>8</v>
      </c>
      <c r="F5560" t="s">
        <v>7864</v>
      </c>
      <c r="G5560" t="s">
        <v>7865</v>
      </c>
      <c r="H5560" t="s">
        <v>8</v>
      </c>
      <c r="I5560" t="s">
        <v>7866</v>
      </c>
    </row>
    <row r="5561" spans="1:9" x14ac:dyDescent="0.25">
      <c r="A5561" s="1" t="str">
        <f>HYPERLINK("https://lynxcrm-apac--c.eu19.visual.force.com/0011i000001xmneAAA","Unity Pharmacy - Tanglin Mall")</f>
        <v>Unity Pharmacy - Tanglin Mall</v>
      </c>
      <c r="B5561" t="s">
        <v>10144</v>
      </c>
      <c r="C5561" t="s">
        <v>28</v>
      </c>
      <c r="D5561" t="s">
        <v>8</v>
      </c>
      <c r="E5561" t="s">
        <v>8</v>
      </c>
      <c r="F5561" t="s">
        <v>3477</v>
      </c>
      <c r="G5561" t="s">
        <v>7728</v>
      </c>
      <c r="H5561" t="s">
        <v>7728</v>
      </c>
      <c r="I5561" t="s">
        <v>3480</v>
      </c>
    </row>
    <row r="5562" spans="1:9" x14ac:dyDescent="0.25">
      <c r="A5562" s="1" t="str">
        <f>HYPERLINK("https://lynxcrm-apac--c.eu19.visual.force.com/0011i000001xnSgAAI","Unity Pharmacy - Tanjong Pagar Plaza")</f>
        <v>Unity Pharmacy - Tanjong Pagar Plaza</v>
      </c>
      <c r="B5562" t="s">
        <v>10145</v>
      </c>
      <c r="C5562" t="s">
        <v>28</v>
      </c>
      <c r="D5562" t="s">
        <v>8</v>
      </c>
      <c r="E5562" t="s">
        <v>8</v>
      </c>
      <c r="F5562" t="s">
        <v>7871</v>
      </c>
      <c r="G5562" t="s">
        <v>7872</v>
      </c>
      <c r="H5562" t="s">
        <v>7872</v>
      </c>
      <c r="I5562" t="s">
        <v>7873</v>
      </c>
    </row>
    <row r="5563" spans="1:9" x14ac:dyDescent="0.25">
      <c r="A5563" s="1" t="str">
        <f>HYPERLINK("https://lynxcrm-apac--c.eu19.visual.force.com/0011i000001xnHbAAI","Unity Pharmacy - Waterway Point")</f>
        <v>Unity Pharmacy - Waterway Point</v>
      </c>
      <c r="B5563" t="s">
        <v>10146</v>
      </c>
      <c r="C5563" t="s">
        <v>28</v>
      </c>
      <c r="D5563" t="s">
        <v>8</v>
      </c>
      <c r="E5563" t="s">
        <v>8</v>
      </c>
      <c r="F5563" t="s">
        <v>7892</v>
      </c>
      <c r="G5563" t="s">
        <v>7893</v>
      </c>
      <c r="H5563" t="s">
        <v>7893</v>
      </c>
      <c r="I5563" t="s">
        <v>7336</v>
      </c>
    </row>
    <row r="5564" spans="1:9" x14ac:dyDescent="0.25">
      <c r="A5564" s="1" t="str">
        <f>HYPERLINK("https://lynxcrm-apac--c.eu19.visual.force.com/0011i000001xmdZAAQ","Unity Pharmacy - Yew Tee")</f>
        <v>Unity Pharmacy - Yew Tee</v>
      </c>
      <c r="B5564" t="s">
        <v>10147</v>
      </c>
      <c r="C5564" t="s">
        <v>28</v>
      </c>
      <c r="D5564" t="s">
        <v>8</v>
      </c>
      <c r="E5564" t="s">
        <v>8</v>
      </c>
      <c r="F5564" t="s">
        <v>10148</v>
      </c>
      <c r="G5564" t="s">
        <v>10149</v>
      </c>
      <c r="H5564" t="s">
        <v>10149</v>
      </c>
      <c r="I5564" t="s">
        <v>2485</v>
      </c>
    </row>
    <row r="5565" spans="1:9" x14ac:dyDescent="0.25">
      <c r="A5565" s="1" t="str">
        <f>HYPERLINK("https://lynxcrm-apac--c.eu19.visual.force.com/0011i000001xmngAAA","Unity Pharmacy - Yishun Street 81")</f>
        <v>Unity Pharmacy - Yishun Street 81</v>
      </c>
      <c r="B5565" t="s">
        <v>10150</v>
      </c>
      <c r="C5565" t="s">
        <v>28</v>
      </c>
      <c r="D5565" t="s">
        <v>8</v>
      </c>
      <c r="E5565" t="s">
        <v>8</v>
      </c>
      <c r="F5565" t="s">
        <v>10151</v>
      </c>
      <c r="G5565" t="s">
        <v>10152</v>
      </c>
      <c r="H5565" t="s">
        <v>10152</v>
      </c>
      <c r="I5565" t="s">
        <v>10153</v>
      </c>
    </row>
    <row r="5566" spans="1:9" x14ac:dyDescent="0.25">
      <c r="A5566" s="1" t="str">
        <f>HYPERLINK("https://lynxcrm-apac--c.eu19.visual.force.com/0011i000001xmjaAAA","Universal Medical &amp; Dental Clinic")</f>
        <v>Universal Medical &amp; Dental Clinic</v>
      </c>
      <c r="B5566" t="s">
        <v>10154</v>
      </c>
      <c r="C5566" t="s">
        <v>10</v>
      </c>
      <c r="D5566" t="s">
        <v>8</v>
      </c>
      <c r="E5566" t="s">
        <v>8</v>
      </c>
      <c r="F5566" t="s">
        <v>10155</v>
      </c>
      <c r="G5566" t="s">
        <v>5764</v>
      </c>
      <c r="H5566" t="s">
        <v>10156</v>
      </c>
      <c r="I5566" t="s">
        <v>6071</v>
      </c>
    </row>
    <row r="5567" spans="1:9" x14ac:dyDescent="0.25">
      <c r="A5567" s="1" t="str">
        <f>HYPERLINK("https://lynxcrm-apac--c.eu19.visual.force.com/0011i000001xnVYAAY","Universal Medical &amp; Dental Clinic")</f>
        <v>Universal Medical &amp; Dental Clinic</v>
      </c>
      <c r="B5567" t="s">
        <v>10157</v>
      </c>
      <c r="C5567" t="s">
        <v>10</v>
      </c>
      <c r="D5567" t="s">
        <v>8</v>
      </c>
      <c r="E5567" t="s">
        <v>8</v>
      </c>
      <c r="F5567" t="s">
        <v>10158</v>
      </c>
      <c r="G5567" t="s">
        <v>10159</v>
      </c>
      <c r="H5567" t="s">
        <v>10160</v>
      </c>
      <c r="I5567" t="s">
        <v>8828</v>
      </c>
    </row>
    <row r="5568" spans="1:9" x14ac:dyDescent="0.25">
      <c r="A5568" s="1" t="str">
        <f>HYPERLINK("https://lynxcrm-apac--c.eu19.visual.force.com/0011i000001xn6QAAQ","Universal Medical &amp; Dental Clinic")</f>
        <v>Universal Medical &amp; Dental Clinic</v>
      </c>
      <c r="B5568" t="s">
        <v>10161</v>
      </c>
      <c r="C5568" t="s">
        <v>10</v>
      </c>
      <c r="D5568" t="s">
        <v>8</v>
      </c>
      <c r="E5568" t="s">
        <v>8</v>
      </c>
      <c r="F5568" t="s">
        <v>10158</v>
      </c>
      <c r="G5568" t="s">
        <v>10159</v>
      </c>
      <c r="H5568" t="s">
        <v>10160</v>
      </c>
      <c r="I5568" t="s">
        <v>8828</v>
      </c>
    </row>
    <row r="5569" spans="1:9" x14ac:dyDescent="0.25">
      <c r="A5569" s="1" t="str">
        <f>HYPERLINK("https://lynxcrm-apac--c.eu19.visual.force.com/0011i000001xmdOAAQ","Universal Medical Clinic")</f>
        <v>Universal Medical Clinic</v>
      </c>
      <c r="B5569" t="s">
        <v>10162</v>
      </c>
      <c r="C5569" t="s">
        <v>10</v>
      </c>
      <c r="D5569" t="s">
        <v>8</v>
      </c>
      <c r="E5569" t="s">
        <v>8</v>
      </c>
      <c r="F5569" t="s">
        <v>9311</v>
      </c>
      <c r="G5569" t="s">
        <v>8548</v>
      </c>
      <c r="H5569" t="s">
        <v>9312</v>
      </c>
      <c r="I5569" t="s">
        <v>3776</v>
      </c>
    </row>
    <row r="5570" spans="1:9" x14ac:dyDescent="0.25">
      <c r="A5570" s="1" t="str">
        <f>HYPERLINK("https://lynxcrm-apac--c.eu19.visual.force.com/0011i000001xnZgAAI","Universal Medical Clinic")</f>
        <v>Universal Medical Clinic</v>
      </c>
      <c r="B5570" t="s">
        <v>10163</v>
      </c>
      <c r="C5570" t="s">
        <v>10</v>
      </c>
      <c r="D5570" t="s">
        <v>8</v>
      </c>
      <c r="E5570" t="s">
        <v>8</v>
      </c>
      <c r="F5570" t="s">
        <v>6389</v>
      </c>
      <c r="G5570" t="s">
        <v>478</v>
      </c>
      <c r="H5570" t="s">
        <v>478</v>
      </c>
      <c r="I5570" t="s">
        <v>6390</v>
      </c>
    </row>
    <row r="5571" spans="1:9" x14ac:dyDescent="0.25">
      <c r="A5571" s="1" t="str">
        <f>HYPERLINK("https://lynxcrm-apac--c.eu19.visual.force.com/0011i000001xnDDAAY","Universal Peace Clinic")</f>
        <v>Universal Peace Clinic</v>
      </c>
      <c r="B5571" t="s">
        <v>10164</v>
      </c>
      <c r="C5571" t="s">
        <v>10</v>
      </c>
      <c r="D5571" t="s">
        <v>8</v>
      </c>
      <c r="E5571" t="s">
        <v>8</v>
      </c>
      <c r="F5571" t="s">
        <v>4091</v>
      </c>
      <c r="G5571" t="s">
        <v>4092</v>
      </c>
      <c r="H5571" t="s">
        <v>4092</v>
      </c>
      <c r="I5571" t="s">
        <v>4093</v>
      </c>
    </row>
    <row r="5572" spans="1:9" x14ac:dyDescent="0.25">
      <c r="A5572" s="1" t="str">
        <f>HYPERLINK("https://lynxcrm-apac--c.eu19.visual.force.com/0011i000001xnFCAAY","University Health Service")</f>
        <v>University Health Service</v>
      </c>
      <c r="B5572" t="s">
        <v>10165</v>
      </c>
      <c r="C5572" t="s">
        <v>10</v>
      </c>
      <c r="D5572" t="s">
        <v>8</v>
      </c>
      <c r="E5572" t="s">
        <v>8</v>
      </c>
      <c r="F5572" t="s">
        <v>3201</v>
      </c>
      <c r="G5572" t="s">
        <v>9053</v>
      </c>
      <c r="H5572" t="s">
        <v>9053</v>
      </c>
      <c r="I5572" t="s">
        <v>6940</v>
      </c>
    </row>
    <row r="5573" spans="1:9" x14ac:dyDescent="0.25">
      <c r="A5573" s="1" t="str">
        <f>HYPERLINK("https://lynxcrm-apac--c.eu19.visual.force.com/0011i000001xmcGAAQ","University Health Service")</f>
        <v>University Health Service</v>
      </c>
      <c r="B5573" t="s">
        <v>10166</v>
      </c>
      <c r="C5573" t="s">
        <v>10</v>
      </c>
      <c r="D5573" t="s">
        <v>8</v>
      </c>
      <c r="E5573" t="s">
        <v>8</v>
      </c>
      <c r="F5573" t="s">
        <v>3201</v>
      </c>
      <c r="G5573" t="s">
        <v>6938</v>
      </c>
      <c r="H5573" t="s">
        <v>6938</v>
      </c>
      <c r="I5573" t="s">
        <v>6940</v>
      </c>
    </row>
    <row r="5574" spans="1:9" x14ac:dyDescent="0.25">
      <c r="A5574" s="1" t="str">
        <f>HYPERLINK("https://lynxcrm-apac--c.eu19.visual.force.com/0011i000001xn9DAAQ","University Health Services")</f>
        <v>University Health Services</v>
      </c>
      <c r="B5574" t="s">
        <v>10167</v>
      </c>
      <c r="C5574" t="s">
        <v>10</v>
      </c>
      <c r="D5574" t="s">
        <v>8</v>
      </c>
      <c r="E5574" t="s">
        <v>8</v>
      </c>
      <c r="F5574" t="s">
        <v>3201</v>
      </c>
      <c r="G5574" t="s">
        <v>6938</v>
      </c>
      <c r="H5574" t="s">
        <v>6938</v>
      </c>
      <c r="I5574" t="s">
        <v>6940</v>
      </c>
    </row>
    <row r="5575" spans="1:9" x14ac:dyDescent="0.25">
      <c r="A5575" s="1" t="str">
        <f>HYPERLINK("https://lynxcrm-apac--c.eu19.visual.force.com/0011i000001xmcQAAQ","Usrah Medical Clinic")</f>
        <v>Usrah Medical Clinic</v>
      </c>
      <c r="B5575" t="s">
        <v>10168</v>
      </c>
      <c r="C5575" t="s">
        <v>10</v>
      </c>
      <c r="D5575" t="s">
        <v>8</v>
      </c>
      <c r="E5575" t="s">
        <v>8</v>
      </c>
      <c r="F5575" t="s">
        <v>3852</v>
      </c>
      <c r="G5575" t="s">
        <v>3853</v>
      </c>
      <c r="H5575" t="s">
        <v>3853</v>
      </c>
      <c r="I5575" t="s">
        <v>3854</v>
      </c>
    </row>
    <row r="5576" spans="1:9" x14ac:dyDescent="0.25">
      <c r="A5576" s="1" t="str">
        <f>HYPERLINK("https://lynxcrm-apac--c.eu19.visual.force.com/0011i000001xnPKAAY","Usrah Medical Clinic")</f>
        <v>Usrah Medical Clinic</v>
      </c>
      <c r="B5576" t="s">
        <v>10169</v>
      </c>
      <c r="C5576" t="s">
        <v>10</v>
      </c>
      <c r="D5576" t="s">
        <v>8</v>
      </c>
      <c r="E5576" t="s">
        <v>8</v>
      </c>
      <c r="F5576" t="s">
        <v>3852</v>
      </c>
      <c r="G5576" t="s">
        <v>3853</v>
      </c>
      <c r="H5576" t="s">
        <v>10170</v>
      </c>
      <c r="I5576" t="s">
        <v>3854</v>
      </c>
    </row>
    <row r="5577" spans="1:9" x14ac:dyDescent="0.25">
      <c r="A5577" s="1" t="str">
        <f>HYPERLINK("https://lynxcrm-apac--c.eu19.visual.force.com/0011i000001xoEiAAI","Vangadasalam, Chinnappan")</f>
        <v>Vangadasalam, Chinnappan</v>
      </c>
      <c r="B5577" t="s">
        <v>10171</v>
      </c>
      <c r="C5577" t="s">
        <v>28</v>
      </c>
      <c r="D5577" t="s">
        <v>10172</v>
      </c>
      <c r="E5577" t="s">
        <v>8</v>
      </c>
      <c r="F5577" t="s">
        <v>10173</v>
      </c>
      <c r="G5577" t="s">
        <v>10174</v>
      </c>
      <c r="H5577" t="s">
        <v>10175</v>
      </c>
      <c r="I5577" t="s">
        <v>10176</v>
      </c>
    </row>
    <row r="5578" spans="1:9" x14ac:dyDescent="0.25">
      <c r="A5578" s="1" t="str">
        <f>HYPERLINK("https://lynxcrm-apac--c.eu19.visual.force.com/0011i000001xmyhAAA","Vascular Interventional Centre")</f>
        <v>Vascular Interventional Centre</v>
      </c>
      <c r="B5578" t="s">
        <v>10177</v>
      </c>
      <c r="C5578" t="s">
        <v>10</v>
      </c>
      <c r="D5578" t="s">
        <v>8</v>
      </c>
      <c r="E5578" t="s">
        <v>8</v>
      </c>
      <c r="F5578" t="s">
        <v>897</v>
      </c>
      <c r="G5578" t="s">
        <v>2211</v>
      </c>
      <c r="H5578" t="s">
        <v>2211</v>
      </c>
      <c r="I5578" t="s">
        <v>344</v>
      </c>
    </row>
    <row r="5579" spans="1:9" x14ac:dyDescent="0.25">
      <c r="A5579" s="1" t="str">
        <f>HYPERLINK("https://lynxcrm-apac--c.eu19.visual.force.com/0011i000001xoDBAAY","Vasoo, Sushilan Shawn")</f>
        <v>Vasoo, Sushilan Shawn</v>
      </c>
      <c r="B5579" t="s">
        <v>10178</v>
      </c>
      <c r="C5579" t="s">
        <v>28</v>
      </c>
      <c r="D5579" t="s">
        <v>1930</v>
      </c>
      <c r="E5579" t="s">
        <v>8</v>
      </c>
      <c r="F5579" t="s">
        <v>360</v>
      </c>
      <c r="G5579" t="s">
        <v>1253</v>
      </c>
      <c r="H5579" t="s">
        <v>1253</v>
      </c>
      <c r="I5579" t="s">
        <v>362</v>
      </c>
    </row>
    <row r="5580" spans="1:9" x14ac:dyDescent="0.25">
      <c r="A5580" s="1" t="str">
        <f>HYPERLINK("https://lynxcrm-apac--c.eu19.visual.force.com/0011i000001xnvDAAQ","Vaswani, Chelaram Moti Hassaram")</f>
        <v>Vaswani, Chelaram Moti Hassaram</v>
      </c>
      <c r="B5580" t="s">
        <v>10179</v>
      </c>
      <c r="C5580" t="s">
        <v>28</v>
      </c>
      <c r="D5580" t="s">
        <v>10180</v>
      </c>
      <c r="E5580" t="s">
        <v>8</v>
      </c>
      <c r="F5580" t="s">
        <v>2863</v>
      </c>
      <c r="G5580" t="s">
        <v>2864</v>
      </c>
      <c r="H5580" t="s">
        <v>2864</v>
      </c>
      <c r="I5580" t="s">
        <v>1691</v>
      </c>
    </row>
    <row r="5581" spans="1:9" x14ac:dyDescent="0.25">
      <c r="A5581" s="1" t="str">
        <f>HYPERLINK("https://lynxcrm-apac--c.eu19.visual.force.com/0011i000001xoobAAA","Veera, Raghavan")</f>
        <v>Veera, Raghavan</v>
      </c>
      <c r="B5581" t="s">
        <v>10181</v>
      </c>
      <c r="C5581" t="s">
        <v>28</v>
      </c>
      <c r="D5581" t="s">
        <v>429</v>
      </c>
      <c r="E5581" t="s">
        <v>8</v>
      </c>
      <c r="F5581" t="s">
        <v>429</v>
      </c>
      <c r="G5581" t="s">
        <v>428</v>
      </c>
      <c r="H5581" t="s">
        <v>428</v>
      </c>
      <c r="I5581" t="s">
        <v>430</v>
      </c>
    </row>
    <row r="5582" spans="1:9" x14ac:dyDescent="0.25">
      <c r="A5582" s="1" t="str">
        <f>HYPERLINK("https://lynxcrm-apac--c.eu19.visual.force.com/0011i000001xoobAAA","Veera, Raghavan")</f>
        <v>Veera, Raghavan</v>
      </c>
      <c r="B5582" t="s">
        <v>10181</v>
      </c>
      <c r="C5582" t="s">
        <v>28</v>
      </c>
      <c r="D5582" t="s">
        <v>429</v>
      </c>
      <c r="E5582" t="s">
        <v>8</v>
      </c>
      <c r="F5582" t="s">
        <v>444</v>
      </c>
      <c r="G5582" t="s">
        <v>444</v>
      </c>
      <c r="H5582" t="s">
        <v>8</v>
      </c>
      <c r="I5582" t="s">
        <v>430</v>
      </c>
    </row>
    <row r="5583" spans="1:9" x14ac:dyDescent="0.25">
      <c r="A5583" s="1" t="str">
        <f>HYPERLINK("https://lynxcrm-apac--c.eu19.visual.force.com/0011i000001xoobAAA","Veera, Raghavan")</f>
        <v>Veera, Raghavan</v>
      </c>
      <c r="B5583" t="s">
        <v>10181</v>
      </c>
      <c r="C5583" t="s">
        <v>28</v>
      </c>
      <c r="D5583" t="s">
        <v>429</v>
      </c>
      <c r="E5583" t="s">
        <v>8</v>
      </c>
      <c r="F5583" t="s">
        <v>445</v>
      </c>
      <c r="G5583" t="s">
        <v>428</v>
      </c>
      <c r="H5583" t="s">
        <v>428</v>
      </c>
      <c r="I5583" t="s">
        <v>430</v>
      </c>
    </row>
    <row r="5584" spans="1:9" x14ac:dyDescent="0.25">
      <c r="A5584" s="1" t="str">
        <f>HYPERLINK("https://lynxcrm-apac--c.eu19.visual.force.com/0011i000001xoobAAA","Veera, Raghavan")</f>
        <v>Veera, Raghavan</v>
      </c>
      <c r="B5584" t="s">
        <v>10181</v>
      </c>
      <c r="C5584" t="s">
        <v>28</v>
      </c>
      <c r="D5584" t="s">
        <v>429</v>
      </c>
      <c r="E5584" t="s">
        <v>8</v>
      </c>
      <c r="F5584" t="s">
        <v>444</v>
      </c>
      <c r="G5584" t="s">
        <v>444</v>
      </c>
      <c r="H5584" t="s">
        <v>8</v>
      </c>
      <c r="I5584" t="s">
        <v>8</v>
      </c>
    </row>
    <row r="5585" spans="1:9" x14ac:dyDescent="0.25">
      <c r="A5585" s="1" t="str">
        <f>HYPERLINK("https://lynxcrm-apac--c.eu19.visual.force.com/0011i000001xofIAAQ","Verhoeven, Wihelmus Jacobu")</f>
        <v>Verhoeven, Wihelmus Jacobu</v>
      </c>
      <c r="B5585" t="s">
        <v>10182</v>
      </c>
      <c r="C5585" t="s">
        <v>28</v>
      </c>
      <c r="D5585" t="s">
        <v>583</v>
      </c>
      <c r="E5585" t="s">
        <v>8</v>
      </c>
      <c r="F5585" t="s">
        <v>10183</v>
      </c>
      <c r="G5585" t="s">
        <v>584</v>
      </c>
      <c r="H5585" t="s">
        <v>584</v>
      </c>
      <c r="I5585" t="s">
        <v>585</v>
      </c>
    </row>
    <row r="5586" spans="1:9" x14ac:dyDescent="0.25">
      <c r="A5586" s="1" t="str">
        <f>HYPERLINK("https://lynxcrm-apac--c.eu19.visual.force.com/0011i000001xn5rAAA","Vernon Clinic &amp; Surgery")</f>
        <v>Vernon Clinic &amp; Surgery</v>
      </c>
      <c r="B5586" t="s">
        <v>10184</v>
      </c>
      <c r="C5586" t="s">
        <v>10</v>
      </c>
      <c r="D5586" t="s">
        <v>8</v>
      </c>
      <c r="E5586" t="s">
        <v>8</v>
      </c>
      <c r="F5586" t="s">
        <v>1795</v>
      </c>
      <c r="G5586" t="s">
        <v>1796</v>
      </c>
      <c r="H5586" t="s">
        <v>1797</v>
      </c>
      <c r="I5586" t="s">
        <v>1798</v>
      </c>
    </row>
    <row r="5587" spans="1:9" x14ac:dyDescent="0.25">
      <c r="A5587" s="1" t="str">
        <f>HYPERLINK("https://lynxcrm-apac--c.eu19.visual.force.com/0011i00000LHDrrAAH","Vervendeavour Pte Ltd")</f>
        <v>Vervendeavour Pte Ltd</v>
      </c>
      <c r="B5587" t="s">
        <v>10185</v>
      </c>
      <c r="C5587" t="s">
        <v>10</v>
      </c>
      <c r="D5587" t="s">
        <v>8</v>
      </c>
      <c r="E5587" t="s">
        <v>8</v>
      </c>
      <c r="F5587" t="s">
        <v>1830</v>
      </c>
      <c r="G5587" t="s">
        <v>1831</v>
      </c>
      <c r="H5587" t="s">
        <v>8</v>
      </c>
      <c r="I5587" t="s">
        <v>1832</v>
      </c>
    </row>
    <row r="5588" spans="1:9" x14ac:dyDescent="0.25">
      <c r="A5588" s="1" t="str">
        <f>HYPERLINK("https://lynxcrm-apac--c.eu19.visual.force.com/0011i000001xmzUAAQ","Victoria Medical")</f>
        <v>Victoria Medical</v>
      </c>
      <c r="B5588" t="s">
        <v>10186</v>
      </c>
      <c r="C5588" t="s">
        <v>10</v>
      </c>
      <c r="D5588" t="s">
        <v>8</v>
      </c>
      <c r="E5588" t="s">
        <v>8</v>
      </c>
      <c r="F5588" t="s">
        <v>9257</v>
      </c>
      <c r="G5588" t="s">
        <v>9258</v>
      </c>
      <c r="H5588" t="s">
        <v>9258</v>
      </c>
      <c r="I5588" t="s">
        <v>212</v>
      </c>
    </row>
    <row r="5589" spans="1:9" x14ac:dyDescent="0.25">
      <c r="A5589" s="1" t="str">
        <f>HYPERLINK("https://lynxcrm-apac--c.eu19.visual.force.com/0011i000001xnYOAAY","Victoria Medical House")</f>
        <v>Victoria Medical House</v>
      </c>
      <c r="B5589" t="s">
        <v>10187</v>
      </c>
      <c r="C5589" t="s">
        <v>10</v>
      </c>
      <c r="D5589" t="s">
        <v>8</v>
      </c>
      <c r="E5589" t="s">
        <v>8</v>
      </c>
      <c r="F5589" t="s">
        <v>2080</v>
      </c>
      <c r="G5589" t="s">
        <v>2081</v>
      </c>
      <c r="H5589" t="s">
        <v>2082</v>
      </c>
      <c r="I5589" t="s">
        <v>2083</v>
      </c>
    </row>
    <row r="5590" spans="1:9" x14ac:dyDescent="0.25">
      <c r="A5590" s="1" t="str">
        <f>HYPERLINK("https://lynxcrm-apac--c.eu19.visual.force.com/0011i000001xmbrAAA","Vista Family Clinic")</f>
        <v>Vista Family Clinic</v>
      </c>
      <c r="B5590" t="s">
        <v>10188</v>
      </c>
      <c r="C5590" t="s">
        <v>10</v>
      </c>
      <c r="D5590" t="s">
        <v>8</v>
      </c>
      <c r="E5590" t="s">
        <v>8</v>
      </c>
      <c r="F5590" t="s">
        <v>6179</v>
      </c>
      <c r="G5590" t="s">
        <v>2743</v>
      </c>
      <c r="H5590" t="s">
        <v>8063</v>
      </c>
      <c r="I5590" t="s">
        <v>6181</v>
      </c>
    </row>
    <row r="5591" spans="1:9" x14ac:dyDescent="0.25">
      <c r="A5591" s="1" t="str">
        <f>HYPERLINK("https://lynxcrm-apac--c.eu19.visual.force.com/0011i000001xn60AAA","Vivien @ Robinson Practice")</f>
        <v>Vivien @ Robinson Practice</v>
      </c>
      <c r="B5591" t="s">
        <v>10189</v>
      </c>
      <c r="C5591" t="s">
        <v>10</v>
      </c>
      <c r="D5591" t="s">
        <v>8</v>
      </c>
      <c r="E5591" t="s">
        <v>8</v>
      </c>
      <c r="F5591" t="s">
        <v>10190</v>
      </c>
      <c r="G5591" t="s">
        <v>10191</v>
      </c>
      <c r="H5591" t="s">
        <v>10192</v>
      </c>
      <c r="I5591" t="s">
        <v>10193</v>
      </c>
    </row>
    <row r="5592" spans="1:9" x14ac:dyDescent="0.25">
      <c r="A5592" s="1" t="str">
        <f>HYPERLINK("https://lynxcrm-apac--c.eu19.visual.force.com/0011i000001xnCcAAI","Vivien Lim Endocrinology Specialist Centre")</f>
        <v>Vivien Lim Endocrinology Specialist Centre</v>
      </c>
      <c r="B5592" t="s">
        <v>10194</v>
      </c>
      <c r="C5592" t="s">
        <v>10</v>
      </c>
      <c r="D5592" t="s">
        <v>8</v>
      </c>
      <c r="E5592" t="s">
        <v>8</v>
      </c>
      <c r="F5592" t="s">
        <v>10195</v>
      </c>
      <c r="G5592" t="s">
        <v>65</v>
      </c>
      <c r="H5592" t="s">
        <v>65</v>
      </c>
      <c r="I5592" t="s">
        <v>67</v>
      </c>
    </row>
    <row r="5593" spans="1:9" x14ac:dyDescent="0.25">
      <c r="A5593" s="1" t="str">
        <f>HYPERLINK("https://lynxcrm-apac--c.eu19.visual.force.com/0011i000001xoELAAY","Vu, K F Charles")</f>
        <v>Vu, K F Charles</v>
      </c>
      <c r="B5593" t="s">
        <v>10196</v>
      </c>
      <c r="C5593" t="s">
        <v>28</v>
      </c>
      <c r="D5593" t="s">
        <v>261</v>
      </c>
      <c r="E5593" t="s">
        <v>8</v>
      </c>
      <c r="F5593" t="s">
        <v>261</v>
      </c>
      <c r="G5593" t="s">
        <v>347</v>
      </c>
      <c r="H5593" t="s">
        <v>347</v>
      </c>
      <c r="I5593" t="s">
        <v>260</v>
      </c>
    </row>
    <row r="5594" spans="1:9" x14ac:dyDescent="0.25">
      <c r="A5594" s="1" t="str">
        <f>HYPERLINK("https://lynxcrm-apac--c.eu19.visual.force.com/0011i000001xoELAAY","Vu, K F Charles")</f>
        <v>Vu, K F Charles</v>
      </c>
      <c r="B5594" t="s">
        <v>10196</v>
      </c>
      <c r="C5594" t="s">
        <v>28</v>
      </c>
      <c r="D5594" t="s">
        <v>586</v>
      </c>
      <c r="E5594" t="s">
        <v>8</v>
      </c>
      <c r="F5594" t="s">
        <v>258</v>
      </c>
      <c r="G5594" t="s">
        <v>261</v>
      </c>
      <c r="H5594" t="s">
        <v>261</v>
      </c>
      <c r="I5594" t="s">
        <v>260</v>
      </c>
    </row>
    <row r="5595" spans="1:9" x14ac:dyDescent="0.25">
      <c r="A5595" s="1" t="str">
        <f>HYPERLINK("https://lynxcrm-apac--c.eu19.visual.force.com/0011i000001xnK8AAI","W.H. Yak Family Clinic")</f>
        <v>W.H. Yak Family Clinic</v>
      </c>
      <c r="B5595" t="s">
        <v>10197</v>
      </c>
      <c r="C5595" t="s">
        <v>10</v>
      </c>
      <c r="D5595" t="s">
        <v>8</v>
      </c>
      <c r="E5595" t="s">
        <v>8</v>
      </c>
      <c r="F5595" t="s">
        <v>10198</v>
      </c>
      <c r="G5595" t="s">
        <v>10199</v>
      </c>
      <c r="H5595" t="s">
        <v>10200</v>
      </c>
      <c r="I5595" t="s">
        <v>10201</v>
      </c>
    </row>
    <row r="5596" spans="1:9" x14ac:dyDescent="0.25">
      <c r="A5596" s="1" t="str">
        <f>HYPERLINK("https://lynxcrm-apac--c.eu19.visual.force.com/0011i000001xnxwAAA","Wada, Akihiro")</f>
        <v>Wada, Akihiro</v>
      </c>
      <c r="B5596" t="s">
        <v>10202</v>
      </c>
      <c r="C5596" t="s">
        <v>28</v>
      </c>
      <c r="D5596" t="s">
        <v>88</v>
      </c>
      <c r="E5596" t="s">
        <v>8</v>
      </c>
      <c r="F5596" t="s">
        <v>317</v>
      </c>
      <c r="G5596" t="s">
        <v>4548</v>
      </c>
      <c r="H5596" t="s">
        <v>6670</v>
      </c>
      <c r="I5596" t="s">
        <v>85</v>
      </c>
    </row>
    <row r="5597" spans="1:9" x14ac:dyDescent="0.25">
      <c r="A5597" s="1" t="str">
        <f>HYPERLINK("https://lynxcrm-apac--c.eu19.visual.force.com/0011i000001xo97AAA","Wai, Chun Tao Desmond")</f>
        <v>Wai, Chun Tao Desmond</v>
      </c>
      <c r="B5597" t="s">
        <v>10203</v>
      </c>
      <c r="C5597" t="s">
        <v>28</v>
      </c>
      <c r="D5597" t="s">
        <v>10204</v>
      </c>
      <c r="E5597" t="s">
        <v>8</v>
      </c>
      <c r="F5597" t="s">
        <v>2730</v>
      </c>
      <c r="G5597" t="s">
        <v>2731</v>
      </c>
      <c r="H5597" t="s">
        <v>2731</v>
      </c>
      <c r="I5597" t="s">
        <v>2732</v>
      </c>
    </row>
    <row r="5598" spans="1:9" x14ac:dyDescent="0.25">
      <c r="A5598" s="1" t="str">
        <f>HYPERLINK("https://lynxcrm-apac--c.eu19.visual.force.com/0011i00000w07MpAAI","Wai, Joey")</f>
        <v>Wai, Joey</v>
      </c>
      <c r="B5598" t="s">
        <v>10205</v>
      </c>
      <c r="C5598" t="s">
        <v>28</v>
      </c>
      <c r="D5598" t="s">
        <v>1462</v>
      </c>
      <c r="E5598" t="s">
        <v>8</v>
      </c>
      <c r="F5598" t="s">
        <v>1463</v>
      </c>
      <c r="G5598" t="s">
        <v>1464</v>
      </c>
      <c r="H5598" t="s">
        <v>8</v>
      </c>
      <c r="I5598" t="s">
        <v>1465</v>
      </c>
    </row>
    <row r="5599" spans="1:9" x14ac:dyDescent="0.25">
      <c r="A5599" s="1" t="str">
        <f>HYPERLINK("https://lynxcrm-apac--c.eu19.visual.force.com/0011i00000Xf1HAAAZ","Walsh, Robert")</f>
        <v>Walsh, Robert</v>
      </c>
      <c r="B5599" t="s">
        <v>10206</v>
      </c>
      <c r="C5599" t="s">
        <v>28</v>
      </c>
      <c r="D5599" t="s">
        <v>429</v>
      </c>
      <c r="E5599" t="s">
        <v>8</v>
      </c>
      <c r="F5599" t="s">
        <v>594</v>
      </c>
      <c r="G5599" t="s">
        <v>595</v>
      </c>
      <c r="H5599" t="s">
        <v>8</v>
      </c>
      <c r="I5599" t="s">
        <v>596</v>
      </c>
    </row>
    <row r="5600" spans="1:9" x14ac:dyDescent="0.25">
      <c r="A5600" s="1" t="str">
        <f>HYPERLINK("https://lynxcrm-apac--c.eu19.visual.force.com/0011i000001xodkAAA","Wan, Jin Hui")</f>
        <v>Wan, Jin Hui</v>
      </c>
      <c r="B5600" t="s">
        <v>10207</v>
      </c>
      <c r="C5600" t="s">
        <v>28</v>
      </c>
      <c r="D5600" t="s">
        <v>21</v>
      </c>
      <c r="E5600" t="s">
        <v>8</v>
      </c>
      <c r="F5600" t="s">
        <v>699</v>
      </c>
      <c r="G5600" t="s">
        <v>699</v>
      </c>
      <c r="H5600" t="s">
        <v>8</v>
      </c>
      <c r="I5600" t="s">
        <v>22</v>
      </c>
    </row>
    <row r="5601" spans="1:9" x14ac:dyDescent="0.25">
      <c r="A5601" s="1" t="str">
        <f>HYPERLINK("https://lynxcrm-apac--c.eu19.visual.force.com/0011i000001xnizAAA","Wan, Lenny (2)")</f>
        <v>Wan, Lenny (2)</v>
      </c>
      <c r="B5601" t="s">
        <v>10208</v>
      </c>
      <c r="C5601" t="s">
        <v>28</v>
      </c>
      <c r="D5601" t="s">
        <v>10209</v>
      </c>
      <c r="E5601" t="s">
        <v>8</v>
      </c>
      <c r="F5601" t="s">
        <v>5595</v>
      </c>
      <c r="G5601" t="s">
        <v>3429</v>
      </c>
      <c r="H5601" t="s">
        <v>3429</v>
      </c>
      <c r="I5601" t="s">
        <v>5596</v>
      </c>
    </row>
    <row r="5602" spans="1:9" x14ac:dyDescent="0.25">
      <c r="A5602" s="1" t="str">
        <f>HYPERLINK("https://lynxcrm-apac--c.eu19.visual.force.com/0011i000001xnv9AAA","Wan, Yi Min")</f>
        <v>Wan, Yi Min</v>
      </c>
      <c r="B5602" t="s">
        <v>10210</v>
      </c>
      <c r="C5602" t="s">
        <v>28</v>
      </c>
      <c r="D5602" t="s">
        <v>662</v>
      </c>
      <c r="E5602" t="s">
        <v>8</v>
      </c>
      <c r="F5602" t="s">
        <v>662</v>
      </c>
      <c r="G5602" t="s">
        <v>663</v>
      </c>
      <c r="H5602" t="s">
        <v>663</v>
      </c>
      <c r="I5602" t="s">
        <v>664</v>
      </c>
    </row>
    <row r="5603" spans="1:9" x14ac:dyDescent="0.25">
      <c r="A5603" s="1" t="str">
        <f>HYPERLINK("https://lynxcrm-apac--c.eu19.visual.force.com/0011i000001xoYUAAY","Wang, Chee Meng Ernest")</f>
        <v>Wang, Chee Meng Ernest</v>
      </c>
      <c r="B5603" t="s">
        <v>10211</v>
      </c>
      <c r="C5603" t="s">
        <v>28</v>
      </c>
      <c r="D5603" t="s">
        <v>261</v>
      </c>
      <c r="E5603" t="s">
        <v>8</v>
      </c>
      <c r="F5603" t="s">
        <v>261</v>
      </c>
      <c r="G5603" t="s">
        <v>347</v>
      </c>
      <c r="H5603" t="s">
        <v>347</v>
      </c>
      <c r="I5603" t="s">
        <v>260</v>
      </c>
    </row>
    <row r="5604" spans="1:9" x14ac:dyDescent="0.25">
      <c r="A5604" s="1" t="str">
        <f>HYPERLINK("https://lynxcrm-apac--c.eu19.visual.force.com/0011i000001xoYUAAY","Wang, Chee Meng Ernest")</f>
        <v>Wang, Chee Meng Ernest</v>
      </c>
      <c r="B5604" t="s">
        <v>10211</v>
      </c>
      <c r="C5604" t="s">
        <v>28</v>
      </c>
      <c r="D5604" t="s">
        <v>261</v>
      </c>
      <c r="E5604" t="s">
        <v>8</v>
      </c>
      <c r="F5604" t="s">
        <v>1407</v>
      </c>
      <c r="G5604" t="s">
        <v>258</v>
      </c>
      <c r="H5604" t="s">
        <v>258</v>
      </c>
      <c r="I5604" t="s">
        <v>260</v>
      </c>
    </row>
    <row r="5605" spans="1:9" x14ac:dyDescent="0.25">
      <c r="A5605" s="1" t="str">
        <f>HYPERLINK("https://lynxcrm-apac--c.eu19.visual.force.com/0011i000001xnvMAAQ","Wang, Joon Leong")</f>
        <v>Wang, Joon Leong</v>
      </c>
      <c r="B5605" t="s">
        <v>10212</v>
      </c>
      <c r="C5605" t="s">
        <v>28</v>
      </c>
      <c r="D5605" t="s">
        <v>10213</v>
      </c>
      <c r="E5605" t="s">
        <v>8</v>
      </c>
      <c r="F5605" t="s">
        <v>3208</v>
      </c>
      <c r="G5605" t="s">
        <v>3209</v>
      </c>
      <c r="H5605" t="s">
        <v>3210</v>
      </c>
      <c r="I5605" t="s">
        <v>3211</v>
      </c>
    </row>
    <row r="5606" spans="1:9" x14ac:dyDescent="0.25">
      <c r="A5606" s="1" t="str">
        <f>HYPERLINK("https://lynxcrm-apac--c.eu19.visual.force.com/0011i000007FFeLAAW","Wang, Kangjie")</f>
        <v>Wang, Kangjie</v>
      </c>
      <c r="B5606" t="s">
        <v>10214</v>
      </c>
      <c r="C5606" t="s">
        <v>28</v>
      </c>
      <c r="D5606" t="s">
        <v>429</v>
      </c>
      <c r="E5606" t="s">
        <v>8</v>
      </c>
      <c r="F5606" t="s">
        <v>429</v>
      </c>
      <c r="G5606" t="s">
        <v>428</v>
      </c>
      <c r="H5606" t="s">
        <v>428</v>
      </c>
      <c r="I5606" t="s">
        <v>430</v>
      </c>
    </row>
    <row r="5607" spans="1:9" x14ac:dyDescent="0.25">
      <c r="A5607" s="1" t="str">
        <f>HYPERLINK("https://lynxcrm-apac--c.eu19.visual.force.com/0011i000001xnvNAAQ","Wang, Kuo Weng")</f>
        <v>Wang, Kuo Weng</v>
      </c>
      <c r="B5607" t="s">
        <v>10215</v>
      </c>
      <c r="C5607" t="s">
        <v>28</v>
      </c>
      <c r="D5607" t="s">
        <v>10216</v>
      </c>
      <c r="E5607" t="s">
        <v>8</v>
      </c>
      <c r="F5607" t="s">
        <v>872</v>
      </c>
      <c r="G5607" t="s">
        <v>10217</v>
      </c>
      <c r="H5607" t="s">
        <v>10218</v>
      </c>
      <c r="I5607" t="s">
        <v>67</v>
      </c>
    </row>
    <row r="5608" spans="1:9" x14ac:dyDescent="0.25">
      <c r="A5608" s="1" t="str">
        <f>HYPERLINK("https://lynxcrm-apac--c.eu19.visual.force.com/0011i000001xoNUAAY","Wang, Yi Shi")</f>
        <v>Wang, Yi Shi</v>
      </c>
      <c r="B5608" t="s">
        <v>10219</v>
      </c>
      <c r="C5608" t="s">
        <v>28</v>
      </c>
      <c r="D5608" t="s">
        <v>449</v>
      </c>
      <c r="E5608" t="s">
        <v>8</v>
      </c>
      <c r="F5608" t="s">
        <v>452</v>
      </c>
      <c r="G5608" t="s">
        <v>452</v>
      </c>
      <c r="H5608" t="s">
        <v>8</v>
      </c>
      <c r="I5608" t="s">
        <v>454</v>
      </c>
    </row>
    <row r="5609" spans="1:9" x14ac:dyDescent="0.25">
      <c r="A5609" s="1" t="str">
        <f>HYPERLINK("https://lynxcrm-apac--c.eu19.visual.force.com/0011i000001xoNUAAY","Wang, Yi Shi")</f>
        <v>Wang, Yi Shi</v>
      </c>
      <c r="B5609" t="s">
        <v>10219</v>
      </c>
      <c r="C5609" t="s">
        <v>28</v>
      </c>
      <c r="D5609" t="s">
        <v>449</v>
      </c>
      <c r="E5609" t="s">
        <v>8</v>
      </c>
      <c r="F5609" t="s">
        <v>450</v>
      </c>
      <c r="G5609" t="s">
        <v>449</v>
      </c>
      <c r="H5609" t="s">
        <v>449</v>
      </c>
      <c r="I5609" t="s">
        <v>451</v>
      </c>
    </row>
    <row r="5610" spans="1:9" x14ac:dyDescent="0.25">
      <c r="A5610" s="1" t="str">
        <f>HYPERLINK("https://lynxcrm-apac--c.eu19.visual.force.com/0011i000001xoNUAAY","Wang, Yi Shi")</f>
        <v>Wang, Yi Shi</v>
      </c>
      <c r="B5610" t="s">
        <v>10219</v>
      </c>
      <c r="C5610" t="s">
        <v>28</v>
      </c>
      <c r="D5610" t="s">
        <v>449</v>
      </c>
      <c r="E5610" t="s">
        <v>8</v>
      </c>
      <c r="F5610" t="s">
        <v>234</v>
      </c>
      <c r="G5610" t="s">
        <v>452</v>
      </c>
      <c r="H5610" t="s">
        <v>453</v>
      </c>
      <c r="I5610" t="s">
        <v>454</v>
      </c>
    </row>
    <row r="5611" spans="1:9" x14ac:dyDescent="0.25">
      <c r="A5611" s="1" t="str">
        <f>HYPERLINK("https://lynxcrm-apac--c.eu19.visual.force.com/0011i000001xnfzAAA","Wang, Yue")</f>
        <v>Wang, Yue</v>
      </c>
      <c r="B5611" t="s">
        <v>10220</v>
      </c>
      <c r="C5611" t="s">
        <v>28</v>
      </c>
      <c r="D5611" t="s">
        <v>449</v>
      </c>
      <c r="E5611" t="s">
        <v>8</v>
      </c>
      <c r="F5611" t="s">
        <v>450</v>
      </c>
      <c r="G5611" t="s">
        <v>449</v>
      </c>
      <c r="H5611" t="s">
        <v>449</v>
      </c>
      <c r="I5611" t="s">
        <v>451</v>
      </c>
    </row>
    <row r="5612" spans="1:9" x14ac:dyDescent="0.25">
      <c r="A5612" s="1" t="str">
        <f>HYPERLINK("https://lynxcrm-apac--c.eu19.visual.force.com/0011i000001xnfzAAA","Wang, Yue")</f>
        <v>Wang, Yue</v>
      </c>
      <c r="B5612" t="s">
        <v>10220</v>
      </c>
      <c r="C5612" t="s">
        <v>28</v>
      </c>
      <c r="D5612" t="s">
        <v>449</v>
      </c>
      <c r="E5612" t="s">
        <v>8</v>
      </c>
      <c r="F5612" t="s">
        <v>234</v>
      </c>
      <c r="G5612" t="s">
        <v>452</v>
      </c>
      <c r="H5612" t="s">
        <v>453</v>
      </c>
      <c r="I5612" t="s">
        <v>454</v>
      </c>
    </row>
    <row r="5613" spans="1:9" x14ac:dyDescent="0.25">
      <c r="A5613" s="1" t="str">
        <f>HYPERLINK("https://lynxcrm-apac--c.eu19.visual.force.com/0011i000001xnfzAAA","Wang, Yue")</f>
        <v>Wang, Yue</v>
      </c>
      <c r="B5613" t="s">
        <v>10220</v>
      </c>
      <c r="C5613" t="s">
        <v>28</v>
      </c>
      <c r="D5613" t="s">
        <v>583</v>
      </c>
      <c r="E5613" t="s">
        <v>8</v>
      </c>
      <c r="F5613" t="s">
        <v>583</v>
      </c>
      <c r="G5613" t="s">
        <v>584</v>
      </c>
      <c r="H5613" t="s">
        <v>8</v>
      </c>
      <c r="I5613" t="s">
        <v>585</v>
      </c>
    </row>
    <row r="5614" spans="1:9" x14ac:dyDescent="0.25">
      <c r="A5614" s="1" t="str">
        <f>HYPERLINK("https://lynxcrm-apac--c.eu19.visual.force.com/0011i00000pb5QSAAY","Wang, Zhiyi")</f>
        <v>Wang, Zhiyi</v>
      </c>
      <c r="B5614" t="s">
        <v>10221</v>
      </c>
      <c r="C5614" t="s">
        <v>28</v>
      </c>
      <c r="D5614" t="s">
        <v>545</v>
      </c>
      <c r="E5614" t="s">
        <v>8</v>
      </c>
      <c r="F5614" t="s">
        <v>546</v>
      </c>
      <c r="G5614" t="s">
        <v>547</v>
      </c>
      <c r="H5614" t="s">
        <v>547</v>
      </c>
      <c r="I5614" t="s">
        <v>548</v>
      </c>
    </row>
    <row r="5615" spans="1:9" x14ac:dyDescent="0.25">
      <c r="A5615" s="1" t="str">
        <f>HYPERLINK("https://lynxcrm-apac--c.eu19.visual.force.com/0011i000001xmv4AAA","Wang Kuo Weng Diabetes &amp; Endocrine Practice")</f>
        <v>Wang Kuo Weng Diabetes &amp; Endocrine Practice</v>
      </c>
      <c r="B5615" t="s">
        <v>10222</v>
      </c>
      <c r="C5615" t="s">
        <v>10</v>
      </c>
      <c r="D5615" t="s">
        <v>8</v>
      </c>
      <c r="E5615" t="s">
        <v>8</v>
      </c>
      <c r="F5615" t="s">
        <v>872</v>
      </c>
      <c r="G5615" t="s">
        <v>10217</v>
      </c>
      <c r="H5615" t="s">
        <v>10218</v>
      </c>
      <c r="I5615" t="s">
        <v>67</v>
      </c>
    </row>
    <row r="5616" spans="1:9" x14ac:dyDescent="0.25">
      <c r="A5616" s="1" t="str">
        <f>HYPERLINK("https://lynxcrm-apac--c.eu19.visual.force.com/0011i000001xnRaAAI","Watson Pharmacy - Centrepoint")</f>
        <v>Watson Pharmacy - Centrepoint</v>
      </c>
      <c r="B5616" t="s">
        <v>10223</v>
      </c>
      <c r="C5616" t="s">
        <v>28</v>
      </c>
      <c r="D5616" t="s">
        <v>8</v>
      </c>
      <c r="E5616" t="s">
        <v>8</v>
      </c>
      <c r="F5616" t="s">
        <v>7745</v>
      </c>
      <c r="G5616" t="s">
        <v>7746</v>
      </c>
      <c r="H5616" t="s">
        <v>7746</v>
      </c>
      <c r="I5616" t="s">
        <v>3712</v>
      </c>
    </row>
    <row r="5617" spans="1:9" x14ac:dyDescent="0.25">
      <c r="A5617" s="1" t="str">
        <f>HYPERLINK("https://lynxcrm-apac--c.eu19.visual.force.com/0011i000001xnRXAAY","Watson Pharmacy - Holland")</f>
        <v>Watson Pharmacy - Holland</v>
      </c>
      <c r="B5617" t="s">
        <v>10224</v>
      </c>
      <c r="C5617" t="s">
        <v>28</v>
      </c>
      <c r="D5617" t="s">
        <v>8</v>
      </c>
      <c r="E5617" t="s">
        <v>8</v>
      </c>
      <c r="F5617" t="s">
        <v>7785</v>
      </c>
      <c r="G5617" t="s">
        <v>7786</v>
      </c>
      <c r="H5617" t="s">
        <v>7786</v>
      </c>
      <c r="I5617" t="s">
        <v>3738</v>
      </c>
    </row>
    <row r="5618" spans="1:9" x14ac:dyDescent="0.25">
      <c r="A5618" s="1" t="str">
        <f>HYPERLINK("https://lynxcrm-apac--c.eu19.visual.force.com/0011i000001xn3FAAQ","Watson Pharmacy - Kallang Leisure Mall")</f>
        <v>Watson Pharmacy - Kallang Leisure Mall</v>
      </c>
      <c r="B5618" t="s">
        <v>10225</v>
      </c>
      <c r="C5618" t="s">
        <v>28</v>
      </c>
      <c r="D5618" t="s">
        <v>8</v>
      </c>
      <c r="E5618" t="s">
        <v>8</v>
      </c>
      <c r="F5618" t="s">
        <v>7809</v>
      </c>
      <c r="G5618" t="s">
        <v>7810</v>
      </c>
      <c r="H5618" t="s">
        <v>7810</v>
      </c>
      <c r="I5618" t="s">
        <v>7811</v>
      </c>
    </row>
    <row r="5619" spans="1:9" x14ac:dyDescent="0.25">
      <c r="A5619" s="1" t="str">
        <f>HYPERLINK("https://lynxcrm-apac--c.eu19.visual.force.com/0011i000001xmyxAAA","Watson Pharmacy - Lucky Plaza")</f>
        <v>Watson Pharmacy - Lucky Plaza</v>
      </c>
      <c r="B5619" t="s">
        <v>10226</v>
      </c>
      <c r="C5619" t="s">
        <v>28</v>
      </c>
      <c r="D5619" t="s">
        <v>8</v>
      </c>
      <c r="E5619" t="s">
        <v>8</v>
      </c>
      <c r="F5619" t="s">
        <v>10227</v>
      </c>
      <c r="G5619" t="s">
        <v>1095</v>
      </c>
      <c r="H5619" t="s">
        <v>1095</v>
      </c>
      <c r="I5619" t="s">
        <v>677</v>
      </c>
    </row>
    <row r="5620" spans="1:9" x14ac:dyDescent="0.25">
      <c r="A5620" s="1" t="str">
        <f>HYPERLINK("https://lynxcrm-apac--c.eu19.visual.force.com/0011i000001xnElAAI","Watson Pharmacy - Northpoint")</f>
        <v>Watson Pharmacy - Northpoint</v>
      </c>
      <c r="B5620" t="s">
        <v>10228</v>
      </c>
      <c r="C5620" t="s">
        <v>28</v>
      </c>
      <c r="D5620" t="s">
        <v>8</v>
      </c>
      <c r="E5620" t="s">
        <v>8</v>
      </c>
      <c r="F5620" t="s">
        <v>7827</v>
      </c>
      <c r="G5620" t="s">
        <v>7828</v>
      </c>
      <c r="H5620" t="s">
        <v>7828</v>
      </c>
      <c r="I5620" t="s">
        <v>7829</v>
      </c>
    </row>
    <row r="5621" spans="1:9" x14ac:dyDescent="0.25">
      <c r="A5621" s="1" t="str">
        <f>HYPERLINK("https://lynxcrm-apac--c.eu19.visual.force.com/0011i000001xnNzAAI","Watson Pharmacy - Takashimaya")</f>
        <v>Watson Pharmacy - Takashimaya</v>
      </c>
      <c r="B5621" t="s">
        <v>10229</v>
      </c>
      <c r="C5621" t="s">
        <v>28</v>
      </c>
      <c r="D5621" t="s">
        <v>8</v>
      </c>
      <c r="E5621" t="s">
        <v>8</v>
      </c>
      <c r="F5621" t="s">
        <v>7859</v>
      </c>
      <c r="G5621" t="s">
        <v>7860</v>
      </c>
      <c r="H5621" t="s">
        <v>7860</v>
      </c>
      <c r="I5621" t="s">
        <v>7861</v>
      </c>
    </row>
    <row r="5622" spans="1:9" x14ac:dyDescent="0.25">
      <c r="A5622" s="1" t="str">
        <f>HYPERLINK("https://lynxcrm-apac--c.eu19.visual.force.com/0011i000001xnPWAAY","Watsons Pharmacy - NEX")</f>
        <v>Watsons Pharmacy - NEX</v>
      </c>
      <c r="B5622" t="s">
        <v>10230</v>
      </c>
      <c r="C5622" t="s">
        <v>28</v>
      </c>
      <c r="D5622" t="s">
        <v>8</v>
      </c>
      <c r="E5622" t="s">
        <v>8</v>
      </c>
      <c r="F5622" t="s">
        <v>10231</v>
      </c>
      <c r="G5622" t="s">
        <v>10232</v>
      </c>
      <c r="H5622" t="s">
        <v>10232</v>
      </c>
      <c r="I5622" t="s">
        <v>10233</v>
      </c>
    </row>
    <row r="5623" spans="1:9" x14ac:dyDescent="0.25">
      <c r="A5623" s="1" t="str">
        <f>HYPERLINK("https://lynxcrm-apac--c.eu19.visual.force.com/0011i000001xnJvAAI","Watsons Pharmacy - T3 Check-In")</f>
        <v>Watsons Pharmacy - T3 Check-In</v>
      </c>
      <c r="B5623" t="s">
        <v>10234</v>
      </c>
      <c r="C5623" t="s">
        <v>28</v>
      </c>
      <c r="D5623" t="s">
        <v>8</v>
      </c>
      <c r="E5623" t="s">
        <v>8</v>
      </c>
      <c r="F5623" t="s">
        <v>10235</v>
      </c>
      <c r="G5623" t="s">
        <v>10236</v>
      </c>
      <c r="H5623" t="s">
        <v>10236</v>
      </c>
      <c r="I5623" t="s">
        <v>10237</v>
      </c>
    </row>
    <row r="5624" spans="1:9" x14ac:dyDescent="0.25">
      <c r="A5624" s="1" t="str">
        <f>HYPERLINK("https://lynxcrm-apac--c.eu19.visual.force.com/0011i000001xoNJAAY","Watt, Wing Fong")</f>
        <v>Watt, Wing Fong</v>
      </c>
      <c r="B5624" t="s">
        <v>10238</v>
      </c>
      <c r="C5624" t="s">
        <v>28</v>
      </c>
      <c r="D5624" t="s">
        <v>228</v>
      </c>
      <c r="E5624" t="s">
        <v>8</v>
      </c>
      <c r="F5624" t="s">
        <v>163</v>
      </c>
      <c r="G5624" t="s">
        <v>2244</v>
      </c>
      <c r="H5624" t="s">
        <v>242</v>
      </c>
      <c r="I5624" t="s">
        <v>242</v>
      </c>
    </row>
    <row r="5625" spans="1:9" x14ac:dyDescent="0.25">
      <c r="A5625" s="1" t="str">
        <f>HYPERLINK("https://lynxcrm-apac--c.eu19.visual.force.com/0011i000001xn2IAAQ","W C Cheng &amp; Associates")</f>
        <v>W C Cheng &amp; Associates</v>
      </c>
      <c r="B5625" t="s">
        <v>10239</v>
      </c>
      <c r="C5625" t="s">
        <v>10</v>
      </c>
      <c r="D5625" t="s">
        <v>8</v>
      </c>
      <c r="E5625" t="s">
        <v>8</v>
      </c>
      <c r="F5625" t="s">
        <v>263</v>
      </c>
      <c r="G5625" t="s">
        <v>964</v>
      </c>
      <c r="H5625" t="s">
        <v>964</v>
      </c>
      <c r="I5625" t="s">
        <v>266</v>
      </c>
    </row>
    <row r="5626" spans="1:9" x14ac:dyDescent="0.25">
      <c r="A5626" s="1" t="str">
        <f>HYPERLINK("https://lynxcrm-apac--c.eu19.visual.force.com/0011i000001xnDvAAI","We Care Medical Clinic &amp; Surgery")</f>
        <v>We Care Medical Clinic &amp; Surgery</v>
      </c>
      <c r="B5626" t="s">
        <v>10240</v>
      </c>
      <c r="C5626" t="s">
        <v>10</v>
      </c>
      <c r="D5626" t="s">
        <v>8</v>
      </c>
      <c r="E5626" t="s">
        <v>8</v>
      </c>
      <c r="F5626" t="s">
        <v>10241</v>
      </c>
      <c r="G5626" t="s">
        <v>3024</v>
      </c>
      <c r="H5626" t="s">
        <v>3024</v>
      </c>
      <c r="I5626" t="s">
        <v>7667</v>
      </c>
    </row>
    <row r="5627" spans="1:9" x14ac:dyDescent="0.25">
      <c r="A5627" s="1" t="str">
        <f>HYPERLINK("https://lynxcrm-apac--c.eu19.visual.force.com/0011i000001xnvTAAQ","Wee, Chee Chau")</f>
        <v>Wee, Chee Chau</v>
      </c>
      <c r="B5627" t="s">
        <v>10242</v>
      </c>
      <c r="C5627" t="s">
        <v>28</v>
      </c>
      <c r="D5627" t="s">
        <v>10243</v>
      </c>
      <c r="E5627" t="s">
        <v>8</v>
      </c>
      <c r="F5627" t="s">
        <v>557</v>
      </c>
      <c r="G5627" t="s">
        <v>10244</v>
      </c>
      <c r="H5627" t="s">
        <v>10244</v>
      </c>
      <c r="I5627" t="s">
        <v>560</v>
      </c>
    </row>
    <row r="5628" spans="1:9" x14ac:dyDescent="0.25">
      <c r="A5628" s="1" t="str">
        <f>HYPERLINK("https://lynxcrm-apac--c.eu19.visual.force.com/0011i000001xnvUAAQ","Wee, Geok Chin Belinda Bridget")</f>
        <v>Wee, Geok Chin Belinda Bridget</v>
      </c>
      <c r="B5628" t="s">
        <v>10245</v>
      </c>
      <c r="C5628" t="s">
        <v>28</v>
      </c>
      <c r="D5628" t="s">
        <v>5544</v>
      </c>
      <c r="E5628" t="s">
        <v>8</v>
      </c>
      <c r="F5628" t="s">
        <v>5545</v>
      </c>
      <c r="G5628" t="s">
        <v>5546</v>
      </c>
      <c r="H5628" t="s">
        <v>5547</v>
      </c>
      <c r="I5628" t="s">
        <v>4078</v>
      </c>
    </row>
    <row r="5629" spans="1:9" x14ac:dyDescent="0.25">
      <c r="A5629" s="1" t="str">
        <f>HYPERLINK("https://lynxcrm-apac--c.eu19.visual.force.com/0011i00000w07OlAAI","Wee, Hian Tan")</f>
        <v>Wee, Hian Tan</v>
      </c>
      <c r="B5629" t="s">
        <v>10246</v>
      </c>
      <c r="C5629" t="s">
        <v>28</v>
      </c>
      <c r="D5629" t="s">
        <v>1462</v>
      </c>
      <c r="E5629" t="s">
        <v>8</v>
      </c>
      <c r="F5629" t="s">
        <v>1463</v>
      </c>
      <c r="G5629" t="s">
        <v>1464</v>
      </c>
      <c r="H5629" t="s">
        <v>8</v>
      </c>
      <c r="I5629" t="s">
        <v>1465</v>
      </c>
    </row>
    <row r="5630" spans="1:9" x14ac:dyDescent="0.25">
      <c r="A5630" s="1" t="str">
        <f>HYPERLINK("https://lynxcrm-apac--c.eu19.visual.force.com/0011i000001xoWLAAY","Wee, Kien Han Andrew")</f>
        <v>Wee, Kien Han Andrew</v>
      </c>
      <c r="B5630" t="s">
        <v>10247</v>
      </c>
      <c r="C5630" t="s">
        <v>28</v>
      </c>
      <c r="D5630" t="s">
        <v>550</v>
      </c>
      <c r="E5630" t="s">
        <v>8</v>
      </c>
      <c r="F5630" t="s">
        <v>551</v>
      </c>
      <c r="G5630" t="s">
        <v>552</v>
      </c>
      <c r="H5630" t="s">
        <v>552</v>
      </c>
      <c r="I5630" t="s">
        <v>554</v>
      </c>
    </row>
    <row r="5631" spans="1:9" x14ac:dyDescent="0.25">
      <c r="A5631" s="1" t="str">
        <f>HYPERLINK("https://lynxcrm-apac--c.eu19.visual.force.com/0011i000001xo9BAAQ","Wee, Lay Kuan Amy")</f>
        <v>Wee, Lay Kuan Amy</v>
      </c>
      <c r="B5631" t="s">
        <v>10248</v>
      </c>
      <c r="C5631" t="s">
        <v>28</v>
      </c>
      <c r="D5631" t="s">
        <v>2015</v>
      </c>
      <c r="E5631" t="s">
        <v>8</v>
      </c>
      <c r="F5631" t="s">
        <v>7233</v>
      </c>
      <c r="G5631" t="s">
        <v>7234</v>
      </c>
      <c r="H5631" t="s">
        <v>7234</v>
      </c>
      <c r="I5631" t="s">
        <v>7235</v>
      </c>
    </row>
    <row r="5632" spans="1:9" x14ac:dyDescent="0.25">
      <c r="A5632" s="1" t="str">
        <f>HYPERLINK("https://lynxcrm-apac--c.eu19.visual.force.com/0011i000001xoQsAAI","Wee, Liang Yuen George")</f>
        <v>Wee, Liang Yuen George</v>
      </c>
      <c r="B5632" t="s">
        <v>10249</v>
      </c>
      <c r="C5632" t="s">
        <v>28</v>
      </c>
      <c r="D5632" t="s">
        <v>7213</v>
      </c>
      <c r="E5632" t="s">
        <v>8</v>
      </c>
      <c r="F5632" t="s">
        <v>8422</v>
      </c>
      <c r="G5632" t="s">
        <v>4969</v>
      </c>
      <c r="H5632" t="s">
        <v>4969</v>
      </c>
      <c r="I5632" t="s">
        <v>425</v>
      </c>
    </row>
    <row r="5633" spans="1:9" x14ac:dyDescent="0.25">
      <c r="A5633" s="1" t="str">
        <f>HYPERLINK("https://lynxcrm-apac--c.eu19.visual.force.com/0011i000007DbYTAA0","Wee, Matthias")</f>
        <v>Wee, Matthias</v>
      </c>
      <c r="B5633" t="s">
        <v>10250</v>
      </c>
      <c r="C5633" t="s">
        <v>28</v>
      </c>
      <c r="D5633" t="s">
        <v>1462</v>
      </c>
      <c r="E5633" t="s">
        <v>8</v>
      </c>
      <c r="F5633" t="s">
        <v>1463</v>
      </c>
      <c r="G5633" t="s">
        <v>1464</v>
      </c>
      <c r="H5633" t="s">
        <v>8</v>
      </c>
      <c r="I5633" t="s">
        <v>1465</v>
      </c>
    </row>
    <row r="5634" spans="1:9" x14ac:dyDescent="0.25">
      <c r="A5634" s="1" t="str">
        <f>HYPERLINK("https://lynxcrm-apac--c.eu19.visual.force.com/0011i000001xoZpAAI","Wee, Ming Huey")</f>
        <v>Wee, Ming Huey</v>
      </c>
      <c r="B5634" t="s">
        <v>10251</v>
      </c>
      <c r="C5634" t="s">
        <v>28</v>
      </c>
      <c r="D5634" t="s">
        <v>2342</v>
      </c>
      <c r="E5634" t="s">
        <v>8</v>
      </c>
      <c r="F5634" t="s">
        <v>919</v>
      </c>
      <c r="G5634" t="s">
        <v>550</v>
      </c>
      <c r="H5634" t="s">
        <v>550</v>
      </c>
      <c r="I5634" t="s">
        <v>554</v>
      </c>
    </row>
    <row r="5635" spans="1:9" x14ac:dyDescent="0.25">
      <c r="A5635" s="1" t="str">
        <f>HYPERLINK("https://lynxcrm-apac--c.eu19.visual.force.com/0011i000001xnxTAAQ","Wee, Nelson")</f>
        <v>Wee, Nelson</v>
      </c>
      <c r="B5635" t="s">
        <v>10252</v>
      </c>
      <c r="C5635" t="s">
        <v>28</v>
      </c>
      <c r="D5635" t="s">
        <v>10253</v>
      </c>
      <c r="E5635" t="s">
        <v>8</v>
      </c>
      <c r="F5635" t="s">
        <v>3983</v>
      </c>
      <c r="G5635" t="s">
        <v>3983</v>
      </c>
      <c r="H5635" t="s">
        <v>8</v>
      </c>
      <c r="I5635" t="s">
        <v>3984</v>
      </c>
    </row>
    <row r="5636" spans="1:9" x14ac:dyDescent="0.25">
      <c r="A5636" s="1" t="str">
        <f>HYPERLINK("https://lynxcrm-apac--c.eu19.visual.force.com/0011i000001xoNEAAY","Wee, Pang Ping")</f>
        <v>Wee, Pang Ping</v>
      </c>
      <c r="B5636" t="s">
        <v>10254</v>
      </c>
      <c r="C5636" t="s">
        <v>28</v>
      </c>
      <c r="D5636" t="s">
        <v>1661</v>
      </c>
      <c r="E5636" t="s">
        <v>8</v>
      </c>
      <c r="F5636" t="s">
        <v>627</v>
      </c>
      <c r="G5636" t="s">
        <v>628</v>
      </c>
      <c r="H5636" t="s">
        <v>628</v>
      </c>
      <c r="I5636" t="s">
        <v>624</v>
      </c>
    </row>
    <row r="5637" spans="1:9" x14ac:dyDescent="0.25">
      <c r="A5637" s="1" t="str">
        <f>HYPERLINK("https://lynxcrm-apac--c.eu19.visual.force.com/0011i00000uOGjwAAG","Wee, Serene")</f>
        <v>Wee, Serene</v>
      </c>
      <c r="B5637" t="s">
        <v>10255</v>
      </c>
      <c r="C5637" t="s">
        <v>28</v>
      </c>
      <c r="D5637" t="s">
        <v>10256</v>
      </c>
      <c r="E5637" t="s">
        <v>8</v>
      </c>
      <c r="F5637" t="s">
        <v>10257</v>
      </c>
      <c r="G5637" t="s">
        <v>2979</v>
      </c>
      <c r="H5637" t="s">
        <v>8</v>
      </c>
      <c r="I5637" t="s">
        <v>10258</v>
      </c>
    </row>
    <row r="5638" spans="1:9" x14ac:dyDescent="0.25">
      <c r="A5638" s="1" t="str">
        <f>HYPERLINK("https://lynxcrm-apac--c.eu19.visual.force.com/0011i000001xoINAAY","Wee, Sieu Phing Angeline")</f>
        <v>Wee, Sieu Phing Angeline</v>
      </c>
      <c r="B5638" t="s">
        <v>10259</v>
      </c>
      <c r="C5638" t="s">
        <v>28</v>
      </c>
      <c r="D5638" t="s">
        <v>164</v>
      </c>
      <c r="E5638" t="s">
        <v>8</v>
      </c>
      <c r="F5638" t="s">
        <v>163</v>
      </c>
      <c r="G5638" t="s">
        <v>163</v>
      </c>
      <c r="H5638" t="s">
        <v>8</v>
      </c>
      <c r="I5638" t="s">
        <v>165</v>
      </c>
    </row>
    <row r="5639" spans="1:9" x14ac:dyDescent="0.25">
      <c r="A5639" s="1" t="str">
        <f>HYPERLINK("https://lynxcrm-apac--c.eu19.visual.force.com/0011i000001xnvXAAQ","Wee, Sin Lin")</f>
        <v>Wee, Sin Lin</v>
      </c>
      <c r="B5639" t="s">
        <v>10260</v>
      </c>
      <c r="C5639" t="s">
        <v>28</v>
      </c>
      <c r="D5639" t="s">
        <v>10261</v>
      </c>
      <c r="E5639" t="s">
        <v>8</v>
      </c>
      <c r="F5639" t="s">
        <v>5738</v>
      </c>
      <c r="G5639" t="s">
        <v>9876</v>
      </c>
      <c r="H5639" t="s">
        <v>9877</v>
      </c>
      <c r="I5639" t="s">
        <v>9878</v>
      </c>
    </row>
    <row r="5640" spans="1:9" x14ac:dyDescent="0.25">
      <c r="A5640" s="1" t="str">
        <f>HYPERLINK("https://lynxcrm-apac--c.eu19.visual.force.com/0011i000001xnvYAAQ","Wee, Sip Leong Victo")</f>
        <v>Wee, Sip Leong Victo</v>
      </c>
      <c r="B5640" t="s">
        <v>10262</v>
      </c>
      <c r="C5640" t="s">
        <v>28</v>
      </c>
      <c r="D5640" t="s">
        <v>10263</v>
      </c>
      <c r="E5640" t="s">
        <v>8</v>
      </c>
      <c r="F5640" t="s">
        <v>4900</v>
      </c>
      <c r="G5640" t="s">
        <v>3919</v>
      </c>
      <c r="H5640" t="s">
        <v>3919</v>
      </c>
      <c r="I5640" t="s">
        <v>4901</v>
      </c>
    </row>
    <row r="5641" spans="1:9" x14ac:dyDescent="0.25">
      <c r="A5641" s="1" t="str">
        <f>HYPERLINK("https://lynxcrm-apac--c.eu19.visual.force.com/0011i000001xopeAAA","Wee, Tien Su Jeremy")</f>
        <v>Wee, Tien Su Jeremy</v>
      </c>
      <c r="B5641" t="s">
        <v>10264</v>
      </c>
      <c r="C5641" t="s">
        <v>28</v>
      </c>
      <c r="D5641" t="s">
        <v>2224</v>
      </c>
      <c r="E5641" t="s">
        <v>8</v>
      </c>
      <c r="F5641" t="s">
        <v>2225</v>
      </c>
      <c r="G5641" t="s">
        <v>2226</v>
      </c>
      <c r="H5641" t="s">
        <v>2226</v>
      </c>
      <c r="I5641" t="s">
        <v>2227</v>
      </c>
    </row>
    <row r="5642" spans="1:9" x14ac:dyDescent="0.25">
      <c r="A5642" s="1" t="str">
        <f>HYPERLINK("https://lynxcrm-apac--c.eu19.visual.force.com/0011i000001xoWoAAI","Wee, Wei Keong")</f>
        <v>Wee, Wei Keong</v>
      </c>
      <c r="B5642" t="s">
        <v>10265</v>
      </c>
      <c r="C5642" t="s">
        <v>28</v>
      </c>
      <c r="D5642" t="s">
        <v>148</v>
      </c>
      <c r="E5642" t="s">
        <v>8</v>
      </c>
      <c r="F5642" t="s">
        <v>736</v>
      </c>
      <c r="G5642" t="s">
        <v>736</v>
      </c>
      <c r="H5642" t="s">
        <v>8</v>
      </c>
      <c r="I5642" t="s">
        <v>149</v>
      </c>
    </row>
    <row r="5643" spans="1:9" x14ac:dyDescent="0.25">
      <c r="A5643" s="1" t="str">
        <f>HYPERLINK("https://lynxcrm-apac--c.eu19.visual.force.com/0011i000001xnvhAAA","Wee, Yew Jong")</f>
        <v>Wee, Yew Jong</v>
      </c>
      <c r="B5643" t="s">
        <v>10266</v>
      </c>
      <c r="C5643" t="s">
        <v>28</v>
      </c>
      <c r="D5643" t="s">
        <v>10267</v>
      </c>
      <c r="E5643" t="s">
        <v>8</v>
      </c>
      <c r="F5643" t="s">
        <v>10268</v>
      </c>
      <c r="G5643" t="s">
        <v>6795</v>
      </c>
      <c r="H5643" t="s">
        <v>10269</v>
      </c>
      <c r="I5643" t="s">
        <v>10270</v>
      </c>
    </row>
    <row r="5644" spans="1:9" x14ac:dyDescent="0.25">
      <c r="A5644" s="1" t="str">
        <f>HYPERLINK("https://lynxcrm-apac--c.eu19.visual.force.com/0011i000001xmp9AAA","Wee's Family Clinic &amp; Surgery")</f>
        <v>Wee's Family Clinic &amp; Surgery</v>
      </c>
      <c r="B5644" t="s">
        <v>10271</v>
      </c>
      <c r="C5644" t="s">
        <v>10</v>
      </c>
      <c r="D5644" t="s">
        <v>8</v>
      </c>
      <c r="E5644" t="s">
        <v>8</v>
      </c>
      <c r="F5644" t="s">
        <v>557</v>
      </c>
      <c r="G5644" t="s">
        <v>10244</v>
      </c>
      <c r="H5644" t="s">
        <v>10244</v>
      </c>
      <c r="I5644" t="s">
        <v>560</v>
      </c>
    </row>
    <row r="5645" spans="1:9" x14ac:dyDescent="0.25">
      <c r="A5645" s="1" t="str">
        <f>HYPERLINK("https://lynxcrm-apac--c.eu19.visual.force.com/0011i000001xmpEAAQ","Wee Clinic &amp; Surgery")</f>
        <v>Wee Clinic &amp; Surgery</v>
      </c>
      <c r="B5645" t="s">
        <v>10272</v>
      </c>
      <c r="C5645" t="s">
        <v>10</v>
      </c>
      <c r="D5645" t="s">
        <v>8</v>
      </c>
      <c r="E5645" t="s">
        <v>8</v>
      </c>
      <c r="F5645" t="s">
        <v>829</v>
      </c>
      <c r="G5645" t="s">
        <v>10273</v>
      </c>
      <c r="H5645" t="s">
        <v>10273</v>
      </c>
      <c r="I5645" t="s">
        <v>226</v>
      </c>
    </row>
    <row r="5646" spans="1:9" x14ac:dyDescent="0.25">
      <c r="A5646" s="1" t="str">
        <f>HYPERLINK("https://lynxcrm-apac--c.eu19.visual.force.com/0011i000007Ef46AAC","Wee Healthfirst Medical Clinic")</f>
        <v>Wee Healthfirst Medical Clinic</v>
      </c>
      <c r="B5646" t="s">
        <v>10274</v>
      </c>
      <c r="C5646" t="s">
        <v>10</v>
      </c>
      <c r="D5646" t="s">
        <v>8</v>
      </c>
      <c r="E5646" t="s">
        <v>8</v>
      </c>
      <c r="F5646" t="s">
        <v>10275</v>
      </c>
      <c r="G5646" t="s">
        <v>10276</v>
      </c>
      <c r="H5646" t="s">
        <v>8</v>
      </c>
      <c r="I5646" t="s">
        <v>10277</v>
      </c>
    </row>
    <row r="5647" spans="1:9" x14ac:dyDescent="0.25">
      <c r="A5647" s="1" t="str">
        <f>HYPERLINK("https://lynxcrm-apac--c.eu19.visual.force.com/0011i00000w06JaAAI","Wei, In Ooi")</f>
        <v>Wei, In Ooi</v>
      </c>
      <c r="B5647" t="s">
        <v>10278</v>
      </c>
      <c r="C5647" t="s">
        <v>28</v>
      </c>
      <c r="D5647" t="s">
        <v>91</v>
      </c>
      <c r="E5647" t="s">
        <v>8</v>
      </c>
      <c r="F5647" t="s">
        <v>90</v>
      </c>
      <c r="G5647" t="s">
        <v>90</v>
      </c>
      <c r="H5647" t="s">
        <v>8</v>
      </c>
      <c r="I5647" t="s">
        <v>92</v>
      </c>
    </row>
    <row r="5648" spans="1:9" x14ac:dyDescent="0.25">
      <c r="A5648" s="1" t="str">
        <f>HYPERLINK("https://lynxcrm-apac--c.eu19.visual.force.com/0011i000001xoKCAAY","Wei, Ker Chiah")</f>
        <v>Wei, Ker Chiah</v>
      </c>
      <c r="B5648" t="s">
        <v>10279</v>
      </c>
      <c r="C5648" t="s">
        <v>28</v>
      </c>
      <c r="D5648" t="s">
        <v>815</v>
      </c>
      <c r="E5648" t="s">
        <v>8</v>
      </c>
      <c r="F5648" t="s">
        <v>816</v>
      </c>
      <c r="G5648" t="s">
        <v>815</v>
      </c>
      <c r="H5648" t="s">
        <v>815</v>
      </c>
      <c r="I5648" t="s">
        <v>817</v>
      </c>
    </row>
    <row r="5649" spans="1:9" x14ac:dyDescent="0.25">
      <c r="A5649" s="1" t="str">
        <f>HYPERLINK("https://lynxcrm-apac--c.eu19.visual.force.com/0011i000001xmh7AAA","Well Family Clinic &amp; Surgery")</f>
        <v>Well Family Clinic &amp; Surgery</v>
      </c>
      <c r="B5649" t="s">
        <v>10280</v>
      </c>
      <c r="C5649" t="s">
        <v>10</v>
      </c>
      <c r="D5649" t="s">
        <v>8</v>
      </c>
      <c r="E5649" t="s">
        <v>8</v>
      </c>
      <c r="F5649" t="s">
        <v>2252</v>
      </c>
      <c r="G5649" t="s">
        <v>2253</v>
      </c>
      <c r="H5649" t="s">
        <v>2254</v>
      </c>
      <c r="I5649" t="s">
        <v>2255</v>
      </c>
    </row>
    <row r="5650" spans="1:9" x14ac:dyDescent="0.25">
      <c r="A5650" s="1" t="str">
        <f>HYPERLINK("https://lynxcrm-apac--c.eu19.visual.force.com/0011i000001xmgtAAA","Well Medical &amp; Laser Surgery")</f>
        <v>Well Medical &amp; Laser Surgery</v>
      </c>
      <c r="B5650" t="s">
        <v>10281</v>
      </c>
      <c r="C5650" t="s">
        <v>10</v>
      </c>
      <c r="D5650" t="s">
        <v>8</v>
      </c>
      <c r="E5650" t="s">
        <v>8</v>
      </c>
      <c r="F5650" t="s">
        <v>10282</v>
      </c>
      <c r="G5650" t="s">
        <v>1521</v>
      </c>
      <c r="H5650" t="s">
        <v>1521</v>
      </c>
      <c r="I5650" t="s">
        <v>1523</v>
      </c>
    </row>
    <row r="5651" spans="1:9" x14ac:dyDescent="0.25">
      <c r="A5651" s="1" t="str">
        <f>HYPERLINK("https://lynxcrm-apac--c.eu19.visual.force.com/0011i000001xmp4AAA","Well Medical &amp; Surgery")</f>
        <v>Well Medical &amp; Surgery</v>
      </c>
      <c r="B5651" t="s">
        <v>10283</v>
      </c>
      <c r="C5651" t="s">
        <v>10</v>
      </c>
      <c r="D5651" t="s">
        <v>8</v>
      </c>
      <c r="E5651" t="s">
        <v>8</v>
      </c>
      <c r="F5651" t="s">
        <v>1520</v>
      </c>
      <c r="G5651" t="s">
        <v>1521</v>
      </c>
      <c r="H5651" t="s">
        <v>1522</v>
      </c>
      <c r="I5651" t="s">
        <v>1523</v>
      </c>
    </row>
    <row r="5652" spans="1:9" x14ac:dyDescent="0.25">
      <c r="A5652" s="1" t="str">
        <f>HYPERLINK("https://lynxcrm-apac--c.eu19.visual.force.com/0011i000001xnFeAAI","Wellness Assessment Centre")</f>
        <v>Wellness Assessment Centre</v>
      </c>
      <c r="B5652" t="s">
        <v>10284</v>
      </c>
      <c r="C5652" t="s">
        <v>10</v>
      </c>
      <c r="D5652" t="s">
        <v>8</v>
      </c>
      <c r="E5652" t="s">
        <v>8</v>
      </c>
      <c r="F5652" t="s">
        <v>9248</v>
      </c>
      <c r="G5652" t="s">
        <v>4778</v>
      </c>
      <c r="H5652" t="s">
        <v>4778</v>
      </c>
      <c r="I5652" t="s">
        <v>115</v>
      </c>
    </row>
    <row r="5653" spans="1:9" x14ac:dyDescent="0.25">
      <c r="A5653" s="1" t="str">
        <f>HYPERLINK("https://lynxcrm-apac--c.eu19.visual.force.com/0011i000001xnUNAAY","Wen &amp; Weng Family Cilinic")</f>
        <v>Wen &amp; Weng Family Cilinic</v>
      </c>
      <c r="B5653" t="s">
        <v>10285</v>
      </c>
      <c r="C5653" t="s">
        <v>10</v>
      </c>
      <c r="D5653" t="s">
        <v>8</v>
      </c>
      <c r="E5653" t="s">
        <v>8</v>
      </c>
      <c r="F5653" t="s">
        <v>5526</v>
      </c>
      <c r="G5653" t="s">
        <v>2979</v>
      </c>
      <c r="H5653" t="s">
        <v>2979</v>
      </c>
      <c r="I5653" t="s">
        <v>5527</v>
      </c>
    </row>
    <row r="5654" spans="1:9" x14ac:dyDescent="0.25">
      <c r="A5654" s="1" t="str">
        <f>HYPERLINK("https://lynxcrm-apac--c.eu19.visual.force.com/0011i000001xmlYAAQ","Wen &amp; Weng Family Clinic")</f>
        <v>Wen &amp; Weng Family Clinic</v>
      </c>
      <c r="B5654" t="s">
        <v>10286</v>
      </c>
      <c r="C5654" t="s">
        <v>10</v>
      </c>
      <c r="D5654" t="s">
        <v>8</v>
      </c>
      <c r="E5654" t="s">
        <v>8</v>
      </c>
      <c r="F5654" t="s">
        <v>5526</v>
      </c>
      <c r="G5654" t="s">
        <v>2979</v>
      </c>
      <c r="H5654" t="s">
        <v>2979</v>
      </c>
      <c r="I5654" t="s">
        <v>5527</v>
      </c>
    </row>
    <row r="5655" spans="1:9" x14ac:dyDescent="0.25">
      <c r="A5655" s="1" t="str">
        <f>HYPERLINK("https://lynxcrm-apac--c.eu19.visual.force.com/0011i000001xnjbAAA","Weng, Yusheng James")</f>
        <v>Weng, Yusheng James</v>
      </c>
      <c r="B5655" t="s">
        <v>10287</v>
      </c>
      <c r="C5655" t="s">
        <v>28</v>
      </c>
      <c r="D5655" t="s">
        <v>261</v>
      </c>
      <c r="E5655" t="s">
        <v>8</v>
      </c>
      <c r="F5655" t="s">
        <v>261</v>
      </c>
      <c r="G5655" t="s">
        <v>347</v>
      </c>
      <c r="H5655" t="s">
        <v>347</v>
      </c>
      <c r="I5655" t="s">
        <v>260</v>
      </c>
    </row>
    <row r="5656" spans="1:9" x14ac:dyDescent="0.25">
      <c r="A5656" s="1" t="str">
        <f>HYPERLINK("https://lynxcrm-apac--c.eu19.visual.force.com/0011i000001xnIFAAY","West Coast Clinic &amp; Surgery")</f>
        <v>West Coast Clinic &amp; Surgery</v>
      </c>
      <c r="B5656" t="s">
        <v>10288</v>
      </c>
      <c r="C5656" t="s">
        <v>10</v>
      </c>
      <c r="D5656" t="s">
        <v>8</v>
      </c>
      <c r="E5656" t="s">
        <v>8</v>
      </c>
      <c r="F5656" t="s">
        <v>10289</v>
      </c>
      <c r="G5656" t="s">
        <v>9034</v>
      </c>
      <c r="H5656" t="s">
        <v>9034</v>
      </c>
      <c r="I5656" t="s">
        <v>1964</v>
      </c>
    </row>
    <row r="5657" spans="1:9" x14ac:dyDescent="0.25">
      <c r="A5657" s="1" t="str">
        <f>HYPERLINK("https://lynxcrm-apac--c.eu19.visual.force.com/0011i000001xnaBAAQ","West Coast Clinic &amp; Surgery")</f>
        <v>West Coast Clinic &amp; Surgery</v>
      </c>
      <c r="B5657" t="s">
        <v>10290</v>
      </c>
      <c r="C5657" t="s">
        <v>10</v>
      </c>
      <c r="D5657" t="s">
        <v>8</v>
      </c>
      <c r="E5657" t="s">
        <v>8</v>
      </c>
      <c r="F5657" t="s">
        <v>1962</v>
      </c>
      <c r="G5657" t="s">
        <v>9034</v>
      </c>
      <c r="H5657" t="s">
        <v>9035</v>
      </c>
      <c r="I5657" t="s">
        <v>1964</v>
      </c>
    </row>
    <row r="5658" spans="1:9" x14ac:dyDescent="0.25">
      <c r="A5658" s="1" t="str">
        <f>HYPERLINK("https://lynxcrm-apac--c.eu19.visual.force.com/0011i000001xnD6AAI","West Coast Clinic &amp; Surgery")</f>
        <v>West Coast Clinic &amp; Surgery</v>
      </c>
      <c r="B5658" t="s">
        <v>10291</v>
      </c>
      <c r="C5658" t="s">
        <v>10</v>
      </c>
      <c r="D5658" t="s">
        <v>8</v>
      </c>
      <c r="E5658" t="s">
        <v>8</v>
      </c>
      <c r="F5658" t="s">
        <v>10292</v>
      </c>
      <c r="G5658" t="s">
        <v>654</v>
      </c>
      <c r="H5658" t="s">
        <v>10293</v>
      </c>
      <c r="I5658" t="s">
        <v>10114</v>
      </c>
    </row>
    <row r="5659" spans="1:9" x14ac:dyDescent="0.25">
      <c r="A5659" s="1" t="str">
        <f>HYPERLINK("https://lynxcrm-apac--c.eu19.visual.force.com/0011i000001xnMeAAI","Westside Medical Clinic")</f>
        <v>Westside Medical Clinic</v>
      </c>
      <c r="B5659" t="s">
        <v>10294</v>
      </c>
      <c r="C5659" t="s">
        <v>10</v>
      </c>
      <c r="D5659" t="s">
        <v>8</v>
      </c>
      <c r="E5659" t="s">
        <v>8</v>
      </c>
      <c r="F5659" t="s">
        <v>3174</v>
      </c>
      <c r="G5659" t="s">
        <v>1372</v>
      </c>
      <c r="H5659" t="s">
        <v>10295</v>
      </c>
      <c r="I5659" t="s">
        <v>3177</v>
      </c>
    </row>
    <row r="5660" spans="1:9" x14ac:dyDescent="0.25">
      <c r="A5660" s="1" t="str">
        <f>HYPERLINK("https://lynxcrm-apac--c.eu19.visual.force.com/0011i000001xn6vAAA","Whampoa Clinic")</f>
        <v>Whampoa Clinic</v>
      </c>
      <c r="B5660" t="s">
        <v>10296</v>
      </c>
      <c r="C5660" t="s">
        <v>10</v>
      </c>
      <c r="D5660" t="s">
        <v>8</v>
      </c>
      <c r="E5660" t="s">
        <v>8</v>
      </c>
      <c r="F5660" t="s">
        <v>557</v>
      </c>
      <c r="G5660" t="s">
        <v>558</v>
      </c>
      <c r="H5660" t="s">
        <v>559</v>
      </c>
      <c r="I5660" t="s">
        <v>560</v>
      </c>
    </row>
    <row r="5661" spans="1:9" x14ac:dyDescent="0.25">
      <c r="A5661" s="1" t="str">
        <f>HYPERLINK("https://lynxcrm-apac--c.eu19.visual.force.com/0011i000001xnoJAAQ","Wijaya, Henry")</f>
        <v>Wijaya, Henry</v>
      </c>
      <c r="B5661" t="s">
        <v>10297</v>
      </c>
      <c r="C5661" t="s">
        <v>28</v>
      </c>
      <c r="D5661" t="s">
        <v>10298</v>
      </c>
      <c r="E5661" t="s">
        <v>8</v>
      </c>
      <c r="F5661" t="s">
        <v>10299</v>
      </c>
      <c r="G5661" t="s">
        <v>10300</v>
      </c>
      <c r="H5661" t="s">
        <v>10300</v>
      </c>
      <c r="I5661" t="s">
        <v>10301</v>
      </c>
    </row>
    <row r="5662" spans="1:9" x14ac:dyDescent="0.25">
      <c r="A5662" s="1" t="str">
        <f>HYPERLINK("https://lynxcrm-apac--c.eu19.visual.force.com/0011i000001xnoJAAQ","Wijaya, Henry")</f>
        <v>Wijaya, Henry</v>
      </c>
      <c r="B5662" t="s">
        <v>10297</v>
      </c>
      <c r="C5662" t="s">
        <v>28</v>
      </c>
      <c r="D5662" t="s">
        <v>10302</v>
      </c>
      <c r="E5662" t="s">
        <v>8</v>
      </c>
      <c r="F5662" t="s">
        <v>10303</v>
      </c>
      <c r="G5662" t="s">
        <v>1719</v>
      </c>
      <c r="H5662" t="s">
        <v>8</v>
      </c>
      <c r="I5662" t="s">
        <v>10304</v>
      </c>
    </row>
    <row r="5663" spans="1:9" x14ac:dyDescent="0.25">
      <c r="A5663" s="1" t="str">
        <f>HYPERLINK("https://lynxcrm-apac--c.eu19.visual.force.com/0011i000001xoG1AAI","William, Verhoeven")</f>
        <v>William, Verhoeven</v>
      </c>
      <c r="B5663" t="s">
        <v>10305</v>
      </c>
      <c r="C5663" t="s">
        <v>28</v>
      </c>
      <c r="D5663" t="s">
        <v>10306</v>
      </c>
      <c r="E5663" t="s">
        <v>8</v>
      </c>
      <c r="F5663" t="s">
        <v>263</v>
      </c>
      <c r="G5663" t="s">
        <v>8820</v>
      </c>
      <c r="H5663" t="s">
        <v>10307</v>
      </c>
      <c r="I5663" t="s">
        <v>266</v>
      </c>
    </row>
    <row r="5664" spans="1:9" x14ac:dyDescent="0.25">
      <c r="A5664" s="1" t="str">
        <f>HYPERLINK("https://lynxcrm-apac--c.eu19.visual.force.com/0011i000001xmkvAAA","Wilmer Clinic Pte Ltd")</f>
        <v>Wilmer Clinic Pte Ltd</v>
      </c>
      <c r="B5664" t="s">
        <v>10308</v>
      </c>
      <c r="C5664" t="s">
        <v>10</v>
      </c>
      <c r="D5664" t="s">
        <v>8</v>
      </c>
      <c r="E5664" t="s">
        <v>8</v>
      </c>
      <c r="F5664" t="s">
        <v>4147</v>
      </c>
      <c r="G5664" t="s">
        <v>4148</v>
      </c>
      <c r="H5664" t="s">
        <v>4149</v>
      </c>
      <c r="I5664" t="s">
        <v>4150</v>
      </c>
    </row>
    <row r="5665" spans="1:9" x14ac:dyDescent="0.25">
      <c r="A5665" s="1" t="str">
        <f>HYPERLINK("https://lynxcrm-apac--c.eu19.visual.force.com/0011i000001xo73AAA","Winslow, Rasaiah Munidas")</f>
        <v>Winslow, Rasaiah Munidas</v>
      </c>
      <c r="B5665" t="s">
        <v>10309</v>
      </c>
      <c r="C5665" t="s">
        <v>28</v>
      </c>
      <c r="D5665" t="s">
        <v>10310</v>
      </c>
      <c r="E5665" t="s">
        <v>8</v>
      </c>
      <c r="F5665" t="s">
        <v>8003</v>
      </c>
      <c r="G5665" t="s">
        <v>8003</v>
      </c>
      <c r="H5665" t="s">
        <v>8004</v>
      </c>
      <c r="I5665" t="s">
        <v>887</v>
      </c>
    </row>
    <row r="5666" spans="1:9" x14ac:dyDescent="0.25">
      <c r="A5666" s="1" t="str">
        <f>HYPERLINK("https://lynxcrm-apac--c.eu19.visual.force.com/0011i000001xnU2AAI","Winstedt Clinic")</f>
        <v>Winstedt Clinic</v>
      </c>
      <c r="B5666" t="s">
        <v>10311</v>
      </c>
      <c r="C5666" t="s">
        <v>10</v>
      </c>
      <c r="D5666" t="s">
        <v>8</v>
      </c>
      <c r="E5666" t="s">
        <v>8</v>
      </c>
      <c r="F5666" t="s">
        <v>8138</v>
      </c>
      <c r="G5666" t="s">
        <v>8138</v>
      </c>
      <c r="H5666" t="s">
        <v>8139</v>
      </c>
      <c r="I5666" t="s">
        <v>8140</v>
      </c>
    </row>
    <row r="5667" spans="1:9" x14ac:dyDescent="0.25">
      <c r="A5667" s="1" t="str">
        <f>HYPERLINK("https://lynxcrm-apac--c.eu19.visual.force.com/0011i000001xnbrAAA","W Koh Clinic")</f>
        <v>W Koh Clinic</v>
      </c>
      <c r="B5667" t="s">
        <v>10312</v>
      </c>
      <c r="C5667" t="s">
        <v>10</v>
      </c>
      <c r="D5667" t="s">
        <v>8</v>
      </c>
      <c r="E5667" t="s">
        <v>8</v>
      </c>
      <c r="F5667" t="s">
        <v>4961</v>
      </c>
      <c r="G5667" t="s">
        <v>4962</v>
      </c>
      <c r="H5667" t="s">
        <v>4963</v>
      </c>
      <c r="I5667" t="s">
        <v>4964</v>
      </c>
    </row>
    <row r="5668" spans="1:9" x14ac:dyDescent="0.25">
      <c r="A5668" s="1" t="str">
        <f>HYPERLINK("https://lynxcrm-apac--c.eu19.visual.force.com/0011i000001xmlqAAA","Women's Clinic of Singapore")</f>
        <v>Women's Clinic of Singapore</v>
      </c>
      <c r="B5668" t="s">
        <v>10313</v>
      </c>
      <c r="C5668" t="s">
        <v>10</v>
      </c>
      <c r="D5668" t="s">
        <v>8</v>
      </c>
      <c r="E5668" t="s">
        <v>8</v>
      </c>
      <c r="F5668" t="s">
        <v>1822</v>
      </c>
      <c r="G5668" t="s">
        <v>10314</v>
      </c>
      <c r="H5668" t="s">
        <v>10315</v>
      </c>
      <c r="I5668" t="s">
        <v>1824</v>
      </c>
    </row>
    <row r="5669" spans="1:9" x14ac:dyDescent="0.25">
      <c r="A5669" s="1" t="str">
        <f>HYPERLINK("https://lynxcrm-apac--c.eu19.visual.force.com/0011i000001xmlEAAQ","Women's Health &amp; Fertility Centre")</f>
        <v>Women's Health &amp; Fertility Centre</v>
      </c>
      <c r="B5669" t="s">
        <v>10316</v>
      </c>
      <c r="C5669" t="s">
        <v>10</v>
      </c>
      <c r="D5669" t="s">
        <v>8</v>
      </c>
      <c r="E5669" t="s">
        <v>8</v>
      </c>
      <c r="F5669" t="s">
        <v>1801</v>
      </c>
      <c r="G5669" t="s">
        <v>10317</v>
      </c>
      <c r="H5669" t="s">
        <v>10317</v>
      </c>
      <c r="I5669" t="s">
        <v>1803</v>
      </c>
    </row>
    <row r="5670" spans="1:9" x14ac:dyDescent="0.25">
      <c r="A5670" s="1" t="str">
        <f>HYPERLINK("https://lynxcrm-apac--c.eu19.visual.force.com/0011i000001xmhPAAQ","Women's Specialist Associates Pte Ltd")</f>
        <v>Women's Specialist Associates Pte Ltd</v>
      </c>
      <c r="B5670" t="s">
        <v>10318</v>
      </c>
      <c r="C5670" t="s">
        <v>10</v>
      </c>
      <c r="D5670" t="s">
        <v>8</v>
      </c>
      <c r="E5670" t="s">
        <v>8</v>
      </c>
      <c r="F5670" t="s">
        <v>377</v>
      </c>
      <c r="G5670" t="s">
        <v>2277</v>
      </c>
      <c r="H5670" t="s">
        <v>2278</v>
      </c>
      <c r="I5670" t="s">
        <v>123</v>
      </c>
    </row>
    <row r="5671" spans="1:9" x14ac:dyDescent="0.25">
      <c r="A5671" s="1" t="str">
        <f>HYPERLINK("https://lynxcrm-apac--c.eu19.visual.force.com/0011i000001xnCRAAY","Women's Specialist Associates Pte Ltd")</f>
        <v>Women's Specialist Associates Pte Ltd</v>
      </c>
      <c r="B5671" t="s">
        <v>10319</v>
      </c>
      <c r="C5671" t="s">
        <v>10</v>
      </c>
      <c r="D5671" t="s">
        <v>8</v>
      </c>
      <c r="E5671" t="s">
        <v>8</v>
      </c>
      <c r="F5671" t="s">
        <v>377</v>
      </c>
      <c r="G5671" t="s">
        <v>2277</v>
      </c>
      <c r="H5671" t="s">
        <v>2278</v>
      </c>
      <c r="I5671" t="s">
        <v>123</v>
      </c>
    </row>
    <row r="5672" spans="1:9" x14ac:dyDescent="0.25">
      <c r="A5672" s="1" t="str">
        <f>HYPERLINK("https://lynxcrm-apac--c.eu19.visual.force.com/0011i000001xn0iAAA","Women Fertility &amp; Fetal Centre")</f>
        <v>Women Fertility &amp; Fetal Centre</v>
      </c>
      <c r="B5672" t="s">
        <v>10320</v>
      </c>
      <c r="C5672" t="s">
        <v>10</v>
      </c>
      <c r="D5672" t="s">
        <v>8</v>
      </c>
      <c r="E5672" t="s">
        <v>8</v>
      </c>
      <c r="F5672" t="s">
        <v>10321</v>
      </c>
      <c r="G5672" t="s">
        <v>121</v>
      </c>
      <c r="H5672" t="s">
        <v>121</v>
      </c>
      <c r="I5672" t="s">
        <v>123</v>
      </c>
    </row>
    <row r="5673" spans="1:9" x14ac:dyDescent="0.25">
      <c r="A5673" s="1" t="str">
        <f>HYPERLINK("https://lynxcrm-apac--c.eu19.visual.force.com/0011i000001xoJLAAY","Wong, Andrew")</f>
        <v>Wong, Andrew</v>
      </c>
      <c r="B5673" t="s">
        <v>10322</v>
      </c>
      <c r="C5673" t="s">
        <v>28</v>
      </c>
      <c r="D5673" t="s">
        <v>635</v>
      </c>
      <c r="E5673" t="s">
        <v>8</v>
      </c>
      <c r="F5673" t="s">
        <v>584</v>
      </c>
      <c r="G5673" t="s">
        <v>583</v>
      </c>
      <c r="H5673" t="s">
        <v>583</v>
      </c>
      <c r="I5673" t="s">
        <v>585</v>
      </c>
    </row>
    <row r="5674" spans="1:9" x14ac:dyDescent="0.25">
      <c r="A5674" s="1" t="str">
        <f>HYPERLINK("https://lynxcrm-apac--c.eu19.visual.force.com/0011i000001xoJLAAY","Wong, Andrew")</f>
        <v>Wong, Andrew</v>
      </c>
      <c r="B5674" t="s">
        <v>10322</v>
      </c>
      <c r="C5674" t="s">
        <v>28</v>
      </c>
      <c r="D5674" t="s">
        <v>583</v>
      </c>
      <c r="E5674" t="s">
        <v>8</v>
      </c>
      <c r="F5674" t="s">
        <v>583</v>
      </c>
      <c r="G5674" t="s">
        <v>584</v>
      </c>
      <c r="H5674" t="s">
        <v>584</v>
      </c>
      <c r="I5674" t="s">
        <v>585</v>
      </c>
    </row>
    <row r="5675" spans="1:9" x14ac:dyDescent="0.25">
      <c r="A5675" s="1" t="str">
        <f>HYPERLINK("https://lynxcrm-apac--c.eu19.visual.force.com/0011i00000Xf1HiAAJ","Wong, Anrea")</f>
        <v>Wong, Anrea</v>
      </c>
      <c r="B5675" t="s">
        <v>10323</v>
      </c>
      <c r="C5675" t="s">
        <v>28</v>
      </c>
      <c r="D5675" t="s">
        <v>429</v>
      </c>
      <c r="E5675" t="s">
        <v>8</v>
      </c>
      <c r="F5675" t="s">
        <v>594</v>
      </c>
      <c r="G5675" t="s">
        <v>595</v>
      </c>
      <c r="H5675" t="s">
        <v>8</v>
      </c>
      <c r="I5675" t="s">
        <v>596</v>
      </c>
    </row>
    <row r="5676" spans="1:9" x14ac:dyDescent="0.25">
      <c r="A5676" s="1" t="str">
        <f>HYPERLINK("https://lynxcrm-apac--c.eu19.visual.force.com/0011i00000Ju24EAAR","Wong, Audrey")</f>
        <v>Wong, Audrey</v>
      </c>
      <c r="B5676" t="s">
        <v>10324</v>
      </c>
      <c r="C5676" t="s">
        <v>28</v>
      </c>
      <c r="D5676" t="s">
        <v>429</v>
      </c>
      <c r="E5676" t="s">
        <v>8</v>
      </c>
      <c r="F5676" t="s">
        <v>429</v>
      </c>
      <c r="G5676" t="s">
        <v>428</v>
      </c>
      <c r="H5676" t="s">
        <v>428</v>
      </c>
      <c r="I5676" t="s">
        <v>430</v>
      </c>
    </row>
    <row r="5677" spans="1:9" x14ac:dyDescent="0.25">
      <c r="A5677" s="1" t="str">
        <f>HYPERLINK("https://lynxcrm-apac--c.eu19.visual.force.com/0011i000001xoLuAAI","Wong, Chee Meng John")</f>
        <v>Wong, Chee Meng John</v>
      </c>
      <c r="B5677" t="s">
        <v>10325</v>
      </c>
      <c r="C5677" t="s">
        <v>28</v>
      </c>
      <c r="D5677" t="s">
        <v>429</v>
      </c>
      <c r="E5677" t="s">
        <v>8</v>
      </c>
      <c r="F5677" t="s">
        <v>8278</v>
      </c>
      <c r="G5677" t="s">
        <v>428</v>
      </c>
      <c r="H5677" t="s">
        <v>428</v>
      </c>
      <c r="I5677" t="s">
        <v>430</v>
      </c>
    </row>
    <row r="5678" spans="1:9" x14ac:dyDescent="0.25">
      <c r="A5678" s="1" t="str">
        <f>HYPERLINK("https://lynxcrm-apac--c.eu19.visual.force.com/0011i000001xnvkAAA","Wong, Chee Min")</f>
        <v>Wong, Chee Min</v>
      </c>
      <c r="B5678" t="s">
        <v>10326</v>
      </c>
      <c r="C5678" t="s">
        <v>28</v>
      </c>
      <c r="D5678" t="s">
        <v>10327</v>
      </c>
      <c r="E5678" t="s">
        <v>8</v>
      </c>
      <c r="F5678" t="s">
        <v>10328</v>
      </c>
      <c r="G5678" t="s">
        <v>3429</v>
      </c>
      <c r="H5678" t="s">
        <v>10329</v>
      </c>
      <c r="I5678" t="s">
        <v>10330</v>
      </c>
    </row>
    <row r="5679" spans="1:9" x14ac:dyDescent="0.25">
      <c r="A5679" s="1" t="str">
        <f>HYPERLINK("https://lynxcrm-apac--c.eu19.visual.force.com/0011i000001xoQoAAI","Wong, Chek Hooi")</f>
        <v>Wong, Chek Hooi</v>
      </c>
      <c r="B5679" t="s">
        <v>10331</v>
      </c>
      <c r="C5679" t="s">
        <v>28</v>
      </c>
      <c r="D5679" t="s">
        <v>501</v>
      </c>
      <c r="E5679" t="s">
        <v>8</v>
      </c>
      <c r="F5679" t="s">
        <v>359</v>
      </c>
      <c r="G5679" t="s">
        <v>502</v>
      </c>
      <c r="H5679" t="s">
        <v>502</v>
      </c>
      <c r="I5679" t="s">
        <v>506</v>
      </c>
    </row>
    <row r="5680" spans="1:9" x14ac:dyDescent="0.25">
      <c r="A5680" s="1" t="str">
        <f>HYPERLINK("https://lynxcrm-apac--c.eu19.visual.force.com/0011i000001xonJAAQ","Wong, Cheok Keng Kelvin")</f>
        <v>Wong, Cheok Keng Kelvin</v>
      </c>
      <c r="B5680" t="s">
        <v>10332</v>
      </c>
      <c r="C5680" t="s">
        <v>28</v>
      </c>
      <c r="D5680" t="s">
        <v>583</v>
      </c>
      <c r="E5680" t="s">
        <v>8</v>
      </c>
      <c r="F5680" t="s">
        <v>583</v>
      </c>
      <c r="G5680" t="s">
        <v>584</v>
      </c>
      <c r="H5680" t="s">
        <v>584</v>
      </c>
      <c r="I5680" t="s">
        <v>585</v>
      </c>
    </row>
    <row r="5681" spans="1:9" x14ac:dyDescent="0.25">
      <c r="A5681" s="1" t="str">
        <f>HYPERLINK("https://lynxcrm-apac--c.eu19.visual.force.com/0011i000001xoajAAA","Wong, Ching Chiew Raymond")</f>
        <v>Wong, Ching Chiew Raymond</v>
      </c>
      <c r="B5681" t="s">
        <v>10333</v>
      </c>
      <c r="C5681" t="s">
        <v>28</v>
      </c>
      <c r="D5681" t="s">
        <v>429</v>
      </c>
      <c r="E5681" t="s">
        <v>8</v>
      </c>
      <c r="F5681" t="s">
        <v>234</v>
      </c>
      <c r="G5681" t="s">
        <v>428</v>
      </c>
      <c r="H5681" t="s">
        <v>1320</v>
      </c>
      <c r="I5681" t="s">
        <v>430</v>
      </c>
    </row>
    <row r="5682" spans="1:9" x14ac:dyDescent="0.25">
      <c r="A5682" s="1" t="str">
        <f>HYPERLINK("https://lynxcrm-apac--c.eu19.visual.force.com/0011i000001xoajAAA","Wong, Ching Chiew Raymond")</f>
        <v>Wong, Ching Chiew Raymond</v>
      </c>
      <c r="B5682" t="s">
        <v>10333</v>
      </c>
      <c r="C5682" t="s">
        <v>28</v>
      </c>
      <c r="D5682" t="s">
        <v>429</v>
      </c>
      <c r="E5682" t="s">
        <v>8</v>
      </c>
      <c r="F5682" t="s">
        <v>429</v>
      </c>
      <c r="G5682" t="s">
        <v>428</v>
      </c>
      <c r="H5682" t="s">
        <v>428</v>
      </c>
      <c r="I5682" t="s">
        <v>430</v>
      </c>
    </row>
    <row r="5683" spans="1:9" x14ac:dyDescent="0.25">
      <c r="A5683" s="1" t="str">
        <f>HYPERLINK("https://lynxcrm-apac--c.eu19.visual.force.com/0011i000001xoruAAA","Wong, Chiu Kit Edmund")</f>
        <v>Wong, Chiu Kit Edmund</v>
      </c>
      <c r="B5683" t="s">
        <v>10334</v>
      </c>
      <c r="C5683" t="s">
        <v>28</v>
      </c>
      <c r="D5683" t="s">
        <v>583</v>
      </c>
      <c r="E5683" t="s">
        <v>8</v>
      </c>
      <c r="F5683" t="s">
        <v>583</v>
      </c>
      <c r="G5683" t="s">
        <v>584</v>
      </c>
      <c r="H5683" t="s">
        <v>584</v>
      </c>
      <c r="I5683" t="s">
        <v>585</v>
      </c>
    </row>
    <row r="5684" spans="1:9" x14ac:dyDescent="0.25">
      <c r="A5684" s="1" t="str">
        <f>HYPERLINK("https://lynxcrm-apac--c.eu19.visual.force.com/0011i000001xnvqAAA","Wong, Choo Mok")</f>
        <v>Wong, Choo Mok</v>
      </c>
      <c r="B5684" t="s">
        <v>10335</v>
      </c>
      <c r="C5684" t="s">
        <v>28</v>
      </c>
      <c r="D5684" t="s">
        <v>10336</v>
      </c>
      <c r="E5684" t="s">
        <v>8</v>
      </c>
      <c r="F5684" t="s">
        <v>10337</v>
      </c>
      <c r="G5684" t="s">
        <v>9205</v>
      </c>
      <c r="H5684" t="s">
        <v>10338</v>
      </c>
      <c r="I5684" t="s">
        <v>10339</v>
      </c>
    </row>
    <row r="5685" spans="1:9" x14ac:dyDescent="0.25">
      <c r="A5685" s="1" t="str">
        <f>HYPERLINK("https://lynxcrm-apac--c.eu19.visual.force.com/0011i000001xoLhAAI","Wong, Choo Wai")</f>
        <v>Wong, Choo Wai</v>
      </c>
      <c r="B5685" t="s">
        <v>10340</v>
      </c>
      <c r="C5685" t="s">
        <v>28</v>
      </c>
      <c r="D5685" t="s">
        <v>10341</v>
      </c>
      <c r="E5685" t="s">
        <v>8</v>
      </c>
      <c r="F5685" t="s">
        <v>829</v>
      </c>
      <c r="G5685" t="s">
        <v>830</v>
      </c>
      <c r="H5685" t="s">
        <v>830</v>
      </c>
      <c r="I5685" t="s">
        <v>226</v>
      </c>
    </row>
    <row r="5686" spans="1:9" x14ac:dyDescent="0.25">
      <c r="A5686" s="1" t="str">
        <f>HYPERLINK("https://lynxcrm-apac--c.eu19.visual.force.com/0011i000001xo76AAA","Wong, Chow Yin")</f>
        <v>Wong, Chow Yin</v>
      </c>
      <c r="B5686" t="s">
        <v>10342</v>
      </c>
      <c r="C5686" t="s">
        <v>28</v>
      </c>
      <c r="D5686" t="s">
        <v>1242</v>
      </c>
      <c r="E5686" t="s">
        <v>8</v>
      </c>
      <c r="F5686" t="s">
        <v>252</v>
      </c>
      <c r="G5686" t="s">
        <v>251</v>
      </c>
      <c r="H5686" t="s">
        <v>251</v>
      </c>
      <c r="I5686" t="s">
        <v>253</v>
      </c>
    </row>
    <row r="5687" spans="1:9" x14ac:dyDescent="0.25">
      <c r="A5687" s="1" t="str">
        <f>HYPERLINK("https://lynxcrm-apac--c.eu19.visual.force.com/0011i000001xo76AAA","Wong, Chow Yin")</f>
        <v>Wong, Chow Yin</v>
      </c>
      <c r="B5687" t="s">
        <v>10342</v>
      </c>
      <c r="C5687" t="s">
        <v>28</v>
      </c>
      <c r="D5687" t="s">
        <v>251</v>
      </c>
      <c r="E5687" t="s">
        <v>8</v>
      </c>
      <c r="F5687" t="s">
        <v>251</v>
      </c>
      <c r="G5687" t="s">
        <v>252</v>
      </c>
      <c r="H5687" t="s">
        <v>252</v>
      </c>
      <c r="I5687" t="s">
        <v>253</v>
      </c>
    </row>
    <row r="5688" spans="1:9" x14ac:dyDescent="0.25">
      <c r="A5688" s="1" t="str">
        <f>HYPERLINK("https://lynxcrm-apac--c.eu19.visual.force.com/0011i000001xoOqAAI","Wong, Chun Ping Don")</f>
        <v>Wong, Chun Ping Don</v>
      </c>
      <c r="B5688" t="s">
        <v>10343</v>
      </c>
      <c r="C5688" t="s">
        <v>28</v>
      </c>
      <c r="D5688" t="s">
        <v>10344</v>
      </c>
      <c r="E5688" t="s">
        <v>8</v>
      </c>
      <c r="F5688" t="s">
        <v>10345</v>
      </c>
      <c r="G5688" t="s">
        <v>10346</v>
      </c>
      <c r="H5688" t="s">
        <v>10346</v>
      </c>
      <c r="I5688" t="s">
        <v>1982</v>
      </c>
    </row>
    <row r="5689" spans="1:9" x14ac:dyDescent="0.25">
      <c r="A5689" s="1" t="str">
        <f t="shared" ref="A5689:A5694" si="52">HYPERLINK("https://lynxcrm-apac--c.eu19.visual.force.com/0011i000001xo8CAAQ","Wong, Chun Pong Cliff")</f>
        <v>Wong, Chun Pong Cliff</v>
      </c>
      <c r="B5689" t="s">
        <v>10347</v>
      </c>
      <c r="C5689" t="s">
        <v>28</v>
      </c>
      <c r="D5689" t="s">
        <v>501</v>
      </c>
      <c r="E5689" t="s">
        <v>8</v>
      </c>
      <c r="F5689" t="s">
        <v>501</v>
      </c>
      <c r="G5689" t="s">
        <v>502</v>
      </c>
      <c r="H5689" t="s">
        <v>502</v>
      </c>
      <c r="I5689" t="s">
        <v>506</v>
      </c>
    </row>
    <row r="5690" spans="1:9" x14ac:dyDescent="0.25">
      <c r="A5690" s="1" t="str">
        <f t="shared" si="52"/>
        <v>Wong, Chun Pong Cliff</v>
      </c>
      <c r="B5690" t="s">
        <v>10347</v>
      </c>
      <c r="C5690" t="s">
        <v>28</v>
      </c>
      <c r="D5690" t="s">
        <v>501</v>
      </c>
      <c r="E5690" t="s">
        <v>8</v>
      </c>
      <c r="F5690" t="s">
        <v>502</v>
      </c>
      <c r="G5690" t="s">
        <v>502</v>
      </c>
      <c r="H5690" t="s">
        <v>503</v>
      </c>
      <c r="I5690" t="s">
        <v>504</v>
      </c>
    </row>
    <row r="5691" spans="1:9" x14ac:dyDescent="0.25">
      <c r="A5691" s="1" t="str">
        <f t="shared" si="52"/>
        <v>Wong, Chun Pong Cliff</v>
      </c>
      <c r="B5691" t="s">
        <v>10347</v>
      </c>
      <c r="C5691" t="s">
        <v>28</v>
      </c>
      <c r="D5691" t="s">
        <v>501</v>
      </c>
      <c r="E5691" t="s">
        <v>8</v>
      </c>
      <c r="F5691" t="s">
        <v>246</v>
      </c>
      <c r="G5691" t="s">
        <v>502</v>
      </c>
      <c r="H5691" t="s">
        <v>503</v>
      </c>
      <c r="I5691" t="s">
        <v>504</v>
      </c>
    </row>
    <row r="5692" spans="1:9" x14ac:dyDescent="0.25">
      <c r="A5692" s="1" t="str">
        <f t="shared" si="52"/>
        <v>Wong, Chun Pong Cliff</v>
      </c>
      <c r="B5692" t="s">
        <v>10347</v>
      </c>
      <c r="C5692" t="s">
        <v>28</v>
      </c>
      <c r="D5692" t="s">
        <v>501</v>
      </c>
      <c r="E5692" t="s">
        <v>8</v>
      </c>
      <c r="F5692" t="s">
        <v>246</v>
      </c>
      <c r="G5692" t="s">
        <v>502</v>
      </c>
      <c r="H5692" t="s">
        <v>503</v>
      </c>
      <c r="I5692" t="s">
        <v>505</v>
      </c>
    </row>
    <row r="5693" spans="1:9" x14ac:dyDescent="0.25">
      <c r="A5693" s="1" t="str">
        <f t="shared" si="52"/>
        <v>Wong, Chun Pong Cliff</v>
      </c>
      <c r="B5693" t="s">
        <v>10347</v>
      </c>
      <c r="C5693" t="s">
        <v>28</v>
      </c>
      <c r="D5693" t="s">
        <v>501</v>
      </c>
      <c r="E5693" t="s">
        <v>8</v>
      </c>
      <c r="F5693" t="s">
        <v>234</v>
      </c>
      <c r="G5693" t="s">
        <v>502</v>
      </c>
      <c r="H5693" t="s">
        <v>503</v>
      </c>
      <c r="I5693" t="s">
        <v>504</v>
      </c>
    </row>
    <row r="5694" spans="1:9" x14ac:dyDescent="0.25">
      <c r="A5694" s="1" t="str">
        <f t="shared" si="52"/>
        <v>Wong, Chun Pong Cliff</v>
      </c>
      <c r="B5694" t="s">
        <v>10347</v>
      </c>
      <c r="C5694" t="s">
        <v>28</v>
      </c>
      <c r="D5694" t="s">
        <v>501</v>
      </c>
      <c r="E5694" t="s">
        <v>8</v>
      </c>
      <c r="F5694" t="s">
        <v>359</v>
      </c>
      <c r="G5694" t="s">
        <v>502</v>
      </c>
      <c r="H5694" t="s">
        <v>503</v>
      </c>
      <c r="I5694" t="s">
        <v>506</v>
      </c>
    </row>
    <row r="5695" spans="1:9" x14ac:dyDescent="0.25">
      <c r="A5695" s="1" t="str">
        <f>HYPERLINK("https://lynxcrm-apac--c.eu19.visual.force.com/0011i00000S3HHpAAN","Wong, Cynthia Sze Mun")</f>
        <v>Wong, Cynthia Sze Mun</v>
      </c>
      <c r="B5695" t="s">
        <v>10348</v>
      </c>
      <c r="C5695" t="s">
        <v>28</v>
      </c>
      <c r="D5695" t="s">
        <v>147</v>
      </c>
      <c r="E5695" t="s">
        <v>8</v>
      </c>
      <c r="F5695" t="s">
        <v>147</v>
      </c>
      <c r="G5695" t="s">
        <v>148</v>
      </c>
      <c r="H5695" t="s">
        <v>148</v>
      </c>
      <c r="I5695" t="s">
        <v>149</v>
      </c>
    </row>
    <row r="5696" spans="1:9" x14ac:dyDescent="0.25">
      <c r="A5696" s="1" t="str">
        <f>HYPERLINK("https://lynxcrm-apac--c.eu19.visual.force.com/0011i000001xo77AAA","Wong, En Ai Adelina")</f>
        <v>Wong, En Ai Adelina</v>
      </c>
      <c r="B5696" t="s">
        <v>10349</v>
      </c>
      <c r="C5696" t="s">
        <v>28</v>
      </c>
      <c r="D5696" t="s">
        <v>10350</v>
      </c>
      <c r="E5696" t="s">
        <v>8</v>
      </c>
      <c r="F5696" t="s">
        <v>263</v>
      </c>
      <c r="G5696" t="s">
        <v>290</v>
      </c>
      <c r="H5696" t="s">
        <v>291</v>
      </c>
      <c r="I5696" t="s">
        <v>266</v>
      </c>
    </row>
    <row r="5697" spans="1:9" x14ac:dyDescent="0.25">
      <c r="A5697" s="1" t="str">
        <f>HYPERLINK("https://lynxcrm-apac--c.eu19.visual.force.com/0011i000001xoFhAAI","Wong, Ern Yoong Chris")</f>
        <v>Wong, Ern Yoong Chris</v>
      </c>
      <c r="B5697" t="s">
        <v>10351</v>
      </c>
      <c r="C5697" t="s">
        <v>28</v>
      </c>
      <c r="D5697" t="s">
        <v>368</v>
      </c>
      <c r="E5697" t="s">
        <v>8</v>
      </c>
      <c r="F5697" t="s">
        <v>258</v>
      </c>
      <c r="G5697" t="s">
        <v>261</v>
      </c>
      <c r="H5697" t="s">
        <v>261</v>
      </c>
      <c r="I5697" t="s">
        <v>260</v>
      </c>
    </row>
    <row r="5698" spans="1:9" x14ac:dyDescent="0.25">
      <c r="A5698" s="1" t="str">
        <f>HYPERLINK("https://lynxcrm-apac--c.eu19.visual.force.com/0011i000001xoFhAAI","Wong, Ern Yoong Chris")</f>
        <v>Wong, Ern Yoong Chris</v>
      </c>
      <c r="B5698" t="s">
        <v>10351</v>
      </c>
      <c r="C5698" t="s">
        <v>28</v>
      </c>
      <c r="D5698" t="s">
        <v>261</v>
      </c>
      <c r="E5698" t="s">
        <v>8</v>
      </c>
      <c r="F5698" t="s">
        <v>261</v>
      </c>
      <c r="G5698" t="s">
        <v>347</v>
      </c>
      <c r="H5698" t="s">
        <v>347</v>
      </c>
      <c r="I5698" t="s">
        <v>260</v>
      </c>
    </row>
    <row r="5699" spans="1:9" x14ac:dyDescent="0.25">
      <c r="A5699" s="1" t="str">
        <f>HYPERLINK("https://lynxcrm-apac--c.eu19.visual.force.com/0011i000007DNMNAA4","Wong, Franco")</f>
        <v>Wong, Franco</v>
      </c>
      <c r="B5699" t="s">
        <v>10352</v>
      </c>
      <c r="C5699" t="s">
        <v>28</v>
      </c>
      <c r="D5699" t="s">
        <v>709</v>
      </c>
      <c r="E5699" t="s">
        <v>8</v>
      </c>
      <c r="F5699" t="s">
        <v>710</v>
      </c>
      <c r="G5699" t="s">
        <v>135</v>
      </c>
      <c r="H5699" t="s">
        <v>135</v>
      </c>
      <c r="I5699" t="s">
        <v>711</v>
      </c>
    </row>
    <row r="5700" spans="1:9" x14ac:dyDescent="0.25">
      <c r="A5700" s="1" t="str">
        <f>HYPERLINK("https://lynxcrm-apac--c.eu19.visual.force.com/0011i000001xo9FAAQ","Wong, Heng Yu")</f>
        <v>Wong, Heng Yu</v>
      </c>
      <c r="B5700" t="s">
        <v>10353</v>
      </c>
      <c r="C5700" t="s">
        <v>28</v>
      </c>
      <c r="D5700" t="s">
        <v>261</v>
      </c>
      <c r="E5700" t="s">
        <v>8</v>
      </c>
      <c r="F5700" t="s">
        <v>261</v>
      </c>
      <c r="G5700" t="s">
        <v>347</v>
      </c>
      <c r="H5700" t="s">
        <v>347</v>
      </c>
      <c r="I5700" t="s">
        <v>260</v>
      </c>
    </row>
    <row r="5701" spans="1:9" x14ac:dyDescent="0.25">
      <c r="A5701" s="1" t="str">
        <f>HYPERLINK("https://lynxcrm-apac--c.eu19.visual.force.com/0011i000001xo9FAAQ","Wong, Heng Yu")</f>
        <v>Wong, Heng Yu</v>
      </c>
      <c r="B5701" t="s">
        <v>10353</v>
      </c>
      <c r="C5701" t="s">
        <v>28</v>
      </c>
      <c r="D5701" t="s">
        <v>586</v>
      </c>
      <c r="E5701" t="s">
        <v>8</v>
      </c>
      <c r="F5701" t="s">
        <v>258</v>
      </c>
      <c r="G5701" t="s">
        <v>261</v>
      </c>
      <c r="H5701" t="s">
        <v>261</v>
      </c>
      <c r="I5701" t="s">
        <v>260</v>
      </c>
    </row>
    <row r="5702" spans="1:9" x14ac:dyDescent="0.25">
      <c r="A5702" s="1" t="str">
        <f>HYPERLINK("https://lynxcrm-apac--c.eu19.visual.force.com/0011i000001xofLAAQ","Wong, Him Choon David")</f>
        <v>Wong, Him Choon David</v>
      </c>
      <c r="B5702" t="s">
        <v>10354</v>
      </c>
      <c r="C5702" t="s">
        <v>28</v>
      </c>
      <c r="D5702" t="s">
        <v>164</v>
      </c>
      <c r="E5702" t="s">
        <v>8</v>
      </c>
      <c r="F5702" t="s">
        <v>427</v>
      </c>
      <c r="G5702" t="s">
        <v>2285</v>
      </c>
      <c r="H5702" t="s">
        <v>242</v>
      </c>
      <c r="I5702" t="s">
        <v>165</v>
      </c>
    </row>
    <row r="5703" spans="1:9" x14ac:dyDescent="0.25">
      <c r="A5703" s="1" t="str">
        <f>HYPERLINK("https://lynxcrm-apac--c.eu19.visual.force.com/0011i000001xoYNAAY","Wong, Hon Tym")</f>
        <v>Wong, Hon Tym</v>
      </c>
      <c r="B5703" t="s">
        <v>10355</v>
      </c>
      <c r="C5703" t="s">
        <v>28</v>
      </c>
      <c r="D5703" t="s">
        <v>1318</v>
      </c>
      <c r="E5703" t="s">
        <v>8</v>
      </c>
      <c r="F5703" t="s">
        <v>258</v>
      </c>
      <c r="G5703" t="s">
        <v>261</v>
      </c>
      <c r="H5703" t="s">
        <v>261</v>
      </c>
      <c r="I5703" t="s">
        <v>260</v>
      </c>
    </row>
    <row r="5704" spans="1:9" x14ac:dyDescent="0.25">
      <c r="A5704" s="1" t="str">
        <f>HYPERLINK("https://lynxcrm-apac--c.eu19.visual.force.com/0011i000001xoYNAAY","Wong, Hon Tym")</f>
        <v>Wong, Hon Tym</v>
      </c>
      <c r="B5704" t="s">
        <v>10355</v>
      </c>
      <c r="C5704" t="s">
        <v>28</v>
      </c>
      <c r="D5704" t="s">
        <v>261</v>
      </c>
      <c r="E5704" t="s">
        <v>8</v>
      </c>
      <c r="F5704" t="s">
        <v>261</v>
      </c>
      <c r="G5704" t="s">
        <v>347</v>
      </c>
      <c r="H5704" t="s">
        <v>347</v>
      </c>
      <c r="I5704" t="s">
        <v>260</v>
      </c>
    </row>
    <row r="5705" spans="1:9" x14ac:dyDescent="0.25">
      <c r="A5705" s="1" t="str">
        <f>HYPERLINK("https://lynxcrm-apac--c.eu19.visual.force.com/0011i000001xnkMAAQ","Wong, Janice")</f>
        <v>Wong, Janice</v>
      </c>
      <c r="B5705" t="s">
        <v>10356</v>
      </c>
      <c r="C5705" t="s">
        <v>28</v>
      </c>
      <c r="D5705" t="s">
        <v>516</v>
      </c>
      <c r="E5705" t="s">
        <v>8</v>
      </c>
      <c r="F5705" t="s">
        <v>517</v>
      </c>
      <c r="G5705" t="s">
        <v>517</v>
      </c>
      <c r="H5705" t="s">
        <v>8</v>
      </c>
      <c r="I5705" t="s">
        <v>518</v>
      </c>
    </row>
    <row r="5706" spans="1:9" x14ac:dyDescent="0.25">
      <c r="A5706" s="1" t="str">
        <f>HYPERLINK("https://lynxcrm-apac--c.eu19.visual.force.com/0011i000001xoOeAAI","Wong, Jansen")</f>
        <v>Wong, Jansen</v>
      </c>
      <c r="B5706" t="s">
        <v>10357</v>
      </c>
      <c r="C5706" t="s">
        <v>28</v>
      </c>
      <c r="D5706" t="s">
        <v>6126</v>
      </c>
      <c r="E5706" t="s">
        <v>8</v>
      </c>
      <c r="F5706" t="s">
        <v>6127</v>
      </c>
      <c r="G5706" t="s">
        <v>6128</v>
      </c>
      <c r="H5706" t="s">
        <v>6129</v>
      </c>
      <c r="I5706" t="s">
        <v>6130</v>
      </c>
    </row>
    <row r="5707" spans="1:9" x14ac:dyDescent="0.25">
      <c r="A5707" s="1" t="str">
        <f>HYPERLINK("https://lynxcrm-apac--c.eu19.visual.force.com/0011i000001xoPPAAY","Wong, Janti Susanna")</f>
        <v>Wong, Janti Susanna</v>
      </c>
      <c r="B5707" t="s">
        <v>10358</v>
      </c>
      <c r="C5707" t="s">
        <v>28</v>
      </c>
      <c r="D5707" t="s">
        <v>10359</v>
      </c>
      <c r="E5707" t="s">
        <v>8</v>
      </c>
      <c r="F5707" t="s">
        <v>4111</v>
      </c>
      <c r="G5707" t="s">
        <v>4112</v>
      </c>
      <c r="H5707" t="s">
        <v>4112</v>
      </c>
      <c r="I5707" t="s">
        <v>410</v>
      </c>
    </row>
    <row r="5708" spans="1:9" x14ac:dyDescent="0.25">
      <c r="A5708" s="1" t="str">
        <f>HYPERLINK("https://lynxcrm-apac--c.eu19.visual.force.com/0011i000001xo9HAAQ","Wong, Jee Pao")</f>
        <v>Wong, Jee Pao</v>
      </c>
      <c r="B5708" t="s">
        <v>10360</v>
      </c>
      <c r="C5708" t="s">
        <v>28</v>
      </c>
      <c r="D5708" t="s">
        <v>10361</v>
      </c>
      <c r="E5708" t="s">
        <v>8</v>
      </c>
      <c r="F5708" t="s">
        <v>10362</v>
      </c>
      <c r="G5708" t="s">
        <v>10363</v>
      </c>
      <c r="H5708" t="s">
        <v>10363</v>
      </c>
      <c r="I5708" t="s">
        <v>9538</v>
      </c>
    </row>
    <row r="5709" spans="1:9" x14ac:dyDescent="0.25">
      <c r="A5709" s="1" t="str">
        <f>HYPERLINK("https://lynxcrm-apac--c.eu19.visual.force.com/0011i00000ix3JVAAY","Wong, Jen San")</f>
        <v>Wong, Jen San</v>
      </c>
      <c r="B5709" t="s">
        <v>10364</v>
      </c>
      <c r="C5709" t="s">
        <v>28</v>
      </c>
      <c r="D5709" t="s">
        <v>10365</v>
      </c>
      <c r="E5709" t="s">
        <v>8</v>
      </c>
      <c r="F5709" t="s">
        <v>10366</v>
      </c>
      <c r="G5709" t="s">
        <v>388</v>
      </c>
      <c r="H5709" t="s">
        <v>8</v>
      </c>
      <c r="I5709" t="s">
        <v>123</v>
      </c>
    </row>
    <row r="5710" spans="1:9" x14ac:dyDescent="0.25">
      <c r="A5710" s="1" t="str">
        <f t="shared" ref="A5710:A5722" si="53">HYPERLINK("https://lynxcrm-apac--c.eu19.visual.force.com/0011i000001xniLAAQ","Wong, Jen San")</f>
        <v>Wong, Jen San</v>
      </c>
      <c r="B5710" t="s">
        <v>10367</v>
      </c>
      <c r="C5710" t="s">
        <v>28</v>
      </c>
      <c r="D5710" t="s">
        <v>164</v>
      </c>
      <c r="E5710" t="s">
        <v>8</v>
      </c>
      <c r="F5710" t="s">
        <v>245</v>
      </c>
      <c r="G5710" t="s">
        <v>163</v>
      </c>
      <c r="H5710" t="s">
        <v>163</v>
      </c>
      <c r="I5710" t="s">
        <v>165</v>
      </c>
    </row>
    <row r="5711" spans="1:9" x14ac:dyDescent="0.25">
      <c r="A5711" s="1" t="str">
        <f t="shared" si="53"/>
        <v>Wong, Jen San</v>
      </c>
      <c r="B5711" t="s">
        <v>10367</v>
      </c>
      <c r="C5711" t="s">
        <v>28</v>
      </c>
      <c r="D5711" t="s">
        <v>164</v>
      </c>
      <c r="E5711" t="s">
        <v>8</v>
      </c>
      <c r="F5711" t="s">
        <v>236</v>
      </c>
      <c r="G5711" t="s">
        <v>237</v>
      </c>
      <c r="H5711" t="s">
        <v>237</v>
      </c>
      <c r="I5711" t="s">
        <v>165</v>
      </c>
    </row>
    <row r="5712" spans="1:9" x14ac:dyDescent="0.25">
      <c r="A5712" s="1" t="str">
        <f t="shared" si="53"/>
        <v>Wong, Jen San</v>
      </c>
      <c r="B5712" t="s">
        <v>10367</v>
      </c>
      <c r="C5712" t="s">
        <v>28</v>
      </c>
      <c r="D5712" t="s">
        <v>164</v>
      </c>
      <c r="E5712" t="s">
        <v>8</v>
      </c>
      <c r="F5712" t="s">
        <v>238</v>
      </c>
      <c r="G5712" t="s">
        <v>163</v>
      </c>
      <c r="H5712" t="s">
        <v>163</v>
      </c>
      <c r="I5712" t="s">
        <v>165</v>
      </c>
    </row>
    <row r="5713" spans="1:9" x14ac:dyDescent="0.25">
      <c r="A5713" s="1" t="str">
        <f t="shared" si="53"/>
        <v>Wong, Jen San</v>
      </c>
      <c r="B5713" t="s">
        <v>10367</v>
      </c>
      <c r="C5713" t="s">
        <v>28</v>
      </c>
      <c r="D5713" t="s">
        <v>164</v>
      </c>
      <c r="E5713" t="s">
        <v>8</v>
      </c>
      <c r="F5713" t="s">
        <v>239</v>
      </c>
      <c r="G5713" t="s">
        <v>163</v>
      </c>
      <c r="H5713" t="s">
        <v>163</v>
      </c>
      <c r="I5713" t="s">
        <v>165</v>
      </c>
    </row>
    <row r="5714" spans="1:9" x14ac:dyDescent="0.25">
      <c r="A5714" s="1" t="str">
        <f t="shared" si="53"/>
        <v>Wong, Jen San</v>
      </c>
      <c r="B5714" t="s">
        <v>10367</v>
      </c>
      <c r="C5714" t="s">
        <v>28</v>
      </c>
      <c r="D5714" t="s">
        <v>164</v>
      </c>
      <c r="E5714" t="s">
        <v>8</v>
      </c>
      <c r="F5714" t="s">
        <v>240</v>
      </c>
      <c r="G5714" t="s">
        <v>163</v>
      </c>
      <c r="H5714" t="s">
        <v>163</v>
      </c>
      <c r="I5714" t="s">
        <v>165</v>
      </c>
    </row>
    <row r="5715" spans="1:9" x14ac:dyDescent="0.25">
      <c r="A5715" s="1" t="str">
        <f t="shared" si="53"/>
        <v>Wong, Jen San</v>
      </c>
      <c r="B5715" t="s">
        <v>10367</v>
      </c>
      <c r="C5715" t="s">
        <v>28</v>
      </c>
      <c r="D5715" t="s">
        <v>164</v>
      </c>
      <c r="E5715" t="s">
        <v>8</v>
      </c>
      <c r="F5715" t="s">
        <v>234</v>
      </c>
      <c r="G5715" t="s">
        <v>163</v>
      </c>
      <c r="H5715" t="s">
        <v>163</v>
      </c>
      <c r="I5715" t="s">
        <v>235</v>
      </c>
    </row>
    <row r="5716" spans="1:9" x14ac:dyDescent="0.25">
      <c r="A5716" s="1" t="str">
        <f t="shared" si="53"/>
        <v>Wong, Jen San</v>
      </c>
      <c r="B5716" t="s">
        <v>10367</v>
      </c>
      <c r="C5716" t="s">
        <v>28</v>
      </c>
      <c r="D5716" t="s">
        <v>164</v>
      </c>
      <c r="E5716" t="s">
        <v>8</v>
      </c>
      <c r="F5716" t="s">
        <v>241</v>
      </c>
      <c r="G5716" t="s">
        <v>163</v>
      </c>
      <c r="H5716" t="s">
        <v>242</v>
      </c>
      <c r="I5716" t="s">
        <v>165</v>
      </c>
    </row>
    <row r="5717" spans="1:9" x14ac:dyDescent="0.25">
      <c r="A5717" s="1" t="str">
        <f t="shared" si="53"/>
        <v>Wong, Jen San</v>
      </c>
      <c r="B5717" t="s">
        <v>10367</v>
      </c>
      <c r="C5717" t="s">
        <v>28</v>
      </c>
      <c r="D5717" t="s">
        <v>164</v>
      </c>
      <c r="E5717" t="s">
        <v>8</v>
      </c>
      <c r="F5717" t="s">
        <v>243</v>
      </c>
      <c r="G5717" t="s">
        <v>163</v>
      </c>
      <c r="H5717" t="s">
        <v>163</v>
      </c>
      <c r="I5717" t="s">
        <v>244</v>
      </c>
    </row>
    <row r="5718" spans="1:9" x14ac:dyDescent="0.25">
      <c r="A5718" s="1" t="str">
        <f t="shared" si="53"/>
        <v>Wong, Jen San</v>
      </c>
      <c r="B5718" t="s">
        <v>10367</v>
      </c>
      <c r="C5718" t="s">
        <v>28</v>
      </c>
      <c r="D5718" t="s">
        <v>164</v>
      </c>
      <c r="E5718" t="s">
        <v>8</v>
      </c>
      <c r="F5718" t="s">
        <v>246</v>
      </c>
      <c r="G5718" t="s">
        <v>163</v>
      </c>
      <c r="H5718" t="s">
        <v>163</v>
      </c>
      <c r="I5718" t="s">
        <v>244</v>
      </c>
    </row>
    <row r="5719" spans="1:9" x14ac:dyDescent="0.25">
      <c r="A5719" s="1" t="str">
        <f t="shared" si="53"/>
        <v>Wong, Jen San</v>
      </c>
      <c r="B5719" t="s">
        <v>10367</v>
      </c>
      <c r="C5719" t="s">
        <v>28</v>
      </c>
      <c r="D5719" t="s">
        <v>164</v>
      </c>
      <c r="E5719" t="s">
        <v>8</v>
      </c>
      <c r="F5719" t="s">
        <v>247</v>
      </c>
      <c r="G5719" t="s">
        <v>163</v>
      </c>
      <c r="H5719" t="s">
        <v>242</v>
      </c>
      <c r="I5719" t="s">
        <v>165</v>
      </c>
    </row>
    <row r="5720" spans="1:9" x14ac:dyDescent="0.25">
      <c r="A5720" s="1" t="str">
        <f t="shared" si="53"/>
        <v>Wong, Jen San</v>
      </c>
      <c r="B5720" t="s">
        <v>10367</v>
      </c>
      <c r="C5720" t="s">
        <v>28</v>
      </c>
      <c r="D5720" t="s">
        <v>164</v>
      </c>
      <c r="E5720" t="s">
        <v>8</v>
      </c>
      <c r="F5720" t="s">
        <v>248</v>
      </c>
      <c r="G5720" t="s">
        <v>163</v>
      </c>
      <c r="H5720" t="s">
        <v>242</v>
      </c>
      <c r="I5720" t="s">
        <v>165</v>
      </c>
    </row>
    <row r="5721" spans="1:9" x14ac:dyDescent="0.25">
      <c r="A5721" s="1" t="str">
        <f t="shared" si="53"/>
        <v>Wong, Jen San</v>
      </c>
      <c r="B5721" t="s">
        <v>10367</v>
      </c>
      <c r="C5721" t="s">
        <v>28</v>
      </c>
      <c r="D5721" t="s">
        <v>164</v>
      </c>
      <c r="E5721" t="s">
        <v>8</v>
      </c>
      <c r="F5721" t="s">
        <v>249</v>
      </c>
      <c r="G5721" t="s">
        <v>163</v>
      </c>
      <c r="H5721" t="s">
        <v>163</v>
      </c>
      <c r="I5721" t="s">
        <v>165</v>
      </c>
    </row>
    <row r="5722" spans="1:9" x14ac:dyDescent="0.25">
      <c r="A5722" s="1" t="str">
        <f t="shared" si="53"/>
        <v>Wong, Jen San</v>
      </c>
      <c r="B5722" t="s">
        <v>10367</v>
      </c>
      <c r="C5722" t="s">
        <v>28</v>
      </c>
      <c r="D5722" t="s">
        <v>164</v>
      </c>
      <c r="E5722" t="s">
        <v>8</v>
      </c>
      <c r="F5722" t="s">
        <v>234</v>
      </c>
      <c r="G5722" t="s">
        <v>163</v>
      </c>
      <c r="H5722" t="s">
        <v>163</v>
      </c>
      <c r="I5722" t="s">
        <v>244</v>
      </c>
    </row>
    <row r="5723" spans="1:9" x14ac:dyDescent="0.25">
      <c r="A5723" s="1" t="str">
        <f>HYPERLINK("https://lynxcrm-apac--c.eu19.visual.force.com/0011i00000vHmMUAA0","Wong, Jeslin Yun Wen")</f>
        <v>Wong, Jeslin Yun Wen</v>
      </c>
      <c r="B5723" t="s">
        <v>10368</v>
      </c>
      <c r="C5723" t="s">
        <v>28</v>
      </c>
      <c r="D5723" t="s">
        <v>21</v>
      </c>
      <c r="E5723" t="s">
        <v>8</v>
      </c>
      <c r="F5723" t="s">
        <v>699</v>
      </c>
      <c r="G5723" t="s">
        <v>699</v>
      </c>
      <c r="H5723" t="s">
        <v>8</v>
      </c>
      <c r="I5723" t="s">
        <v>22</v>
      </c>
    </row>
    <row r="5724" spans="1:9" x14ac:dyDescent="0.25">
      <c r="A5724" s="1" t="str">
        <f>HYPERLINK("https://lynxcrm-apac--c.eu19.visual.force.com/0011i000001xo80AAA","Wong, Jiun")</f>
        <v>Wong, Jiun</v>
      </c>
      <c r="B5724" t="s">
        <v>10369</v>
      </c>
      <c r="C5724" t="s">
        <v>28</v>
      </c>
      <c r="D5724" t="s">
        <v>251</v>
      </c>
      <c r="E5724" t="s">
        <v>8</v>
      </c>
      <c r="F5724" t="s">
        <v>251</v>
      </c>
      <c r="G5724" t="s">
        <v>252</v>
      </c>
      <c r="H5724" t="s">
        <v>252</v>
      </c>
      <c r="I5724" t="s">
        <v>253</v>
      </c>
    </row>
    <row r="5725" spans="1:9" x14ac:dyDescent="0.25">
      <c r="A5725" s="1" t="str">
        <f>HYPERLINK("https://lynxcrm-apac--c.eu19.visual.force.com/0011i000001xoP2AAI","Wong, Joanna")</f>
        <v>Wong, Joanna</v>
      </c>
      <c r="B5725" t="s">
        <v>10370</v>
      </c>
      <c r="C5725" t="s">
        <v>28</v>
      </c>
      <c r="D5725" t="s">
        <v>3194</v>
      </c>
      <c r="E5725" t="s">
        <v>8</v>
      </c>
      <c r="F5725" t="s">
        <v>2837</v>
      </c>
      <c r="G5725" t="s">
        <v>2838</v>
      </c>
      <c r="H5725" t="s">
        <v>2838</v>
      </c>
      <c r="I5725" t="s">
        <v>2840</v>
      </c>
    </row>
    <row r="5726" spans="1:9" x14ac:dyDescent="0.25">
      <c r="A5726" s="1" t="str">
        <f>HYPERLINK("https://lynxcrm-apac--c.eu19.visual.force.com/0011i000001xnvyAAA","Wong, Kai Cheong")</f>
        <v>Wong, Kai Cheong</v>
      </c>
      <c r="B5726" t="s">
        <v>10371</v>
      </c>
      <c r="C5726" t="s">
        <v>28</v>
      </c>
      <c r="D5726" t="s">
        <v>10372</v>
      </c>
      <c r="E5726" t="s">
        <v>8</v>
      </c>
      <c r="F5726" t="s">
        <v>10373</v>
      </c>
      <c r="G5726" t="s">
        <v>10300</v>
      </c>
      <c r="H5726" t="s">
        <v>10300</v>
      </c>
      <c r="I5726" t="s">
        <v>10301</v>
      </c>
    </row>
    <row r="5727" spans="1:9" x14ac:dyDescent="0.25">
      <c r="A5727" s="1" t="str">
        <f>HYPERLINK("https://lynxcrm-apac--c.eu19.visual.force.com/0011i000001xnvzAAA","Wong, Kai Peng")</f>
        <v>Wong, Kai Peng</v>
      </c>
      <c r="B5727" t="s">
        <v>10374</v>
      </c>
      <c r="C5727" t="s">
        <v>28</v>
      </c>
      <c r="D5727" t="s">
        <v>10375</v>
      </c>
      <c r="E5727" t="s">
        <v>8</v>
      </c>
      <c r="F5727" t="s">
        <v>4896</v>
      </c>
      <c r="G5727" t="s">
        <v>10376</v>
      </c>
      <c r="H5727" t="s">
        <v>10376</v>
      </c>
      <c r="I5727" t="s">
        <v>4898</v>
      </c>
    </row>
    <row r="5728" spans="1:9" x14ac:dyDescent="0.25">
      <c r="A5728" s="1" t="str">
        <f>HYPERLINK("https://lynxcrm-apac--c.eu19.visual.force.com/0011i000001xnw0AAA","Wong, Kai Sang")</f>
        <v>Wong, Kai Sang</v>
      </c>
      <c r="B5728" t="s">
        <v>10377</v>
      </c>
      <c r="C5728" t="s">
        <v>28</v>
      </c>
      <c r="D5728" t="s">
        <v>10378</v>
      </c>
      <c r="E5728" t="s">
        <v>8</v>
      </c>
      <c r="F5728" t="s">
        <v>6303</v>
      </c>
      <c r="G5728" t="s">
        <v>7004</v>
      </c>
      <c r="H5728" t="s">
        <v>7004</v>
      </c>
      <c r="I5728" t="s">
        <v>6030</v>
      </c>
    </row>
    <row r="5729" spans="1:9" x14ac:dyDescent="0.25">
      <c r="A5729" s="1" t="str">
        <f>HYPERLINK("https://lynxcrm-apac--c.eu19.visual.force.com/0011i00000Xf1IeAAJ","Wong, Karmen")</f>
        <v>Wong, Karmen</v>
      </c>
      <c r="B5729" t="s">
        <v>10379</v>
      </c>
      <c r="C5729" t="s">
        <v>28</v>
      </c>
      <c r="D5729" t="s">
        <v>10380</v>
      </c>
      <c r="E5729" t="s">
        <v>8</v>
      </c>
      <c r="F5729" t="s">
        <v>4448</v>
      </c>
      <c r="G5729" t="s">
        <v>65</v>
      </c>
      <c r="H5729" t="s">
        <v>8</v>
      </c>
      <c r="I5729" t="s">
        <v>67</v>
      </c>
    </row>
    <row r="5730" spans="1:9" x14ac:dyDescent="0.25">
      <c r="A5730" s="1" t="str">
        <f>HYPERLINK("https://lynxcrm-apac--c.eu19.visual.force.com/0011i000001xoRKAAY","Wong, Kay Wye Sabrina")</f>
        <v>Wong, Kay Wye Sabrina</v>
      </c>
      <c r="B5730" t="s">
        <v>10381</v>
      </c>
      <c r="C5730" t="s">
        <v>28</v>
      </c>
      <c r="D5730" t="s">
        <v>148</v>
      </c>
      <c r="E5730" t="s">
        <v>8</v>
      </c>
      <c r="F5730" t="s">
        <v>147</v>
      </c>
      <c r="G5730" t="s">
        <v>147</v>
      </c>
      <c r="H5730" t="s">
        <v>534</v>
      </c>
      <c r="I5730" t="s">
        <v>149</v>
      </c>
    </row>
    <row r="5731" spans="1:9" x14ac:dyDescent="0.25">
      <c r="A5731" s="1" t="str">
        <f>HYPERLINK("https://lynxcrm-apac--c.eu19.visual.force.com/0011i000001xoSZAAY","Wong, Khai Hong")</f>
        <v>Wong, Khai Hong</v>
      </c>
      <c r="B5731" t="s">
        <v>10382</v>
      </c>
      <c r="C5731" t="s">
        <v>28</v>
      </c>
      <c r="D5731" t="s">
        <v>701</v>
      </c>
      <c r="E5731" t="s">
        <v>8</v>
      </c>
      <c r="F5731" t="s">
        <v>1123</v>
      </c>
      <c r="G5731" t="s">
        <v>1123</v>
      </c>
      <c r="H5731" t="s">
        <v>1124</v>
      </c>
      <c r="I5731" t="s">
        <v>703</v>
      </c>
    </row>
    <row r="5732" spans="1:9" x14ac:dyDescent="0.25">
      <c r="A5732" s="1" t="str">
        <f>HYPERLINK("https://lynxcrm-apac--c.eu19.visual.force.com/0011i000001xoSZAAY","Wong, Khai Hong")</f>
        <v>Wong, Khai Hong</v>
      </c>
      <c r="B5732" t="s">
        <v>10382</v>
      </c>
      <c r="C5732" t="s">
        <v>28</v>
      </c>
      <c r="D5732" t="s">
        <v>701</v>
      </c>
      <c r="E5732" t="s">
        <v>8</v>
      </c>
      <c r="F5732" t="s">
        <v>1123</v>
      </c>
      <c r="G5732" t="s">
        <v>1123</v>
      </c>
      <c r="H5732" t="s">
        <v>8</v>
      </c>
      <c r="I5732" t="s">
        <v>703</v>
      </c>
    </row>
    <row r="5733" spans="1:9" x14ac:dyDescent="0.25">
      <c r="A5733" s="1" t="str">
        <f>HYPERLINK("https://lynxcrm-apac--c.eu19.visual.force.com/0011i000001xoCfAAI","Wong, Khai Sheng")</f>
        <v>Wong, Khai Sheng</v>
      </c>
      <c r="B5733" t="s">
        <v>10383</v>
      </c>
      <c r="C5733" t="s">
        <v>28</v>
      </c>
      <c r="D5733" t="s">
        <v>10384</v>
      </c>
      <c r="E5733" t="s">
        <v>8</v>
      </c>
      <c r="F5733" t="s">
        <v>9413</v>
      </c>
      <c r="G5733" t="s">
        <v>9414</v>
      </c>
      <c r="H5733" t="s">
        <v>9415</v>
      </c>
      <c r="I5733" t="s">
        <v>9416</v>
      </c>
    </row>
    <row r="5734" spans="1:9" x14ac:dyDescent="0.25">
      <c r="A5734" s="1" t="str">
        <f>HYPERLINK("https://lynxcrm-apac--c.eu19.visual.force.com/0011i000001xoR1AAI","Wong, Kin Chan")</f>
        <v>Wong, Kin Chan</v>
      </c>
      <c r="B5734" t="s">
        <v>10385</v>
      </c>
      <c r="C5734" t="s">
        <v>28</v>
      </c>
      <c r="D5734" t="s">
        <v>10386</v>
      </c>
      <c r="E5734" t="s">
        <v>8</v>
      </c>
      <c r="F5734" t="s">
        <v>456</v>
      </c>
      <c r="G5734" t="s">
        <v>280</v>
      </c>
      <c r="H5734" t="s">
        <v>10387</v>
      </c>
      <c r="I5734" t="s">
        <v>458</v>
      </c>
    </row>
    <row r="5735" spans="1:9" x14ac:dyDescent="0.25">
      <c r="A5735" s="1" t="str">
        <f>HYPERLINK("https://lynxcrm-apac--c.eu19.visual.force.com/0011i000001xoP7AAI","Wong, Kirk Chuan")</f>
        <v>Wong, Kirk Chuan</v>
      </c>
      <c r="B5735" t="s">
        <v>10388</v>
      </c>
      <c r="C5735" t="s">
        <v>28</v>
      </c>
      <c r="D5735" t="s">
        <v>1307</v>
      </c>
      <c r="E5735" t="s">
        <v>8</v>
      </c>
      <c r="F5735" t="s">
        <v>609</v>
      </c>
      <c r="G5735" t="s">
        <v>609</v>
      </c>
      <c r="H5735" t="s">
        <v>8</v>
      </c>
      <c r="I5735" t="s">
        <v>610</v>
      </c>
    </row>
    <row r="5736" spans="1:9" x14ac:dyDescent="0.25">
      <c r="A5736" s="1" t="str">
        <f>HYPERLINK("https://lynxcrm-apac--c.eu19.visual.force.com/0011i000001xo79AAA","Wong, Kit Yee Karmen")</f>
        <v>Wong, Kit Yee Karmen</v>
      </c>
      <c r="B5736" t="s">
        <v>10389</v>
      </c>
      <c r="C5736" t="s">
        <v>28</v>
      </c>
      <c r="D5736" t="s">
        <v>10390</v>
      </c>
      <c r="E5736" t="s">
        <v>8</v>
      </c>
      <c r="F5736" t="s">
        <v>4698</v>
      </c>
      <c r="G5736" t="s">
        <v>4699</v>
      </c>
      <c r="H5736" t="s">
        <v>4700</v>
      </c>
      <c r="I5736" t="s">
        <v>67</v>
      </c>
    </row>
    <row r="5737" spans="1:9" x14ac:dyDescent="0.25">
      <c r="A5737" s="1" t="str">
        <f>HYPERLINK("https://lynxcrm-apac--c.eu19.visual.force.com/0011i000001xoqZAAQ","Wong, K M Reuben")</f>
        <v>Wong, K M Reuben</v>
      </c>
      <c r="B5737" t="s">
        <v>10391</v>
      </c>
      <c r="C5737" t="s">
        <v>28</v>
      </c>
      <c r="D5737" t="s">
        <v>8477</v>
      </c>
      <c r="E5737" t="s">
        <v>8</v>
      </c>
      <c r="F5737" t="s">
        <v>3830</v>
      </c>
      <c r="G5737" t="s">
        <v>3831</v>
      </c>
      <c r="H5737" t="s">
        <v>3831</v>
      </c>
      <c r="I5737" t="s">
        <v>344</v>
      </c>
    </row>
    <row r="5738" spans="1:9" x14ac:dyDescent="0.25">
      <c r="A5738" s="1" t="str">
        <f>HYPERLINK("https://lynxcrm-apac--c.eu19.visual.force.com/0011i000001xo7AAAQ","Wong, Kok Seng")</f>
        <v>Wong, Kok Seng</v>
      </c>
      <c r="B5738" t="s">
        <v>10392</v>
      </c>
      <c r="C5738" t="s">
        <v>28</v>
      </c>
      <c r="D5738" t="s">
        <v>251</v>
      </c>
      <c r="E5738" t="s">
        <v>8</v>
      </c>
      <c r="F5738" t="s">
        <v>241</v>
      </c>
      <c r="G5738" t="s">
        <v>252</v>
      </c>
      <c r="H5738" t="s">
        <v>252</v>
      </c>
      <c r="I5738" t="s">
        <v>253</v>
      </c>
    </row>
    <row r="5739" spans="1:9" x14ac:dyDescent="0.25">
      <c r="A5739" s="1" t="str">
        <f t="shared" ref="A5739:A5751" si="54">HYPERLINK("https://lynxcrm-apac--c.eu19.visual.force.com/0011i000001xo7BAAQ","Wong, Kutt Sing")</f>
        <v>Wong, Kutt Sing</v>
      </c>
      <c r="B5739" t="s">
        <v>10393</v>
      </c>
      <c r="C5739" t="s">
        <v>28</v>
      </c>
      <c r="D5739" t="s">
        <v>164</v>
      </c>
      <c r="E5739" t="s">
        <v>8</v>
      </c>
      <c r="F5739" t="s">
        <v>243</v>
      </c>
      <c r="G5739" t="s">
        <v>163</v>
      </c>
      <c r="H5739" t="s">
        <v>163</v>
      </c>
      <c r="I5739" t="s">
        <v>244</v>
      </c>
    </row>
    <row r="5740" spans="1:9" x14ac:dyDescent="0.25">
      <c r="A5740" s="1" t="str">
        <f t="shared" si="54"/>
        <v>Wong, Kutt Sing</v>
      </c>
      <c r="B5740" t="s">
        <v>10393</v>
      </c>
      <c r="C5740" t="s">
        <v>28</v>
      </c>
      <c r="D5740" t="s">
        <v>164</v>
      </c>
      <c r="E5740" t="s">
        <v>8</v>
      </c>
      <c r="F5740" t="s">
        <v>236</v>
      </c>
      <c r="G5740" t="s">
        <v>237</v>
      </c>
      <c r="H5740" t="s">
        <v>237</v>
      </c>
      <c r="I5740" t="s">
        <v>165</v>
      </c>
    </row>
    <row r="5741" spans="1:9" x14ac:dyDescent="0.25">
      <c r="A5741" s="1" t="str">
        <f t="shared" si="54"/>
        <v>Wong, Kutt Sing</v>
      </c>
      <c r="B5741" t="s">
        <v>10393</v>
      </c>
      <c r="C5741" t="s">
        <v>28</v>
      </c>
      <c r="D5741" t="s">
        <v>164</v>
      </c>
      <c r="E5741" t="s">
        <v>8</v>
      </c>
      <c r="F5741" t="s">
        <v>238</v>
      </c>
      <c r="G5741" t="s">
        <v>163</v>
      </c>
      <c r="H5741" t="s">
        <v>163</v>
      </c>
      <c r="I5741" t="s">
        <v>165</v>
      </c>
    </row>
    <row r="5742" spans="1:9" x14ac:dyDescent="0.25">
      <c r="A5742" s="1" t="str">
        <f t="shared" si="54"/>
        <v>Wong, Kutt Sing</v>
      </c>
      <c r="B5742" t="s">
        <v>10393</v>
      </c>
      <c r="C5742" t="s">
        <v>28</v>
      </c>
      <c r="D5742" t="s">
        <v>164</v>
      </c>
      <c r="E5742" t="s">
        <v>8</v>
      </c>
      <c r="F5742" t="s">
        <v>239</v>
      </c>
      <c r="G5742" t="s">
        <v>163</v>
      </c>
      <c r="H5742" t="s">
        <v>163</v>
      </c>
      <c r="I5742" t="s">
        <v>165</v>
      </c>
    </row>
    <row r="5743" spans="1:9" x14ac:dyDescent="0.25">
      <c r="A5743" s="1" t="str">
        <f t="shared" si="54"/>
        <v>Wong, Kutt Sing</v>
      </c>
      <c r="B5743" t="s">
        <v>10393</v>
      </c>
      <c r="C5743" t="s">
        <v>28</v>
      </c>
      <c r="D5743" t="s">
        <v>164</v>
      </c>
      <c r="E5743" t="s">
        <v>8</v>
      </c>
      <c r="F5743" t="s">
        <v>240</v>
      </c>
      <c r="G5743" t="s">
        <v>163</v>
      </c>
      <c r="H5743" t="s">
        <v>163</v>
      </c>
      <c r="I5743" t="s">
        <v>165</v>
      </c>
    </row>
    <row r="5744" spans="1:9" x14ac:dyDescent="0.25">
      <c r="A5744" s="1" t="str">
        <f t="shared" si="54"/>
        <v>Wong, Kutt Sing</v>
      </c>
      <c r="B5744" t="s">
        <v>10393</v>
      </c>
      <c r="C5744" t="s">
        <v>28</v>
      </c>
      <c r="D5744" t="s">
        <v>164</v>
      </c>
      <c r="E5744" t="s">
        <v>8</v>
      </c>
      <c r="F5744" t="s">
        <v>234</v>
      </c>
      <c r="G5744" t="s">
        <v>163</v>
      </c>
      <c r="H5744" t="s">
        <v>163</v>
      </c>
      <c r="I5744" t="s">
        <v>235</v>
      </c>
    </row>
    <row r="5745" spans="1:9" x14ac:dyDescent="0.25">
      <c r="A5745" s="1" t="str">
        <f t="shared" si="54"/>
        <v>Wong, Kutt Sing</v>
      </c>
      <c r="B5745" t="s">
        <v>10393</v>
      </c>
      <c r="C5745" t="s">
        <v>28</v>
      </c>
      <c r="D5745" t="s">
        <v>164</v>
      </c>
      <c r="E5745" t="s">
        <v>8</v>
      </c>
      <c r="F5745" t="s">
        <v>241</v>
      </c>
      <c r="G5745" t="s">
        <v>163</v>
      </c>
      <c r="H5745" t="s">
        <v>242</v>
      </c>
      <c r="I5745" t="s">
        <v>165</v>
      </c>
    </row>
    <row r="5746" spans="1:9" x14ac:dyDescent="0.25">
      <c r="A5746" s="1" t="str">
        <f t="shared" si="54"/>
        <v>Wong, Kutt Sing</v>
      </c>
      <c r="B5746" t="s">
        <v>10393</v>
      </c>
      <c r="C5746" t="s">
        <v>28</v>
      </c>
      <c r="D5746" t="s">
        <v>164</v>
      </c>
      <c r="E5746" t="s">
        <v>8</v>
      </c>
      <c r="F5746" t="s">
        <v>245</v>
      </c>
      <c r="G5746" t="s">
        <v>163</v>
      </c>
      <c r="H5746" t="s">
        <v>163</v>
      </c>
      <c r="I5746" t="s">
        <v>165</v>
      </c>
    </row>
    <row r="5747" spans="1:9" x14ac:dyDescent="0.25">
      <c r="A5747" s="1" t="str">
        <f t="shared" si="54"/>
        <v>Wong, Kutt Sing</v>
      </c>
      <c r="B5747" t="s">
        <v>10393</v>
      </c>
      <c r="C5747" t="s">
        <v>28</v>
      </c>
      <c r="D5747" t="s">
        <v>164</v>
      </c>
      <c r="E5747" t="s">
        <v>8</v>
      </c>
      <c r="F5747" t="s">
        <v>246</v>
      </c>
      <c r="G5747" t="s">
        <v>163</v>
      </c>
      <c r="H5747" t="s">
        <v>163</v>
      </c>
      <c r="I5747" t="s">
        <v>244</v>
      </c>
    </row>
    <row r="5748" spans="1:9" x14ac:dyDescent="0.25">
      <c r="A5748" s="1" t="str">
        <f t="shared" si="54"/>
        <v>Wong, Kutt Sing</v>
      </c>
      <c r="B5748" t="s">
        <v>10393</v>
      </c>
      <c r="C5748" t="s">
        <v>28</v>
      </c>
      <c r="D5748" t="s">
        <v>164</v>
      </c>
      <c r="E5748" t="s">
        <v>8</v>
      </c>
      <c r="F5748" t="s">
        <v>247</v>
      </c>
      <c r="G5748" t="s">
        <v>163</v>
      </c>
      <c r="H5748" t="s">
        <v>242</v>
      </c>
      <c r="I5748" t="s">
        <v>165</v>
      </c>
    </row>
    <row r="5749" spans="1:9" x14ac:dyDescent="0.25">
      <c r="A5749" s="1" t="str">
        <f t="shared" si="54"/>
        <v>Wong, Kutt Sing</v>
      </c>
      <c r="B5749" t="s">
        <v>10393</v>
      </c>
      <c r="C5749" t="s">
        <v>28</v>
      </c>
      <c r="D5749" t="s">
        <v>164</v>
      </c>
      <c r="E5749" t="s">
        <v>8</v>
      </c>
      <c r="F5749" t="s">
        <v>248</v>
      </c>
      <c r="G5749" t="s">
        <v>163</v>
      </c>
      <c r="H5749" t="s">
        <v>242</v>
      </c>
      <c r="I5749" t="s">
        <v>165</v>
      </c>
    </row>
    <row r="5750" spans="1:9" x14ac:dyDescent="0.25">
      <c r="A5750" s="1" t="str">
        <f t="shared" si="54"/>
        <v>Wong, Kutt Sing</v>
      </c>
      <c r="B5750" t="s">
        <v>10393</v>
      </c>
      <c r="C5750" t="s">
        <v>28</v>
      </c>
      <c r="D5750" t="s">
        <v>164</v>
      </c>
      <c r="E5750" t="s">
        <v>8</v>
      </c>
      <c r="F5750" t="s">
        <v>249</v>
      </c>
      <c r="G5750" t="s">
        <v>163</v>
      </c>
      <c r="H5750" t="s">
        <v>163</v>
      </c>
      <c r="I5750" t="s">
        <v>165</v>
      </c>
    </row>
    <row r="5751" spans="1:9" x14ac:dyDescent="0.25">
      <c r="A5751" s="1" t="str">
        <f t="shared" si="54"/>
        <v>Wong, Kutt Sing</v>
      </c>
      <c r="B5751" t="s">
        <v>10393</v>
      </c>
      <c r="C5751" t="s">
        <v>28</v>
      </c>
      <c r="D5751" t="s">
        <v>164</v>
      </c>
      <c r="E5751" t="s">
        <v>8</v>
      </c>
      <c r="F5751" t="s">
        <v>234</v>
      </c>
      <c r="G5751" t="s">
        <v>163</v>
      </c>
      <c r="H5751" t="s">
        <v>163</v>
      </c>
      <c r="I5751" t="s">
        <v>244</v>
      </c>
    </row>
    <row r="5752" spans="1:9" x14ac:dyDescent="0.25">
      <c r="A5752" s="1" t="str">
        <f>HYPERLINK("https://lynxcrm-apac--c.eu19.visual.force.com/0011i000001xoKVAAY","Wong, Kwai Fong")</f>
        <v>Wong, Kwai Fong</v>
      </c>
      <c r="B5752" t="s">
        <v>10394</v>
      </c>
      <c r="C5752" t="s">
        <v>28</v>
      </c>
      <c r="D5752" t="s">
        <v>10395</v>
      </c>
      <c r="E5752" t="s">
        <v>8</v>
      </c>
      <c r="F5752" t="s">
        <v>609</v>
      </c>
      <c r="G5752" t="s">
        <v>1307</v>
      </c>
      <c r="H5752" t="s">
        <v>1307</v>
      </c>
      <c r="I5752" t="s">
        <v>610</v>
      </c>
    </row>
    <row r="5753" spans="1:9" x14ac:dyDescent="0.25">
      <c r="A5753" s="1" t="str">
        <f>HYPERLINK("https://lynxcrm-apac--c.eu19.visual.force.com/0011i000001xnj2AAA","Wong, Liang Fu")</f>
        <v>Wong, Liang Fu</v>
      </c>
      <c r="B5753" t="s">
        <v>10396</v>
      </c>
      <c r="C5753" t="s">
        <v>28</v>
      </c>
      <c r="D5753" t="s">
        <v>5455</v>
      </c>
      <c r="E5753" t="s">
        <v>8</v>
      </c>
      <c r="F5753" t="s">
        <v>10397</v>
      </c>
      <c r="G5753" t="s">
        <v>5457</v>
      </c>
      <c r="H5753" t="s">
        <v>5458</v>
      </c>
      <c r="I5753" t="s">
        <v>10398</v>
      </c>
    </row>
    <row r="5754" spans="1:9" x14ac:dyDescent="0.25">
      <c r="A5754" s="1" t="str">
        <f>HYPERLINK("https://lynxcrm-apac--c.eu19.visual.force.com/0011i000001xoMIAAY","Wong, Li Lian")</f>
        <v>Wong, Li Lian</v>
      </c>
      <c r="B5754" t="s">
        <v>10399</v>
      </c>
      <c r="C5754" t="s">
        <v>28</v>
      </c>
      <c r="D5754" t="s">
        <v>335</v>
      </c>
      <c r="E5754" t="s">
        <v>8</v>
      </c>
      <c r="F5754" t="s">
        <v>336</v>
      </c>
      <c r="G5754" t="s">
        <v>337</v>
      </c>
      <c r="H5754" t="s">
        <v>337</v>
      </c>
      <c r="I5754" t="s">
        <v>338</v>
      </c>
    </row>
    <row r="5755" spans="1:9" x14ac:dyDescent="0.25">
      <c r="A5755" s="1" t="str">
        <f>HYPERLINK("https://lynxcrm-apac--c.eu19.visual.force.com/0011i000001xoMIAAY","Wong, Li Lian")</f>
        <v>Wong, Li Lian</v>
      </c>
      <c r="B5755" t="s">
        <v>10399</v>
      </c>
      <c r="C5755" t="s">
        <v>28</v>
      </c>
      <c r="D5755" t="s">
        <v>339</v>
      </c>
      <c r="E5755" t="s">
        <v>8</v>
      </c>
      <c r="F5755" t="s">
        <v>337</v>
      </c>
      <c r="G5755" t="s">
        <v>335</v>
      </c>
      <c r="H5755" t="s">
        <v>335</v>
      </c>
      <c r="I5755" t="s">
        <v>338</v>
      </c>
    </row>
    <row r="5756" spans="1:9" x14ac:dyDescent="0.25">
      <c r="A5756" s="1" t="str">
        <f>HYPERLINK("https://lynxcrm-apac--c.eu19.visual.force.com/0011i000001xoYpAAI","Wong, Lin Lin Janncy")</f>
        <v>Wong, Lin Lin Janncy</v>
      </c>
      <c r="B5756" t="s">
        <v>10400</v>
      </c>
      <c r="C5756" t="s">
        <v>28</v>
      </c>
      <c r="D5756" t="s">
        <v>583</v>
      </c>
      <c r="E5756" t="s">
        <v>8</v>
      </c>
      <c r="F5756" t="s">
        <v>257</v>
      </c>
      <c r="G5756" t="s">
        <v>584</v>
      </c>
      <c r="H5756" t="s">
        <v>584</v>
      </c>
      <c r="I5756" t="s">
        <v>585</v>
      </c>
    </row>
    <row r="5757" spans="1:9" x14ac:dyDescent="0.25">
      <c r="A5757" s="1" t="str">
        <f>HYPERLINK("https://lynxcrm-apac--c.eu19.visual.force.com/0011i00000Xf1GfAAJ","Wong, Mable")</f>
        <v>Wong, Mable</v>
      </c>
      <c r="B5757" t="s">
        <v>10401</v>
      </c>
      <c r="C5757" t="s">
        <v>28</v>
      </c>
      <c r="D5757" t="s">
        <v>2027</v>
      </c>
      <c r="E5757" t="s">
        <v>8</v>
      </c>
      <c r="F5757" t="s">
        <v>2028</v>
      </c>
      <c r="G5757" t="s">
        <v>2029</v>
      </c>
      <c r="H5757" t="s">
        <v>8</v>
      </c>
      <c r="I5757" t="s">
        <v>488</v>
      </c>
    </row>
    <row r="5758" spans="1:9" x14ac:dyDescent="0.25">
      <c r="A5758" s="1" t="str">
        <f>HYPERLINK("https://lynxcrm-apac--c.eu19.visual.force.com/0011i000001xoMNAAY","Wong, Mee Soong")</f>
        <v>Wong, Mee Soong</v>
      </c>
      <c r="B5758" t="s">
        <v>10402</v>
      </c>
      <c r="C5758" t="s">
        <v>28</v>
      </c>
      <c r="D5758" t="s">
        <v>2155</v>
      </c>
      <c r="E5758" t="s">
        <v>8</v>
      </c>
      <c r="F5758" t="s">
        <v>2156</v>
      </c>
      <c r="G5758" t="s">
        <v>2157</v>
      </c>
      <c r="H5758" t="s">
        <v>2157</v>
      </c>
      <c r="I5758" t="s">
        <v>2158</v>
      </c>
    </row>
    <row r="5759" spans="1:9" x14ac:dyDescent="0.25">
      <c r="A5759" s="1" t="str">
        <f>HYPERLINK("https://lynxcrm-apac--c.eu19.visual.force.com/0011i000001xopDAAQ","Wong, Mei Wah Deborah")</f>
        <v>Wong, Mei Wah Deborah</v>
      </c>
      <c r="B5759" t="s">
        <v>10403</v>
      </c>
      <c r="C5759" t="s">
        <v>28</v>
      </c>
      <c r="D5759" t="s">
        <v>3821</v>
      </c>
      <c r="E5759" t="s">
        <v>8</v>
      </c>
      <c r="F5759" t="s">
        <v>3822</v>
      </c>
      <c r="G5759" t="s">
        <v>9798</v>
      </c>
      <c r="H5759" t="s">
        <v>9798</v>
      </c>
      <c r="I5759" t="s">
        <v>9799</v>
      </c>
    </row>
    <row r="5760" spans="1:9" x14ac:dyDescent="0.25">
      <c r="A5760" s="1" t="str">
        <f>HYPERLINK("https://lynxcrm-apac--c.eu19.visual.force.com/0011i000001xo7FAAQ","Wong, Merng Koon")</f>
        <v>Wong, Merng Koon</v>
      </c>
      <c r="B5760" t="s">
        <v>10404</v>
      </c>
      <c r="C5760" t="s">
        <v>28</v>
      </c>
      <c r="D5760" t="s">
        <v>251</v>
      </c>
      <c r="E5760" t="s">
        <v>8</v>
      </c>
      <c r="F5760" t="s">
        <v>427</v>
      </c>
      <c r="G5760" t="s">
        <v>252</v>
      </c>
      <c r="H5760" t="s">
        <v>858</v>
      </c>
      <c r="I5760" t="s">
        <v>253</v>
      </c>
    </row>
    <row r="5761" spans="1:9" x14ac:dyDescent="0.25">
      <c r="A5761" s="1" t="str">
        <f>HYPERLINK("https://lynxcrm-apac--c.eu19.visual.force.com/0011i000001xoHLAAY","Wong, Ming")</f>
        <v>Wong, Ming</v>
      </c>
      <c r="B5761" t="s">
        <v>10405</v>
      </c>
      <c r="C5761" t="s">
        <v>28</v>
      </c>
      <c r="D5761" t="s">
        <v>7602</v>
      </c>
      <c r="E5761" t="s">
        <v>8</v>
      </c>
      <c r="F5761" t="s">
        <v>3099</v>
      </c>
      <c r="G5761" t="s">
        <v>3100</v>
      </c>
      <c r="H5761" t="s">
        <v>3101</v>
      </c>
      <c r="I5761" t="s">
        <v>3102</v>
      </c>
    </row>
    <row r="5762" spans="1:9" x14ac:dyDescent="0.25">
      <c r="A5762" s="1" t="str">
        <f>HYPERLINK("https://lynxcrm-apac--c.eu19.visual.force.com/0011i000001xoaxAAA","Wong, Nan-Yaw")</f>
        <v>Wong, Nan-Yaw</v>
      </c>
      <c r="B5762" t="s">
        <v>10406</v>
      </c>
      <c r="C5762" t="s">
        <v>28</v>
      </c>
      <c r="D5762" t="s">
        <v>10407</v>
      </c>
      <c r="E5762" t="s">
        <v>8</v>
      </c>
      <c r="F5762" t="s">
        <v>377</v>
      </c>
      <c r="G5762" t="s">
        <v>971</v>
      </c>
      <c r="H5762" t="s">
        <v>7274</v>
      </c>
      <c r="I5762" t="s">
        <v>123</v>
      </c>
    </row>
    <row r="5763" spans="1:9" x14ac:dyDescent="0.25">
      <c r="A5763" s="1" t="str">
        <f>HYPERLINK("https://lynxcrm-apac--c.eu19.visual.force.com/0011i000001xniiAAA","Wong, Ning Yan")</f>
        <v>Wong, Ning Yan</v>
      </c>
      <c r="B5763" t="s">
        <v>10408</v>
      </c>
      <c r="C5763" t="s">
        <v>28</v>
      </c>
      <c r="D5763" t="s">
        <v>449</v>
      </c>
      <c r="E5763" t="s">
        <v>8</v>
      </c>
      <c r="F5763" t="s">
        <v>450</v>
      </c>
      <c r="G5763" t="s">
        <v>449</v>
      </c>
      <c r="H5763" t="s">
        <v>449</v>
      </c>
      <c r="I5763" t="s">
        <v>451</v>
      </c>
    </row>
    <row r="5764" spans="1:9" x14ac:dyDescent="0.25">
      <c r="A5764" s="1" t="str">
        <f>HYPERLINK("https://lynxcrm-apac--c.eu19.visual.force.com/0011i000001xniiAAA","Wong, Ning Yan")</f>
        <v>Wong, Ning Yan</v>
      </c>
      <c r="B5764" t="s">
        <v>10408</v>
      </c>
      <c r="C5764" t="s">
        <v>28</v>
      </c>
      <c r="D5764" t="s">
        <v>449</v>
      </c>
      <c r="E5764" t="s">
        <v>8</v>
      </c>
      <c r="F5764" t="s">
        <v>234</v>
      </c>
      <c r="G5764" t="s">
        <v>452</v>
      </c>
      <c r="H5764" t="s">
        <v>453</v>
      </c>
      <c r="I5764" t="s">
        <v>454</v>
      </c>
    </row>
    <row r="5765" spans="1:9" x14ac:dyDescent="0.25">
      <c r="A5765" s="1" t="str">
        <f>HYPERLINK("https://lynxcrm-apac--c.eu19.visual.force.com/0011i000001xnkTAAQ","Wong, Pei Ying")</f>
        <v>Wong, Pei Ying</v>
      </c>
      <c r="B5765" t="s">
        <v>10409</v>
      </c>
      <c r="C5765" t="s">
        <v>28</v>
      </c>
      <c r="D5765" t="s">
        <v>578</v>
      </c>
      <c r="E5765" t="s">
        <v>8</v>
      </c>
      <c r="F5765" t="s">
        <v>5632</v>
      </c>
      <c r="G5765" t="s">
        <v>5633</v>
      </c>
      <c r="H5765" t="s">
        <v>5633</v>
      </c>
      <c r="I5765" t="s">
        <v>733</v>
      </c>
    </row>
    <row r="5766" spans="1:9" x14ac:dyDescent="0.25">
      <c r="A5766" s="1" t="str">
        <f>HYPERLINK("https://lynxcrm-apac--c.eu19.visual.force.com/0011i000001xoKtAAI","Wong, Pui Ling Judy")</f>
        <v>Wong, Pui Ling Judy</v>
      </c>
      <c r="B5766" t="s">
        <v>10410</v>
      </c>
      <c r="C5766" t="s">
        <v>28</v>
      </c>
      <c r="D5766" t="s">
        <v>10411</v>
      </c>
      <c r="E5766" t="s">
        <v>8</v>
      </c>
      <c r="F5766" t="s">
        <v>263</v>
      </c>
      <c r="G5766" t="s">
        <v>10412</v>
      </c>
      <c r="H5766" t="s">
        <v>10413</v>
      </c>
      <c r="I5766" t="s">
        <v>266</v>
      </c>
    </row>
    <row r="5767" spans="1:9" x14ac:dyDescent="0.25">
      <c r="A5767" s="1" t="str">
        <f>HYPERLINK("https://lynxcrm-apac--c.eu19.visual.force.com/0011i000001xoSoAAI","Wong, Ruei Chain")</f>
        <v>Wong, Ruei Chain</v>
      </c>
      <c r="B5767" t="s">
        <v>10414</v>
      </c>
      <c r="C5767" t="s">
        <v>28</v>
      </c>
      <c r="D5767" t="s">
        <v>10415</v>
      </c>
      <c r="E5767" t="s">
        <v>8</v>
      </c>
      <c r="F5767" t="s">
        <v>1617</v>
      </c>
      <c r="G5767" t="s">
        <v>7458</v>
      </c>
      <c r="H5767" t="s">
        <v>10416</v>
      </c>
      <c r="I5767" t="s">
        <v>2205</v>
      </c>
    </row>
    <row r="5768" spans="1:9" x14ac:dyDescent="0.25">
      <c r="A5768" s="1" t="str">
        <f>HYPERLINK("https://lynxcrm-apac--c.eu19.visual.force.com/0011i000001xoYbAAI","Wong, Saw Yeen")</f>
        <v>Wong, Saw Yeen</v>
      </c>
      <c r="B5768" t="s">
        <v>10417</v>
      </c>
      <c r="C5768" t="s">
        <v>28</v>
      </c>
      <c r="D5768" t="s">
        <v>10418</v>
      </c>
      <c r="E5768" t="s">
        <v>8</v>
      </c>
      <c r="F5768" t="s">
        <v>163</v>
      </c>
      <c r="G5768" t="s">
        <v>164</v>
      </c>
      <c r="H5768" t="s">
        <v>164</v>
      </c>
      <c r="I5768" t="s">
        <v>165</v>
      </c>
    </row>
    <row r="5769" spans="1:9" x14ac:dyDescent="0.25">
      <c r="A5769" s="1" t="str">
        <f>HYPERLINK("https://lynxcrm-apac--c.eu19.visual.force.com/0011i000001xoLQAAY","Wong, S C Alvin")</f>
        <v>Wong, S C Alvin</v>
      </c>
      <c r="B5769" t="s">
        <v>10419</v>
      </c>
      <c r="C5769" t="s">
        <v>28</v>
      </c>
      <c r="D5769" t="s">
        <v>261</v>
      </c>
      <c r="E5769" t="s">
        <v>8</v>
      </c>
      <c r="F5769" t="s">
        <v>261</v>
      </c>
      <c r="G5769" t="s">
        <v>347</v>
      </c>
      <c r="H5769" t="s">
        <v>347</v>
      </c>
      <c r="I5769" t="s">
        <v>260</v>
      </c>
    </row>
    <row r="5770" spans="1:9" x14ac:dyDescent="0.25">
      <c r="A5770" s="1" t="str">
        <f>HYPERLINK("https://lynxcrm-apac--c.eu19.visual.force.com/0011i000001xoLQAAY","Wong, S C Alvin")</f>
        <v>Wong, S C Alvin</v>
      </c>
      <c r="B5770" t="s">
        <v>10419</v>
      </c>
      <c r="C5770" t="s">
        <v>28</v>
      </c>
      <c r="D5770" t="s">
        <v>8787</v>
      </c>
      <c r="E5770" t="s">
        <v>8</v>
      </c>
      <c r="F5770" t="s">
        <v>258</v>
      </c>
      <c r="G5770" t="s">
        <v>261</v>
      </c>
      <c r="H5770" t="s">
        <v>261</v>
      </c>
      <c r="I5770" t="s">
        <v>260</v>
      </c>
    </row>
    <row r="5771" spans="1:9" x14ac:dyDescent="0.25">
      <c r="A5771" s="1" t="str">
        <f>HYPERLINK("https://lynxcrm-apac--c.eu19.visual.force.com/0011i000001xnw9AAA","Wong, See Hong")</f>
        <v>Wong, See Hong</v>
      </c>
      <c r="B5771" t="s">
        <v>10420</v>
      </c>
      <c r="C5771" t="s">
        <v>28</v>
      </c>
      <c r="D5771" t="s">
        <v>5935</v>
      </c>
      <c r="E5771" t="s">
        <v>8</v>
      </c>
      <c r="F5771" t="s">
        <v>8850</v>
      </c>
      <c r="G5771" t="s">
        <v>2866</v>
      </c>
      <c r="H5771" t="s">
        <v>3923</v>
      </c>
      <c r="I5771" t="s">
        <v>8852</v>
      </c>
    </row>
    <row r="5772" spans="1:9" x14ac:dyDescent="0.25">
      <c r="A5772" s="1" t="str">
        <f>HYPERLINK("https://lynxcrm-apac--c.eu19.visual.force.com/0011i000001xo8uAAA","Wong, Selina")</f>
        <v>Wong, Selina</v>
      </c>
      <c r="B5772" t="s">
        <v>10421</v>
      </c>
      <c r="C5772" t="s">
        <v>28</v>
      </c>
      <c r="D5772" t="s">
        <v>10422</v>
      </c>
      <c r="E5772" t="s">
        <v>8</v>
      </c>
      <c r="F5772" t="s">
        <v>8979</v>
      </c>
      <c r="G5772" t="s">
        <v>10423</v>
      </c>
      <c r="H5772" t="s">
        <v>10424</v>
      </c>
      <c r="I5772" t="s">
        <v>8980</v>
      </c>
    </row>
    <row r="5773" spans="1:9" x14ac:dyDescent="0.25">
      <c r="A5773" s="1" t="str">
        <f>HYPERLINK("https://lynxcrm-apac--c.eu19.visual.force.com/0011i000001xnwAAAQ","Wong, Sen Chow")</f>
        <v>Wong, Sen Chow</v>
      </c>
      <c r="B5773" t="s">
        <v>10425</v>
      </c>
      <c r="C5773" t="s">
        <v>28</v>
      </c>
      <c r="D5773" t="s">
        <v>10426</v>
      </c>
      <c r="E5773" t="s">
        <v>8</v>
      </c>
      <c r="F5773" t="s">
        <v>202</v>
      </c>
      <c r="G5773" t="s">
        <v>10427</v>
      </c>
      <c r="H5773" t="s">
        <v>10428</v>
      </c>
      <c r="I5773" t="s">
        <v>200</v>
      </c>
    </row>
    <row r="5774" spans="1:9" x14ac:dyDescent="0.25">
      <c r="A5774" s="1" t="str">
        <f>HYPERLINK("https://lynxcrm-apac--c.eu19.visual.force.com/0011i000001xnh3AAA","Wong, Seung Tan")</f>
        <v>Wong, Seung Tan</v>
      </c>
      <c r="B5774" t="s">
        <v>10429</v>
      </c>
      <c r="C5774" t="s">
        <v>28</v>
      </c>
      <c r="D5774" t="s">
        <v>2337</v>
      </c>
      <c r="E5774" t="s">
        <v>8</v>
      </c>
      <c r="F5774" t="s">
        <v>2338</v>
      </c>
      <c r="G5774" t="s">
        <v>2339</v>
      </c>
      <c r="H5774" t="s">
        <v>2339</v>
      </c>
      <c r="I5774" t="s">
        <v>2340</v>
      </c>
    </row>
    <row r="5775" spans="1:9" x14ac:dyDescent="0.25">
      <c r="A5775" s="1" t="str">
        <f>HYPERLINK("https://lynxcrm-apac--c.eu19.visual.force.com/0011i000001xoWKAAY","Wong, Shi Min")</f>
        <v>Wong, Shi Min</v>
      </c>
      <c r="B5775" t="s">
        <v>10430</v>
      </c>
      <c r="C5775" t="s">
        <v>28</v>
      </c>
      <c r="D5775" t="s">
        <v>148</v>
      </c>
      <c r="E5775" t="s">
        <v>8</v>
      </c>
      <c r="F5775" t="s">
        <v>736</v>
      </c>
      <c r="G5775" t="s">
        <v>736</v>
      </c>
      <c r="H5775" t="s">
        <v>8</v>
      </c>
      <c r="I5775" t="s">
        <v>149</v>
      </c>
    </row>
    <row r="5776" spans="1:9" x14ac:dyDescent="0.25">
      <c r="A5776" s="1" t="str">
        <f>HYPERLINK("https://lynxcrm-apac--c.eu19.visual.force.com/0011i00000Xf1IpAAJ","Wong, Siew Wei")</f>
        <v>Wong, Siew Wei</v>
      </c>
      <c r="B5776" t="s">
        <v>10431</v>
      </c>
      <c r="C5776" t="s">
        <v>28</v>
      </c>
      <c r="D5776" t="s">
        <v>10432</v>
      </c>
      <c r="E5776" t="s">
        <v>8</v>
      </c>
      <c r="F5776" t="s">
        <v>9779</v>
      </c>
      <c r="G5776" t="s">
        <v>9780</v>
      </c>
      <c r="H5776" t="s">
        <v>8</v>
      </c>
      <c r="I5776" t="s">
        <v>85</v>
      </c>
    </row>
    <row r="5777" spans="1:9" x14ac:dyDescent="0.25">
      <c r="A5777" s="1" t="str">
        <f>HYPERLINK("https://lynxcrm-apac--c.eu19.visual.force.com/0011i000001xnwFAAQ","Wong, Sin Yew")</f>
        <v>Wong, Sin Yew</v>
      </c>
      <c r="B5777" t="s">
        <v>10433</v>
      </c>
      <c r="C5777" t="s">
        <v>28</v>
      </c>
      <c r="D5777" t="s">
        <v>10434</v>
      </c>
      <c r="E5777" t="s">
        <v>8</v>
      </c>
      <c r="F5777" t="s">
        <v>69</v>
      </c>
      <c r="G5777" t="s">
        <v>4475</v>
      </c>
      <c r="H5777" t="s">
        <v>4476</v>
      </c>
      <c r="I5777" t="s">
        <v>67</v>
      </c>
    </row>
    <row r="5778" spans="1:9" x14ac:dyDescent="0.25">
      <c r="A5778" s="1" t="str">
        <f>HYPERLINK("https://lynxcrm-apac--c.eu19.visual.force.com/0011i000001xoK1AAI","Wong, S M Jocelyn")</f>
        <v>Wong, S M Jocelyn</v>
      </c>
      <c r="B5778" t="s">
        <v>10435</v>
      </c>
      <c r="C5778" t="s">
        <v>28</v>
      </c>
      <c r="D5778" t="s">
        <v>4802</v>
      </c>
      <c r="E5778" t="s">
        <v>8</v>
      </c>
      <c r="F5778" t="s">
        <v>263</v>
      </c>
      <c r="G5778" t="s">
        <v>264</v>
      </c>
      <c r="H5778" t="s">
        <v>265</v>
      </c>
      <c r="I5778" t="s">
        <v>266</v>
      </c>
    </row>
    <row r="5779" spans="1:9" x14ac:dyDescent="0.25">
      <c r="A5779" s="1" t="str">
        <f>HYPERLINK("https://lynxcrm-apac--c.eu19.visual.force.com/0011i000001xo7IAAQ","Wong, Soong Kuan")</f>
        <v>Wong, Soong Kuan</v>
      </c>
      <c r="B5779" t="s">
        <v>10436</v>
      </c>
      <c r="C5779" t="s">
        <v>28</v>
      </c>
      <c r="D5779" t="s">
        <v>10437</v>
      </c>
      <c r="E5779" t="s">
        <v>8</v>
      </c>
      <c r="F5779" t="s">
        <v>10438</v>
      </c>
      <c r="G5779" t="s">
        <v>10439</v>
      </c>
      <c r="H5779" t="s">
        <v>10439</v>
      </c>
      <c r="I5779" t="s">
        <v>200</v>
      </c>
    </row>
    <row r="5780" spans="1:9" x14ac:dyDescent="0.25">
      <c r="A5780" s="1" t="str">
        <f>HYPERLINK("https://lynxcrm-apac--c.eu19.visual.force.com/0011i000001xo7HAAQ","Wong, Soon Tee")</f>
        <v>Wong, Soon Tee</v>
      </c>
      <c r="B5780" t="s">
        <v>10440</v>
      </c>
      <c r="C5780" t="s">
        <v>28</v>
      </c>
      <c r="D5780" t="s">
        <v>5508</v>
      </c>
      <c r="E5780" t="s">
        <v>8</v>
      </c>
      <c r="F5780" t="s">
        <v>163</v>
      </c>
      <c r="G5780" t="s">
        <v>164</v>
      </c>
      <c r="H5780" t="s">
        <v>164</v>
      </c>
      <c r="I5780" t="s">
        <v>165</v>
      </c>
    </row>
    <row r="5781" spans="1:9" x14ac:dyDescent="0.25">
      <c r="A5781" s="1" t="str">
        <f>HYPERLINK("https://lynxcrm-apac--c.eu19.visual.force.com/0011i000001xo7JAAQ","Wong, Sweet Fun")</f>
        <v>Wong, Sweet Fun</v>
      </c>
      <c r="B5781" t="s">
        <v>10441</v>
      </c>
      <c r="C5781" t="s">
        <v>28</v>
      </c>
      <c r="D5781" t="s">
        <v>501</v>
      </c>
      <c r="E5781" t="s">
        <v>8</v>
      </c>
      <c r="F5781" t="s">
        <v>359</v>
      </c>
      <c r="G5781" t="s">
        <v>502</v>
      </c>
      <c r="H5781" t="s">
        <v>503</v>
      </c>
      <c r="I5781" t="s">
        <v>506</v>
      </c>
    </row>
    <row r="5782" spans="1:9" x14ac:dyDescent="0.25">
      <c r="A5782" s="1" t="str">
        <f>HYPERLINK("https://lynxcrm-apac--c.eu19.visual.force.com/0011i000001xnhzAAA","Wong, Te Ching Mark")</f>
        <v>Wong, Te Ching Mark</v>
      </c>
      <c r="B5782" t="s">
        <v>10442</v>
      </c>
      <c r="C5782" t="s">
        <v>28</v>
      </c>
      <c r="D5782" t="s">
        <v>896</v>
      </c>
      <c r="E5782" t="s">
        <v>8</v>
      </c>
      <c r="F5782" t="s">
        <v>898</v>
      </c>
      <c r="G5782" t="s">
        <v>343</v>
      </c>
      <c r="H5782" t="s">
        <v>343</v>
      </c>
      <c r="I5782" t="s">
        <v>344</v>
      </c>
    </row>
    <row r="5783" spans="1:9" x14ac:dyDescent="0.25">
      <c r="A5783" s="1" t="str">
        <f>HYPERLINK("https://lynxcrm-apac--c.eu19.visual.force.com/0011i000001xnhzAAA","Wong, Te Ching Mark")</f>
        <v>Wong, Te Ching Mark</v>
      </c>
      <c r="B5783" t="s">
        <v>10442</v>
      </c>
      <c r="C5783" t="s">
        <v>28</v>
      </c>
      <c r="D5783" t="s">
        <v>896</v>
      </c>
      <c r="E5783" t="s">
        <v>8</v>
      </c>
      <c r="F5783" t="s">
        <v>10443</v>
      </c>
      <c r="G5783" t="s">
        <v>1838</v>
      </c>
      <c r="H5783" t="s">
        <v>1838</v>
      </c>
      <c r="I5783" t="s">
        <v>344</v>
      </c>
    </row>
    <row r="5784" spans="1:9" x14ac:dyDescent="0.25">
      <c r="A5784" s="1" t="str">
        <f>HYPERLINK("https://lynxcrm-apac--c.eu19.visual.force.com/0011i000001xnhzAAA","Wong, Te Ching Mark")</f>
        <v>Wong, Te Ching Mark</v>
      </c>
      <c r="B5784" t="s">
        <v>10442</v>
      </c>
      <c r="C5784" t="s">
        <v>28</v>
      </c>
      <c r="D5784" t="s">
        <v>896</v>
      </c>
      <c r="E5784" t="s">
        <v>8</v>
      </c>
      <c r="F5784" t="s">
        <v>10443</v>
      </c>
      <c r="G5784" t="s">
        <v>1922</v>
      </c>
      <c r="H5784" t="s">
        <v>1922</v>
      </c>
      <c r="I5784" t="s">
        <v>344</v>
      </c>
    </row>
    <row r="5785" spans="1:9" x14ac:dyDescent="0.25">
      <c r="A5785" s="1" t="str">
        <f>HYPERLINK("https://lynxcrm-apac--c.eu19.visual.force.com/0011i000001xnhzAAA","Wong, Te Ching Mark")</f>
        <v>Wong, Te Ching Mark</v>
      </c>
      <c r="B5785" t="s">
        <v>10442</v>
      </c>
      <c r="C5785" t="s">
        <v>28</v>
      </c>
      <c r="D5785" t="s">
        <v>8</v>
      </c>
      <c r="E5785" t="s">
        <v>8</v>
      </c>
      <c r="F5785" t="s">
        <v>10444</v>
      </c>
      <c r="G5785" t="s">
        <v>10445</v>
      </c>
      <c r="H5785" t="s">
        <v>8</v>
      </c>
      <c r="I5785" t="s">
        <v>344</v>
      </c>
    </row>
    <row r="5786" spans="1:9" x14ac:dyDescent="0.25">
      <c r="A5786" s="1" t="str">
        <f>HYPERLINK("https://lynxcrm-apac--c.eu19.visual.force.com/0011i000001xnsVAAQ","Wong, Te Chin Mark")</f>
        <v>Wong, Te Chin Mark</v>
      </c>
      <c r="B5786" t="s">
        <v>10446</v>
      </c>
      <c r="C5786" t="s">
        <v>28</v>
      </c>
      <c r="D5786" t="s">
        <v>251</v>
      </c>
      <c r="E5786" t="s">
        <v>8</v>
      </c>
      <c r="F5786" t="s">
        <v>251</v>
      </c>
      <c r="G5786" t="s">
        <v>252</v>
      </c>
      <c r="H5786" t="s">
        <v>252</v>
      </c>
      <c r="I5786" t="s">
        <v>253</v>
      </c>
    </row>
    <row r="5787" spans="1:9" x14ac:dyDescent="0.25">
      <c r="A5787" s="1" t="str">
        <f>HYPERLINK("https://lynxcrm-apac--c.eu19.visual.force.com/0011i000001xnwGAAQ","Wong, Teck Sin @ Wong Bee Chung")</f>
        <v>Wong, Teck Sin @ Wong Bee Chung</v>
      </c>
      <c r="B5787" t="s">
        <v>10447</v>
      </c>
      <c r="C5787" t="s">
        <v>28</v>
      </c>
      <c r="D5787" t="s">
        <v>10448</v>
      </c>
      <c r="E5787" t="s">
        <v>8</v>
      </c>
      <c r="F5787" t="s">
        <v>10449</v>
      </c>
      <c r="G5787" t="s">
        <v>10450</v>
      </c>
      <c r="H5787" t="s">
        <v>10450</v>
      </c>
      <c r="I5787" t="s">
        <v>10451</v>
      </c>
    </row>
    <row r="5788" spans="1:9" x14ac:dyDescent="0.25">
      <c r="A5788" s="1" t="str">
        <f>HYPERLINK("https://lynxcrm-apac--c.eu19.visual.force.com/0011i000001xo9tAAA","Wong, Tien Hua")</f>
        <v>Wong, Tien Hua</v>
      </c>
      <c r="B5788" t="s">
        <v>10452</v>
      </c>
      <c r="C5788" t="s">
        <v>28</v>
      </c>
      <c r="D5788" t="s">
        <v>9298</v>
      </c>
      <c r="E5788" t="s">
        <v>8</v>
      </c>
      <c r="F5788" t="s">
        <v>6794</v>
      </c>
      <c r="G5788" t="s">
        <v>6795</v>
      </c>
      <c r="H5788" t="s">
        <v>6796</v>
      </c>
      <c r="I5788" t="s">
        <v>6797</v>
      </c>
    </row>
    <row r="5789" spans="1:9" x14ac:dyDescent="0.25">
      <c r="A5789" s="1" t="str">
        <f>HYPERLINK("https://lynxcrm-apac--c.eu19.visual.force.com/0011i000001xnwIAAQ","Wong, Toon Heng")</f>
        <v>Wong, Toon Heng</v>
      </c>
      <c r="B5789" t="s">
        <v>10453</v>
      </c>
      <c r="C5789" t="s">
        <v>28</v>
      </c>
      <c r="D5789" t="s">
        <v>10454</v>
      </c>
      <c r="E5789" t="s">
        <v>8</v>
      </c>
      <c r="F5789" t="s">
        <v>3137</v>
      </c>
      <c r="G5789" t="s">
        <v>3138</v>
      </c>
      <c r="H5789" t="s">
        <v>3139</v>
      </c>
      <c r="I5789" t="s">
        <v>3140</v>
      </c>
    </row>
    <row r="5790" spans="1:9" x14ac:dyDescent="0.25">
      <c r="A5790" s="1" t="str">
        <f>HYPERLINK("https://lynxcrm-apac--c.eu19.visual.force.com/0011i000001xoZkAAI","Wong, Toon Kwok")</f>
        <v>Wong, Toon Kwok</v>
      </c>
      <c r="B5790" t="s">
        <v>10455</v>
      </c>
      <c r="C5790" t="s">
        <v>28</v>
      </c>
      <c r="D5790" t="s">
        <v>10456</v>
      </c>
      <c r="E5790" t="s">
        <v>8</v>
      </c>
      <c r="F5790" t="s">
        <v>10457</v>
      </c>
      <c r="G5790" t="s">
        <v>7665</v>
      </c>
      <c r="H5790" t="s">
        <v>7665</v>
      </c>
      <c r="I5790" t="s">
        <v>10458</v>
      </c>
    </row>
    <row r="5791" spans="1:9" x14ac:dyDescent="0.25">
      <c r="A5791" s="1" t="str">
        <f>HYPERLINK("https://lynxcrm-apac--c.eu19.visual.force.com/0011i000001xnwMAAQ","Wong, Wai Kee")</f>
        <v>Wong, Wai Kee</v>
      </c>
      <c r="B5791" t="s">
        <v>10459</v>
      </c>
      <c r="C5791" t="s">
        <v>28</v>
      </c>
      <c r="D5791" t="s">
        <v>10460</v>
      </c>
      <c r="E5791" t="s">
        <v>8</v>
      </c>
      <c r="F5791" t="s">
        <v>121</v>
      </c>
      <c r="G5791" t="s">
        <v>133</v>
      </c>
      <c r="H5791" t="s">
        <v>133</v>
      </c>
      <c r="I5791" t="s">
        <v>123</v>
      </c>
    </row>
    <row r="5792" spans="1:9" x14ac:dyDescent="0.25">
      <c r="A5792" s="1" t="str">
        <f>HYPERLINK("https://lynxcrm-apac--c.eu19.visual.force.com/0011i000001xo7KAAQ","Wong, Wai Keong")</f>
        <v>Wong, Wai Keong</v>
      </c>
      <c r="B5792" t="s">
        <v>10461</v>
      </c>
      <c r="C5792" t="s">
        <v>28</v>
      </c>
      <c r="D5792" t="s">
        <v>251</v>
      </c>
      <c r="E5792" t="s">
        <v>8</v>
      </c>
      <c r="F5792" t="s">
        <v>251</v>
      </c>
      <c r="G5792" t="s">
        <v>252</v>
      </c>
      <c r="H5792" t="s">
        <v>252</v>
      </c>
      <c r="I5792" t="s">
        <v>253</v>
      </c>
    </row>
    <row r="5793" spans="1:9" x14ac:dyDescent="0.25">
      <c r="A5793" s="1" t="str">
        <f>HYPERLINK("https://lynxcrm-apac--c.eu19.visual.force.com/0011i000001xo7KAAQ","Wong, Wai Keong")</f>
        <v>Wong, Wai Keong</v>
      </c>
      <c r="B5793" t="s">
        <v>10461</v>
      </c>
      <c r="C5793" t="s">
        <v>28</v>
      </c>
      <c r="D5793" t="s">
        <v>1242</v>
      </c>
      <c r="E5793" t="s">
        <v>8</v>
      </c>
      <c r="F5793" t="s">
        <v>252</v>
      </c>
      <c r="G5793" t="s">
        <v>251</v>
      </c>
      <c r="H5793" t="s">
        <v>251</v>
      </c>
      <c r="I5793" t="s">
        <v>253</v>
      </c>
    </row>
    <row r="5794" spans="1:9" x14ac:dyDescent="0.25">
      <c r="A5794" s="1" t="str">
        <f>HYPERLINK("https://lynxcrm-apac--c.eu19.visual.force.com/0011i000001xnwNAAQ","Wong, Wee Nam")</f>
        <v>Wong, Wee Nam</v>
      </c>
      <c r="B5794" t="s">
        <v>10462</v>
      </c>
      <c r="C5794" t="s">
        <v>28</v>
      </c>
      <c r="D5794" t="s">
        <v>10375</v>
      </c>
      <c r="E5794" t="s">
        <v>8</v>
      </c>
      <c r="F5794" t="s">
        <v>4916</v>
      </c>
      <c r="G5794" t="s">
        <v>6052</v>
      </c>
      <c r="H5794" t="s">
        <v>10463</v>
      </c>
      <c r="I5794" t="s">
        <v>1783</v>
      </c>
    </row>
    <row r="5795" spans="1:9" x14ac:dyDescent="0.25">
      <c r="A5795" s="1" t="str">
        <f>HYPERLINK("https://lynxcrm-apac--c.eu19.visual.force.com/0011i000001xnwOAAQ","Wong, Wen Tsung")</f>
        <v>Wong, Wen Tsung</v>
      </c>
      <c r="B5795" t="s">
        <v>10464</v>
      </c>
      <c r="C5795" t="s">
        <v>28</v>
      </c>
      <c r="D5795" t="s">
        <v>10465</v>
      </c>
      <c r="E5795" t="s">
        <v>8</v>
      </c>
      <c r="F5795" t="s">
        <v>10466</v>
      </c>
      <c r="G5795" t="s">
        <v>2994</v>
      </c>
      <c r="H5795" t="s">
        <v>2994</v>
      </c>
      <c r="I5795" t="s">
        <v>10467</v>
      </c>
    </row>
    <row r="5796" spans="1:9" x14ac:dyDescent="0.25">
      <c r="A5796" s="1" t="str">
        <f>HYPERLINK("https://lynxcrm-apac--c.eu19.visual.force.com/0011i000001xnwQAAQ","Wong, Woon Wai James")</f>
        <v>Wong, Woon Wai James</v>
      </c>
      <c r="B5796" t="s">
        <v>10468</v>
      </c>
      <c r="C5796" t="s">
        <v>28</v>
      </c>
      <c r="D5796" t="s">
        <v>8725</v>
      </c>
      <c r="E5796" t="s">
        <v>8</v>
      </c>
      <c r="F5796" t="s">
        <v>377</v>
      </c>
      <c r="G5796" t="s">
        <v>8267</v>
      </c>
      <c r="H5796" t="s">
        <v>8267</v>
      </c>
      <c r="I5796" t="s">
        <v>123</v>
      </c>
    </row>
    <row r="5797" spans="1:9" x14ac:dyDescent="0.25">
      <c r="A5797" s="1" t="str">
        <f>HYPERLINK("https://lynxcrm-apac--c.eu19.visual.force.com/0011i000001xnwRAAQ","Wong, Wui Min")</f>
        <v>Wong, Wui Min</v>
      </c>
      <c r="B5797" t="s">
        <v>10469</v>
      </c>
      <c r="C5797" t="s">
        <v>28</v>
      </c>
      <c r="D5797" t="s">
        <v>10470</v>
      </c>
      <c r="E5797" t="s">
        <v>8</v>
      </c>
      <c r="F5797" t="s">
        <v>69</v>
      </c>
      <c r="G5797" t="s">
        <v>10471</v>
      </c>
      <c r="H5797" t="s">
        <v>10472</v>
      </c>
      <c r="I5797" t="s">
        <v>67</v>
      </c>
    </row>
    <row r="5798" spans="1:9" x14ac:dyDescent="0.25">
      <c r="A5798" s="1" t="str">
        <f>HYPERLINK("https://lynxcrm-apac--c.eu19.visual.force.com/0011i000001xoLzAAI","Wong, X F")</f>
        <v>Wong, X F</v>
      </c>
      <c r="B5798" t="s">
        <v>10473</v>
      </c>
      <c r="C5798" t="s">
        <v>28</v>
      </c>
      <c r="D5798" t="s">
        <v>1661</v>
      </c>
      <c r="E5798" t="s">
        <v>8</v>
      </c>
      <c r="F5798" t="s">
        <v>627</v>
      </c>
      <c r="G5798" t="s">
        <v>628</v>
      </c>
      <c r="H5798" t="s">
        <v>628</v>
      </c>
      <c r="I5798" t="s">
        <v>624</v>
      </c>
    </row>
    <row r="5799" spans="1:9" x14ac:dyDescent="0.25">
      <c r="A5799" s="1" t="str">
        <f>HYPERLINK("https://lynxcrm-apac--c.eu19.visual.force.com/0011i00000S3HIOAA3","Wong, Xiao Fung")</f>
        <v>Wong, Xiao Fung</v>
      </c>
      <c r="B5799" t="s">
        <v>10474</v>
      </c>
      <c r="C5799" t="s">
        <v>28</v>
      </c>
      <c r="D5799" t="s">
        <v>147</v>
      </c>
      <c r="E5799" t="s">
        <v>8</v>
      </c>
      <c r="F5799" t="s">
        <v>147</v>
      </c>
      <c r="G5799" t="s">
        <v>148</v>
      </c>
      <c r="H5799" t="s">
        <v>148</v>
      </c>
      <c r="I5799" t="s">
        <v>149</v>
      </c>
    </row>
    <row r="5800" spans="1:9" x14ac:dyDescent="0.25">
      <c r="A5800" s="1" t="str">
        <f>HYPERLINK("https://lynxcrm-apac--c.eu19.visual.force.com/0011i000002Id9wAAC","Wong, Xiu Yi")</f>
        <v>Wong, Xiu Yi</v>
      </c>
      <c r="B5800" t="s">
        <v>10475</v>
      </c>
      <c r="C5800" t="s">
        <v>28</v>
      </c>
      <c r="D5800" t="s">
        <v>58</v>
      </c>
      <c r="E5800" t="s">
        <v>8</v>
      </c>
      <c r="F5800" t="s">
        <v>57</v>
      </c>
      <c r="G5800" t="s">
        <v>57</v>
      </c>
      <c r="H5800" t="s">
        <v>8</v>
      </c>
      <c r="I5800" t="s">
        <v>59</v>
      </c>
    </row>
    <row r="5801" spans="1:9" x14ac:dyDescent="0.25">
      <c r="A5801" s="1" t="str">
        <f>HYPERLINK("https://lynxcrm-apac--c.eu19.visual.force.com/0011i000001xntoAAA","Wong, Yaw Kong Thurston")</f>
        <v>Wong, Yaw Kong Thurston</v>
      </c>
      <c r="B5801" t="s">
        <v>10476</v>
      </c>
      <c r="C5801" t="s">
        <v>28</v>
      </c>
      <c r="D5801" t="s">
        <v>545</v>
      </c>
      <c r="E5801" t="s">
        <v>8</v>
      </c>
      <c r="F5801" t="s">
        <v>844</v>
      </c>
      <c r="G5801" t="s">
        <v>845</v>
      </c>
      <c r="H5801" t="s">
        <v>846</v>
      </c>
      <c r="I5801" t="s">
        <v>847</v>
      </c>
    </row>
    <row r="5802" spans="1:9" x14ac:dyDescent="0.25">
      <c r="A5802" s="1" t="str">
        <f>HYPERLINK("https://lynxcrm-apac--c.eu19.visual.force.com/0011i000001xnwSAAQ","Wong, Yik Mun")</f>
        <v>Wong, Yik Mun</v>
      </c>
      <c r="B5802" t="s">
        <v>10477</v>
      </c>
      <c r="C5802" t="s">
        <v>28</v>
      </c>
      <c r="D5802" t="s">
        <v>5215</v>
      </c>
      <c r="E5802" t="s">
        <v>8</v>
      </c>
      <c r="F5802" t="s">
        <v>1849</v>
      </c>
      <c r="G5802" t="s">
        <v>5213</v>
      </c>
      <c r="H5802" t="s">
        <v>5214</v>
      </c>
      <c r="I5802" t="s">
        <v>51</v>
      </c>
    </row>
    <row r="5803" spans="1:9" x14ac:dyDescent="0.25">
      <c r="A5803" s="1" t="str">
        <f t="shared" ref="A5803:A5808" si="55">HYPERLINK("https://lynxcrm-apac--c.eu19.visual.force.com/0011i000001xoiHAAQ","Wong, Yip Fong")</f>
        <v>Wong, Yip Fong</v>
      </c>
      <c r="B5803" t="s">
        <v>10478</v>
      </c>
      <c r="C5803" t="s">
        <v>28</v>
      </c>
      <c r="D5803" t="s">
        <v>501</v>
      </c>
      <c r="E5803" t="s">
        <v>8</v>
      </c>
      <c r="F5803" t="s">
        <v>501</v>
      </c>
      <c r="G5803" t="s">
        <v>502</v>
      </c>
      <c r="H5803" t="s">
        <v>502</v>
      </c>
      <c r="I5803" t="s">
        <v>506</v>
      </c>
    </row>
    <row r="5804" spans="1:9" x14ac:dyDescent="0.25">
      <c r="A5804" s="1" t="str">
        <f t="shared" si="55"/>
        <v>Wong, Yip Fong</v>
      </c>
      <c r="B5804" t="s">
        <v>10478</v>
      </c>
      <c r="C5804" t="s">
        <v>28</v>
      </c>
      <c r="D5804" t="s">
        <v>501</v>
      </c>
      <c r="E5804" t="s">
        <v>8</v>
      </c>
      <c r="F5804" t="s">
        <v>502</v>
      </c>
      <c r="G5804" t="s">
        <v>502</v>
      </c>
      <c r="H5804" t="s">
        <v>503</v>
      </c>
      <c r="I5804" t="s">
        <v>504</v>
      </c>
    </row>
    <row r="5805" spans="1:9" x14ac:dyDescent="0.25">
      <c r="A5805" s="1" t="str">
        <f t="shared" si="55"/>
        <v>Wong, Yip Fong</v>
      </c>
      <c r="B5805" t="s">
        <v>10478</v>
      </c>
      <c r="C5805" t="s">
        <v>28</v>
      </c>
      <c r="D5805" t="s">
        <v>501</v>
      </c>
      <c r="E5805" t="s">
        <v>8</v>
      </c>
      <c r="F5805" t="s">
        <v>246</v>
      </c>
      <c r="G5805" t="s">
        <v>502</v>
      </c>
      <c r="H5805" t="s">
        <v>503</v>
      </c>
      <c r="I5805" t="s">
        <v>504</v>
      </c>
    </row>
    <row r="5806" spans="1:9" x14ac:dyDescent="0.25">
      <c r="A5806" s="1" t="str">
        <f t="shared" si="55"/>
        <v>Wong, Yip Fong</v>
      </c>
      <c r="B5806" t="s">
        <v>10478</v>
      </c>
      <c r="C5806" t="s">
        <v>28</v>
      </c>
      <c r="D5806" t="s">
        <v>501</v>
      </c>
      <c r="E5806" t="s">
        <v>8</v>
      </c>
      <c r="F5806" t="s">
        <v>246</v>
      </c>
      <c r="G5806" t="s">
        <v>502</v>
      </c>
      <c r="H5806" t="s">
        <v>503</v>
      </c>
      <c r="I5806" t="s">
        <v>505</v>
      </c>
    </row>
    <row r="5807" spans="1:9" x14ac:dyDescent="0.25">
      <c r="A5807" s="1" t="str">
        <f t="shared" si="55"/>
        <v>Wong, Yip Fong</v>
      </c>
      <c r="B5807" t="s">
        <v>10478</v>
      </c>
      <c r="C5807" t="s">
        <v>28</v>
      </c>
      <c r="D5807" t="s">
        <v>501</v>
      </c>
      <c r="E5807" t="s">
        <v>8</v>
      </c>
      <c r="F5807" t="s">
        <v>234</v>
      </c>
      <c r="G5807" t="s">
        <v>502</v>
      </c>
      <c r="H5807" t="s">
        <v>503</v>
      </c>
      <c r="I5807" t="s">
        <v>504</v>
      </c>
    </row>
    <row r="5808" spans="1:9" x14ac:dyDescent="0.25">
      <c r="A5808" s="1" t="str">
        <f t="shared" si="55"/>
        <v>Wong, Yip Fong</v>
      </c>
      <c r="B5808" t="s">
        <v>10478</v>
      </c>
      <c r="C5808" t="s">
        <v>28</v>
      </c>
      <c r="D5808" t="s">
        <v>501</v>
      </c>
      <c r="E5808" t="s">
        <v>8</v>
      </c>
      <c r="F5808" t="s">
        <v>359</v>
      </c>
      <c r="G5808" t="s">
        <v>502</v>
      </c>
      <c r="H5808" t="s">
        <v>503</v>
      </c>
      <c r="I5808" t="s">
        <v>506</v>
      </c>
    </row>
    <row r="5809" spans="1:9" x14ac:dyDescent="0.25">
      <c r="A5809" s="1" t="str">
        <f>HYPERLINK("https://lynxcrm-apac--c.eu19.visual.force.com/0011i000001xnwWAAQ","Wong, Yoke Hae Francis")</f>
        <v>Wong, Yoke Hae Francis</v>
      </c>
      <c r="B5809" t="s">
        <v>10479</v>
      </c>
      <c r="C5809" t="s">
        <v>28</v>
      </c>
      <c r="D5809" t="s">
        <v>1136</v>
      </c>
      <c r="E5809" t="s">
        <v>8</v>
      </c>
      <c r="F5809" t="s">
        <v>5115</v>
      </c>
      <c r="G5809" t="s">
        <v>121</v>
      </c>
      <c r="H5809" t="s">
        <v>121</v>
      </c>
      <c r="I5809" t="s">
        <v>123</v>
      </c>
    </row>
    <row r="5810" spans="1:9" x14ac:dyDescent="0.25">
      <c r="A5810" s="1" t="str">
        <f>HYPERLINK("https://lynxcrm-apac--c.eu19.visual.force.com/0011i000001xnwYAAQ","Wong, Yong Chow")</f>
        <v>Wong, Yong Chow</v>
      </c>
      <c r="B5810" t="s">
        <v>10480</v>
      </c>
      <c r="C5810" t="s">
        <v>28</v>
      </c>
      <c r="D5810" t="s">
        <v>10481</v>
      </c>
      <c r="E5810" t="s">
        <v>8</v>
      </c>
      <c r="F5810" t="s">
        <v>10482</v>
      </c>
      <c r="G5810" t="s">
        <v>1348</v>
      </c>
      <c r="H5810" t="s">
        <v>10483</v>
      </c>
      <c r="I5810" t="s">
        <v>10484</v>
      </c>
    </row>
    <row r="5811" spans="1:9" x14ac:dyDescent="0.25">
      <c r="A5811" s="1" t="str">
        <f>HYPERLINK("https://lynxcrm-apac--c.eu19.visual.force.com/0011i000001xnT9AAI","Wong Clinic")</f>
        <v>Wong Clinic</v>
      </c>
      <c r="B5811" t="s">
        <v>10485</v>
      </c>
      <c r="C5811" t="s">
        <v>10</v>
      </c>
      <c r="D5811" t="s">
        <v>8</v>
      </c>
      <c r="E5811" t="s">
        <v>8</v>
      </c>
      <c r="F5811" t="s">
        <v>10486</v>
      </c>
      <c r="G5811" t="s">
        <v>155</v>
      </c>
      <c r="H5811" t="s">
        <v>10487</v>
      </c>
      <c r="I5811" t="s">
        <v>157</v>
      </c>
    </row>
    <row r="5812" spans="1:9" x14ac:dyDescent="0.25">
      <c r="A5812" s="1" t="str">
        <f>HYPERLINK("https://lynxcrm-apac--c.eu19.visual.force.com/0011i000001xnDwAAI","Wong Clinic")</f>
        <v>Wong Clinic</v>
      </c>
      <c r="B5812" t="s">
        <v>10488</v>
      </c>
      <c r="C5812" t="s">
        <v>10</v>
      </c>
      <c r="D5812" t="s">
        <v>8</v>
      </c>
      <c r="E5812" t="s">
        <v>8</v>
      </c>
      <c r="F5812" t="s">
        <v>10486</v>
      </c>
      <c r="G5812" t="s">
        <v>155</v>
      </c>
      <c r="H5812" t="s">
        <v>10487</v>
      </c>
      <c r="I5812" t="s">
        <v>157</v>
      </c>
    </row>
    <row r="5813" spans="1:9" x14ac:dyDescent="0.25">
      <c r="A5813" s="1" t="str">
        <f>HYPERLINK("https://lynxcrm-apac--c.eu19.visual.force.com/0011i000001xmmuAAA","Wong Clinic &amp; Surgery")</f>
        <v>Wong Clinic &amp; Surgery</v>
      </c>
      <c r="B5813" t="s">
        <v>10489</v>
      </c>
      <c r="C5813" t="s">
        <v>10</v>
      </c>
      <c r="D5813" t="s">
        <v>8</v>
      </c>
      <c r="E5813" t="s">
        <v>8</v>
      </c>
      <c r="F5813" t="s">
        <v>4896</v>
      </c>
      <c r="G5813" t="s">
        <v>10376</v>
      </c>
      <c r="H5813" t="s">
        <v>10376</v>
      </c>
      <c r="I5813" t="s">
        <v>4898</v>
      </c>
    </row>
    <row r="5814" spans="1:9" x14ac:dyDescent="0.25">
      <c r="A5814" s="1" t="str">
        <f>HYPERLINK("https://lynxcrm-apac--c.eu19.visual.force.com/0011i000001xnV9AAI","Wong Clinic &amp; Surgery")</f>
        <v>Wong Clinic &amp; Surgery</v>
      </c>
      <c r="B5814" t="s">
        <v>10490</v>
      </c>
      <c r="C5814" t="s">
        <v>10</v>
      </c>
      <c r="D5814" t="s">
        <v>8</v>
      </c>
      <c r="E5814" t="s">
        <v>8</v>
      </c>
      <c r="F5814" t="s">
        <v>4916</v>
      </c>
      <c r="G5814" t="s">
        <v>6052</v>
      </c>
      <c r="H5814" t="s">
        <v>10463</v>
      </c>
      <c r="I5814" t="s">
        <v>1783</v>
      </c>
    </row>
    <row r="5815" spans="1:9" x14ac:dyDescent="0.25">
      <c r="A5815" s="1" t="str">
        <f>HYPERLINK("https://lynxcrm-apac--c.eu19.visual.force.com/0011i000001xnKDAAY","Wong Family Clinic &amp; Surgery")</f>
        <v>Wong Family Clinic &amp; Surgery</v>
      </c>
      <c r="B5815" t="s">
        <v>10491</v>
      </c>
      <c r="C5815" t="s">
        <v>10</v>
      </c>
      <c r="D5815" t="s">
        <v>8</v>
      </c>
      <c r="E5815" t="s">
        <v>8</v>
      </c>
      <c r="F5815" t="s">
        <v>10362</v>
      </c>
      <c r="G5815" t="s">
        <v>10363</v>
      </c>
      <c r="H5815" t="s">
        <v>10363</v>
      </c>
      <c r="I5815" t="s">
        <v>9538</v>
      </c>
    </row>
    <row r="5816" spans="1:9" x14ac:dyDescent="0.25">
      <c r="A5816" s="1" t="str">
        <f>HYPERLINK("https://lynxcrm-apac--c.eu19.visual.force.com/0011i000001xnGXAAY","Wong Sze Tai Clinic")</f>
        <v>Wong Sze Tai Clinic</v>
      </c>
      <c r="B5816" t="s">
        <v>10492</v>
      </c>
      <c r="C5816" t="s">
        <v>10</v>
      </c>
      <c r="D5816" t="s">
        <v>8</v>
      </c>
      <c r="E5816" t="s">
        <v>8</v>
      </c>
      <c r="F5816" t="s">
        <v>69</v>
      </c>
      <c r="G5816" t="s">
        <v>10493</v>
      </c>
      <c r="H5816" t="s">
        <v>10493</v>
      </c>
      <c r="I5816" t="s">
        <v>67</v>
      </c>
    </row>
    <row r="5817" spans="1:9" x14ac:dyDescent="0.25">
      <c r="A5817" s="1" t="str">
        <f>HYPERLINK("https://lynxcrm-apac--c.eu19.visual.force.com/0011i00000W3eXgAAJ","Wong Te Ching, Mark")</f>
        <v>Wong Te Ching, Mark</v>
      </c>
      <c r="B5817" t="s">
        <v>10494</v>
      </c>
      <c r="C5817" t="s">
        <v>28</v>
      </c>
      <c r="D5817" t="s">
        <v>10495</v>
      </c>
      <c r="E5817" t="s">
        <v>8</v>
      </c>
      <c r="F5817" t="s">
        <v>10496</v>
      </c>
      <c r="G5817" t="s">
        <v>10497</v>
      </c>
      <c r="H5817" t="s">
        <v>8</v>
      </c>
      <c r="I5817" t="s">
        <v>344</v>
      </c>
    </row>
    <row r="5818" spans="1:9" x14ac:dyDescent="0.25">
      <c r="A5818" s="1" t="str">
        <f t="shared" ref="A5818:A5830" si="56">HYPERLINK("https://lynxcrm-apac--c.eu19.visual.force.com/0011i000007E9x7AAC","Wong Yee Min, May")</f>
        <v>Wong Yee Min, May</v>
      </c>
      <c r="B5818" t="s">
        <v>10498</v>
      </c>
      <c r="C5818" t="s">
        <v>28</v>
      </c>
      <c r="D5818" t="s">
        <v>164</v>
      </c>
      <c r="E5818" t="s">
        <v>8</v>
      </c>
      <c r="F5818" t="s">
        <v>236</v>
      </c>
      <c r="G5818" t="s">
        <v>237</v>
      </c>
      <c r="H5818" t="s">
        <v>237</v>
      </c>
      <c r="I5818" t="s">
        <v>165</v>
      </c>
    </row>
    <row r="5819" spans="1:9" x14ac:dyDescent="0.25">
      <c r="A5819" s="1" t="str">
        <f t="shared" si="56"/>
        <v>Wong Yee Min, May</v>
      </c>
      <c r="B5819" t="s">
        <v>10498</v>
      </c>
      <c r="C5819" t="s">
        <v>28</v>
      </c>
      <c r="D5819" t="s">
        <v>164</v>
      </c>
      <c r="E5819" t="s">
        <v>8</v>
      </c>
      <c r="F5819" t="s">
        <v>238</v>
      </c>
      <c r="G5819" t="s">
        <v>163</v>
      </c>
      <c r="H5819" t="s">
        <v>163</v>
      </c>
      <c r="I5819" t="s">
        <v>165</v>
      </c>
    </row>
    <row r="5820" spans="1:9" x14ac:dyDescent="0.25">
      <c r="A5820" s="1" t="str">
        <f t="shared" si="56"/>
        <v>Wong Yee Min, May</v>
      </c>
      <c r="B5820" t="s">
        <v>10498</v>
      </c>
      <c r="C5820" t="s">
        <v>28</v>
      </c>
      <c r="D5820" t="s">
        <v>164</v>
      </c>
      <c r="E5820" t="s">
        <v>8</v>
      </c>
      <c r="F5820" t="s">
        <v>234</v>
      </c>
      <c r="G5820" t="s">
        <v>163</v>
      </c>
      <c r="H5820" t="s">
        <v>163</v>
      </c>
      <c r="I5820" t="s">
        <v>244</v>
      </c>
    </row>
    <row r="5821" spans="1:9" x14ac:dyDescent="0.25">
      <c r="A5821" s="1" t="str">
        <f t="shared" si="56"/>
        <v>Wong Yee Min, May</v>
      </c>
      <c r="B5821" t="s">
        <v>10498</v>
      </c>
      <c r="C5821" t="s">
        <v>28</v>
      </c>
      <c r="D5821" t="s">
        <v>164</v>
      </c>
      <c r="E5821" t="s">
        <v>8</v>
      </c>
      <c r="F5821" t="s">
        <v>239</v>
      </c>
      <c r="G5821" t="s">
        <v>163</v>
      </c>
      <c r="H5821" t="s">
        <v>163</v>
      </c>
      <c r="I5821" t="s">
        <v>165</v>
      </c>
    </row>
    <row r="5822" spans="1:9" x14ac:dyDescent="0.25">
      <c r="A5822" s="1" t="str">
        <f t="shared" si="56"/>
        <v>Wong Yee Min, May</v>
      </c>
      <c r="B5822" t="s">
        <v>10498</v>
      </c>
      <c r="C5822" t="s">
        <v>28</v>
      </c>
      <c r="D5822" t="s">
        <v>164</v>
      </c>
      <c r="E5822" t="s">
        <v>8</v>
      </c>
      <c r="F5822" t="s">
        <v>240</v>
      </c>
      <c r="G5822" t="s">
        <v>163</v>
      </c>
      <c r="H5822" t="s">
        <v>163</v>
      </c>
      <c r="I5822" t="s">
        <v>165</v>
      </c>
    </row>
    <row r="5823" spans="1:9" x14ac:dyDescent="0.25">
      <c r="A5823" s="1" t="str">
        <f t="shared" si="56"/>
        <v>Wong Yee Min, May</v>
      </c>
      <c r="B5823" t="s">
        <v>10498</v>
      </c>
      <c r="C5823" t="s">
        <v>28</v>
      </c>
      <c r="D5823" t="s">
        <v>164</v>
      </c>
      <c r="E5823" t="s">
        <v>8</v>
      </c>
      <c r="F5823" t="s">
        <v>234</v>
      </c>
      <c r="G5823" t="s">
        <v>163</v>
      </c>
      <c r="H5823" t="s">
        <v>163</v>
      </c>
      <c r="I5823" t="s">
        <v>235</v>
      </c>
    </row>
    <row r="5824" spans="1:9" x14ac:dyDescent="0.25">
      <c r="A5824" s="1" t="str">
        <f t="shared" si="56"/>
        <v>Wong Yee Min, May</v>
      </c>
      <c r="B5824" t="s">
        <v>10498</v>
      </c>
      <c r="C5824" t="s">
        <v>28</v>
      </c>
      <c r="D5824" t="s">
        <v>164</v>
      </c>
      <c r="E5824" t="s">
        <v>8</v>
      </c>
      <c r="F5824" t="s">
        <v>241</v>
      </c>
      <c r="G5824" t="s">
        <v>163</v>
      </c>
      <c r="H5824" t="s">
        <v>242</v>
      </c>
      <c r="I5824" t="s">
        <v>165</v>
      </c>
    </row>
    <row r="5825" spans="1:9" x14ac:dyDescent="0.25">
      <c r="A5825" s="1" t="str">
        <f t="shared" si="56"/>
        <v>Wong Yee Min, May</v>
      </c>
      <c r="B5825" t="s">
        <v>10498</v>
      </c>
      <c r="C5825" t="s">
        <v>28</v>
      </c>
      <c r="D5825" t="s">
        <v>164</v>
      </c>
      <c r="E5825" t="s">
        <v>8</v>
      </c>
      <c r="F5825" t="s">
        <v>243</v>
      </c>
      <c r="G5825" t="s">
        <v>163</v>
      </c>
      <c r="H5825" t="s">
        <v>163</v>
      </c>
      <c r="I5825" t="s">
        <v>244</v>
      </c>
    </row>
    <row r="5826" spans="1:9" x14ac:dyDescent="0.25">
      <c r="A5826" s="1" t="str">
        <f t="shared" si="56"/>
        <v>Wong Yee Min, May</v>
      </c>
      <c r="B5826" t="s">
        <v>10498</v>
      </c>
      <c r="C5826" t="s">
        <v>28</v>
      </c>
      <c r="D5826" t="s">
        <v>164</v>
      </c>
      <c r="E5826" t="s">
        <v>8</v>
      </c>
      <c r="F5826" t="s">
        <v>245</v>
      </c>
      <c r="G5826" t="s">
        <v>163</v>
      </c>
      <c r="H5826" t="s">
        <v>163</v>
      </c>
      <c r="I5826" t="s">
        <v>165</v>
      </c>
    </row>
    <row r="5827" spans="1:9" x14ac:dyDescent="0.25">
      <c r="A5827" s="1" t="str">
        <f t="shared" si="56"/>
        <v>Wong Yee Min, May</v>
      </c>
      <c r="B5827" t="s">
        <v>10498</v>
      </c>
      <c r="C5827" t="s">
        <v>28</v>
      </c>
      <c r="D5827" t="s">
        <v>164</v>
      </c>
      <c r="E5827" t="s">
        <v>8</v>
      </c>
      <c r="F5827" t="s">
        <v>246</v>
      </c>
      <c r="G5827" t="s">
        <v>163</v>
      </c>
      <c r="H5827" t="s">
        <v>163</v>
      </c>
      <c r="I5827" t="s">
        <v>244</v>
      </c>
    </row>
    <row r="5828" spans="1:9" x14ac:dyDescent="0.25">
      <c r="A5828" s="1" t="str">
        <f t="shared" si="56"/>
        <v>Wong Yee Min, May</v>
      </c>
      <c r="B5828" t="s">
        <v>10498</v>
      </c>
      <c r="C5828" t="s">
        <v>28</v>
      </c>
      <c r="D5828" t="s">
        <v>164</v>
      </c>
      <c r="E5828" t="s">
        <v>8</v>
      </c>
      <c r="F5828" t="s">
        <v>247</v>
      </c>
      <c r="G5828" t="s">
        <v>163</v>
      </c>
      <c r="H5828" t="s">
        <v>242</v>
      </c>
      <c r="I5828" t="s">
        <v>165</v>
      </c>
    </row>
    <row r="5829" spans="1:9" x14ac:dyDescent="0.25">
      <c r="A5829" s="1" t="str">
        <f t="shared" si="56"/>
        <v>Wong Yee Min, May</v>
      </c>
      <c r="B5829" t="s">
        <v>10498</v>
      </c>
      <c r="C5829" t="s">
        <v>28</v>
      </c>
      <c r="D5829" t="s">
        <v>164</v>
      </c>
      <c r="E5829" t="s">
        <v>8</v>
      </c>
      <c r="F5829" t="s">
        <v>248</v>
      </c>
      <c r="G5829" t="s">
        <v>163</v>
      </c>
      <c r="H5829" t="s">
        <v>242</v>
      </c>
      <c r="I5829" t="s">
        <v>165</v>
      </c>
    </row>
    <row r="5830" spans="1:9" x14ac:dyDescent="0.25">
      <c r="A5830" s="1" t="str">
        <f t="shared" si="56"/>
        <v>Wong Yee Min, May</v>
      </c>
      <c r="B5830" t="s">
        <v>10498</v>
      </c>
      <c r="C5830" t="s">
        <v>28</v>
      </c>
      <c r="D5830" t="s">
        <v>164</v>
      </c>
      <c r="E5830" t="s">
        <v>8</v>
      </c>
      <c r="F5830" t="s">
        <v>249</v>
      </c>
      <c r="G5830" t="s">
        <v>163</v>
      </c>
      <c r="H5830" t="s">
        <v>163</v>
      </c>
      <c r="I5830" t="s">
        <v>165</v>
      </c>
    </row>
    <row r="5831" spans="1:9" x14ac:dyDescent="0.25">
      <c r="A5831" s="1" t="str">
        <f>HYPERLINK("https://lynxcrm-apac--c.eu19.visual.force.com/0011i000007DbY4AAK","Woo, Alvin")</f>
        <v>Woo, Alvin</v>
      </c>
      <c r="B5831" t="s">
        <v>10499</v>
      </c>
      <c r="C5831" t="s">
        <v>28</v>
      </c>
      <c r="D5831" t="s">
        <v>8</v>
      </c>
      <c r="E5831" t="s">
        <v>8</v>
      </c>
      <c r="F5831" t="s">
        <v>3838</v>
      </c>
      <c r="G5831" t="s">
        <v>3317</v>
      </c>
      <c r="H5831" t="s">
        <v>3893</v>
      </c>
      <c r="I5831" t="s">
        <v>3839</v>
      </c>
    </row>
    <row r="5832" spans="1:9" x14ac:dyDescent="0.25">
      <c r="A5832" s="1" t="str">
        <f>HYPERLINK("https://lynxcrm-apac--c.eu19.visual.force.com/0011i000007DbY4AAK","Woo, Alvin")</f>
        <v>Woo, Alvin</v>
      </c>
      <c r="B5832" t="s">
        <v>10499</v>
      </c>
      <c r="C5832" t="s">
        <v>28</v>
      </c>
      <c r="D5832" t="s">
        <v>3837</v>
      </c>
      <c r="E5832" t="s">
        <v>8</v>
      </c>
      <c r="F5832" t="s">
        <v>3838</v>
      </c>
      <c r="G5832" t="s">
        <v>3317</v>
      </c>
      <c r="H5832" t="s">
        <v>3893</v>
      </c>
      <c r="I5832" t="s">
        <v>3839</v>
      </c>
    </row>
    <row r="5833" spans="1:9" x14ac:dyDescent="0.25">
      <c r="A5833" s="1" t="str">
        <f>HYPERLINK("https://lynxcrm-apac--c.eu19.visual.force.com/0011i000001xodOAAQ","Woo, Evan")</f>
        <v>Woo, Evan</v>
      </c>
      <c r="B5833" t="s">
        <v>10500</v>
      </c>
      <c r="C5833" t="s">
        <v>28</v>
      </c>
      <c r="D5833" t="s">
        <v>251</v>
      </c>
      <c r="E5833" t="s">
        <v>8</v>
      </c>
      <c r="F5833" t="s">
        <v>251</v>
      </c>
      <c r="G5833" t="s">
        <v>252</v>
      </c>
      <c r="H5833" t="s">
        <v>252</v>
      </c>
      <c r="I5833" t="s">
        <v>253</v>
      </c>
    </row>
    <row r="5834" spans="1:9" x14ac:dyDescent="0.25">
      <c r="A5834" s="1" t="str">
        <f>HYPERLINK("https://lynxcrm-apac--c.eu19.visual.force.com/0011i000001xodOAAQ","Woo, Evan")</f>
        <v>Woo, Evan</v>
      </c>
      <c r="B5834" t="s">
        <v>10500</v>
      </c>
      <c r="C5834" t="s">
        <v>28</v>
      </c>
      <c r="D5834" t="s">
        <v>251</v>
      </c>
      <c r="E5834" t="s">
        <v>8</v>
      </c>
      <c r="F5834" t="s">
        <v>3905</v>
      </c>
      <c r="G5834" t="s">
        <v>252</v>
      </c>
      <c r="H5834" t="s">
        <v>858</v>
      </c>
      <c r="I5834" t="s">
        <v>253</v>
      </c>
    </row>
    <row r="5835" spans="1:9" x14ac:dyDescent="0.25">
      <c r="A5835" s="1" t="str">
        <f>HYPERLINK("https://lynxcrm-apac--c.eu19.visual.force.com/0011i000007FFzqAAG","Woo, Jia Wei")</f>
        <v>Woo, Jia Wei</v>
      </c>
      <c r="B5835" t="s">
        <v>10501</v>
      </c>
      <c r="C5835" t="s">
        <v>28</v>
      </c>
      <c r="D5835" t="s">
        <v>429</v>
      </c>
      <c r="E5835" t="s">
        <v>8</v>
      </c>
      <c r="F5835" t="s">
        <v>429</v>
      </c>
      <c r="G5835" t="s">
        <v>428</v>
      </c>
      <c r="H5835" t="s">
        <v>428</v>
      </c>
      <c r="I5835" t="s">
        <v>430</v>
      </c>
    </row>
    <row r="5836" spans="1:9" x14ac:dyDescent="0.25">
      <c r="A5836" s="1" t="str">
        <f>HYPERLINK("https://lynxcrm-apac--c.eu19.visual.force.com/0011i000007FFzqAAG","Woo, Jia Wei")</f>
        <v>Woo, Jia Wei</v>
      </c>
      <c r="B5836" t="s">
        <v>10501</v>
      </c>
      <c r="C5836" t="s">
        <v>28</v>
      </c>
      <c r="D5836" t="s">
        <v>10502</v>
      </c>
      <c r="E5836" t="s">
        <v>8</v>
      </c>
      <c r="F5836" t="s">
        <v>8897</v>
      </c>
      <c r="G5836" t="s">
        <v>564</v>
      </c>
      <c r="H5836" t="s">
        <v>8</v>
      </c>
      <c r="I5836" t="s">
        <v>8898</v>
      </c>
    </row>
    <row r="5837" spans="1:9" x14ac:dyDescent="0.25">
      <c r="A5837" s="1" t="str">
        <f>HYPERLINK("https://lynxcrm-apac--c.eu19.visual.force.com/0011i000001xo8XAAQ","Woo, Keng Thye")</f>
        <v>Woo, Keng Thye</v>
      </c>
      <c r="B5837" t="s">
        <v>10503</v>
      </c>
      <c r="C5837" t="s">
        <v>28</v>
      </c>
      <c r="D5837" t="s">
        <v>251</v>
      </c>
      <c r="E5837" t="s">
        <v>8</v>
      </c>
      <c r="F5837" t="s">
        <v>241</v>
      </c>
      <c r="G5837" t="s">
        <v>252</v>
      </c>
      <c r="H5837" t="s">
        <v>252</v>
      </c>
      <c r="I5837" t="s">
        <v>253</v>
      </c>
    </row>
    <row r="5838" spans="1:9" x14ac:dyDescent="0.25">
      <c r="A5838" s="1" t="str">
        <f>HYPERLINK("https://lynxcrm-apac--c.eu19.visual.force.com/0011i000001xnwaAAA","Woo, Soon Fatt")</f>
        <v>Woo, Soon Fatt</v>
      </c>
      <c r="B5838" t="s">
        <v>10504</v>
      </c>
      <c r="C5838" t="s">
        <v>28</v>
      </c>
      <c r="D5838" t="s">
        <v>10505</v>
      </c>
      <c r="E5838" t="s">
        <v>8</v>
      </c>
      <c r="F5838" t="s">
        <v>7509</v>
      </c>
      <c r="G5838" t="s">
        <v>1958</v>
      </c>
      <c r="H5838" t="s">
        <v>1958</v>
      </c>
      <c r="I5838" t="s">
        <v>2377</v>
      </c>
    </row>
    <row r="5839" spans="1:9" x14ac:dyDescent="0.25">
      <c r="A5839" s="1" t="str">
        <f>HYPERLINK("https://lynxcrm-apac--c.eu19.visual.force.com/0011i000001xmbqAAA","Woodlands Clinic")</f>
        <v>Woodlands Clinic</v>
      </c>
      <c r="B5839" t="s">
        <v>10506</v>
      </c>
      <c r="C5839" t="s">
        <v>10</v>
      </c>
      <c r="D5839" t="s">
        <v>8</v>
      </c>
      <c r="E5839" t="s">
        <v>8</v>
      </c>
      <c r="F5839" t="s">
        <v>6565</v>
      </c>
      <c r="G5839" t="s">
        <v>8927</v>
      </c>
      <c r="H5839" t="s">
        <v>10507</v>
      </c>
      <c r="I5839" t="s">
        <v>6567</v>
      </c>
    </row>
    <row r="5840" spans="1:9" x14ac:dyDescent="0.25">
      <c r="A5840" s="1" t="str">
        <f>HYPERLINK("https://lynxcrm-apac--c.eu19.visual.force.com/0011i000001xmfMAAQ","Woodlands Family Clinic")</f>
        <v>Woodlands Family Clinic</v>
      </c>
      <c r="B5840" t="s">
        <v>10508</v>
      </c>
      <c r="C5840" t="s">
        <v>10</v>
      </c>
      <c r="D5840" t="s">
        <v>8</v>
      </c>
      <c r="E5840" t="s">
        <v>8</v>
      </c>
      <c r="F5840" t="s">
        <v>8999</v>
      </c>
      <c r="G5840" t="s">
        <v>830</v>
      </c>
      <c r="H5840" t="s">
        <v>9000</v>
      </c>
      <c r="I5840" t="s">
        <v>4002</v>
      </c>
    </row>
    <row r="5841" spans="1:9" x14ac:dyDescent="0.25">
      <c r="A5841" s="1" t="str">
        <f>HYPERLINK("https://lynxcrm-apac--c.eu19.visual.force.com/0011i000001xmcmAAA","Woodlands Polyclinic")</f>
        <v>Woodlands Polyclinic</v>
      </c>
      <c r="B5841" t="s">
        <v>10509</v>
      </c>
      <c r="C5841" t="s">
        <v>10</v>
      </c>
      <c r="D5841" t="s">
        <v>8</v>
      </c>
      <c r="E5841" t="s">
        <v>8</v>
      </c>
      <c r="F5841" t="s">
        <v>5446</v>
      </c>
      <c r="G5841" t="s">
        <v>5446</v>
      </c>
      <c r="H5841" t="s">
        <v>5447</v>
      </c>
      <c r="I5841" t="s">
        <v>22</v>
      </c>
    </row>
    <row r="5842" spans="1:9" x14ac:dyDescent="0.25">
      <c r="A5842" s="1" t="str">
        <f>HYPERLINK("https://lynxcrm-apac--c.eu19.visual.force.com/0011i000001xnWoAAI","Woodlands Polyclinic")</f>
        <v>Woodlands Polyclinic</v>
      </c>
      <c r="B5842" t="s">
        <v>10510</v>
      </c>
      <c r="C5842" t="s">
        <v>10</v>
      </c>
      <c r="D5842" t="s">
        <v>8</v>
      </c>
      <c r="E5842" t="s">
        <v>8</v>
      </c>
      <c r="F5842" t="s">
        <v>699</v>
      </c>
      <c r="G5842" t="s">
        <v>699</v>
      </c>
      <c r="H5842" t="s">
        <v>8</v>
      </c>
      <c r="I5842" t="s">
        <v>22</v>
      </c>
    </row>
    <row r="5843" spans="1:9" x14ac:dyDescent="0.25">
      <c r="A5843" s="1" t="str">
        <f>HYPERLINK("https://lynxcrm-apac--c.eu19.visual.force.com/0011i000001xnZuAAI","Woods Medical Clinic Pte Ltd")</f>
        <v>Woods Medical Clinic Pte Ltd</v>
      </c>
      <c r="B5843" t="s">
        <v>10511</v>
      </c>
      <c r="C5843" t="s">
        <v>10</v>
      </c>
      <c r="D5843" t="s">
        <v>8</v>
      </c>
      <c r="E5843" t="s">
        <v>8</v>
      </c>
      <c r="F5843" t="s">
        <v>6120</v>
      </c>
      <c r="G5843" t="s">
        <v>6121</v>
      </c>
      <c r="H5843" t="s">
        <v>6122</v>
      </c>
      <c r="I5843" t="s">
        <v>6123</v>
      </c>
    </row>
    <row r="5844" spans="1:9" x14ac:dyDescent="0.25">
      <c r="A5844" s="1" t="str">
        <f>HYPERLINK("https://lynxcrm-apac--c.eu19.visual.force.com/0011i000001xoO0AAI","Woodworth, Belinda Ann")</f>
        <v>Woodworth, Belinda Ann</v>
      </c>
      <c r="B5844" t="s">
        <v>10512</v>
      </c>
      <c r="C5844" t="s">
        <v>28</v>
      </c>
      <c r="D5844" t="s">
        <v>10513</v>
      </c>
      <c r="E5844" t="s">
        <v>8</v>
      </c>
      <c r="F5844" t="s">
        <v>4132</v>
      </c>
      <c r="G5844" t="s">
        <v>5803</v>
      </c>
      <c r="H5844" t="s">
        <v>5804</v>
      </c>
      <c r="I5844" t="s">
        <v>4038</v>
      </c>
    </row>
    <row r="5845" spans="1:9" x14ac:dyDescent="0.25">
      <c r="A5845" s="1" t="str">
        <f>HYPERLINK("https://lynxcrm-apac--c.eu19.visual.force.com/0011i000001xnwbAAA","Woon, Chee Hong")</f>
        <v>Woon, Chee Hong</v>
      </c>
      <c r="B5845" t="s">
        <v>10514</v>
      </c>
      <c r="C5845" t="s">
        <v>28</v>
      </c>
      <c r="D5845" t="s">
        <v>10515</v>
      </c>
      <c r="E5845" t="s">
        <v>8</v>
      </c>
      <c r="F5845" t="s">
        <v>191</v>
      </c>
      <c r="G5845" t="s">
        <v>5810</v>
      </c>
      <c r="H5845" t="s">
        <v>5811</v>
      </c>
      <c r="I5845" t="s">
        <v>193</v>
      </c>
    </row>
    <row r="5846" spans="1:9" x14ac:dyDescent="0.25">
      <c r="A5846" s="1" t="str">
        <f>HYPERLINK("https://lynxcrm-apac--c.eu19.visual.force.com/0011i000001xoI6AAI","Woon, Frances")</f>
        <v>Woon, Frances</v>
      </c>
      <c r="B5846" t="s">
        <v>10516</v>
      </c>
      <c r="C5846" t="s">
        <v>28</v>
      </c>
      <c r="D5846" t="s">
        <v>10517</v>
      </c>
      <c r="E5846" t="s">
        <v>8</v>
      </c>
      <c r="F5846" t="s">
        <v>69</v>
      </c>
      <c r="G5846" t="s">
        <v>648</v>
      </c>
      <c r="H5846" t="s">
        <v>10518</v>
      </c>
      <c r="I5846" t="s">
        <v>67</v>
      </c>
    </row>
    <row r="5847" spans="1:9" x14ac:dyDescent="0.25">
      <c r="A5847" s="1" t="str">
        <f>HYPERLINK("https://lynxcrm-apac--c.eu19.visual.force.com/0011i000001xoVxAAI","Woon, Sin Yong")</f>
        <v>Woon, Sin Yong</v>
      </c>
      <c r="B5847" t="s">
        <v>10519</v>
      </c>
      <c r="C5847" t="s">
        <v>28</v>
      </c>
      <c r="D5847" t="s">
        <v>10520</v>
      </c>
      <c r="E5847" t="s">
        <v>8</v>
      </c>
      <c r="F5847" t="s">
        <v>9882</v>
      </c>
      <c r="G5847" t="s">
        <v>564</v>
      </c>
      <c r="H5847" t="s">
        <v>9883</v>
      </c>
      <c r="I5847" t="s">
        <v>9884</v>
      </c>
    </row>
    <row r="5848" spans="1:9" x14ac:dyDescent="0.25">
      <c r="A5848" s="1" t="str">
        <f>HYPERLINK("https://lynxcrm-apac--c.eu19.visual.force.com/0011i000001xoGgAAI","Woon, Voon Ching")</f>
        <v>Woon, Voon Ching</v>
      </c>
      <c r="B5848" t="s">
        <v>10521</v>
      </c>
      <c r="C5848" t="s">
        <v>28</v>
      </c>
      <c r="D5848" t="s">
        <v>3572</v>
      </c>
      <c r="E5848" t="s">
        <v>8</v>
      </c>
      <c r="F5848" t="s">
        <v>444</v>
      </c>
      <c r="G5848" t="s">
        <v>3573</v>
      </c>
      <c r="H5848" t="s">
        <v>3573</v>
      </c>
      <c r="I5848" t="s">
        <v>430</v>
      </c>
    </row>
    <row r="5849" spans="1:9" x14ac:dyDescent="0.25">
      <c r="A5849" s="1" t="str">
        <f>HYPERLINK("https://lynxcrm-apac--c.eu19.visual.force.com/0011i000001xoYGAAY","Woon, Yng Yng Bertha")</f>
        <v>Woon, Yng Yng Bertha</v>
      </c>
      <c r="B5849" t="s">
        <v>10522</v>
      </c>
      <c r="C5849" t="s">
        <v>28</v>
      </c>
      <c r="D5849" t="s">
        <v>10523</v>
      </c>
      <c r="E5849" t="s">
        <v>8</v>
      </c>
      <c r="F5849" t="s">
        <v>879</v>
      </c>
      <c r="G5849" t="s">
        <v>65</v>
      </c>
      <c r="H5849" t="s">
        <v>65</v>
      </c>
      <c r="I5849" t="s">
        <v>67</v>
      </c>
    </row>
    <row r="5850" spans="1:9" x14ac:dyDescent="0.25">
      <c r="A5850" s="1" t="str">
        <f>HYPERLINK("https://lynxcrm-apac--c.eu19.visual.force.com/0011i000001xnwcAAA","Wu, Dah Wei David")</f>
        <v>Wu, Dah Wei David</v>
      </c>
      <c r="B5850" t="s">
        <v>10524</v>
      </c>
      <c r="C5850" t="s">
        <v>28</v>
      </c>
      <c r="D5850" t="s">
        <v>10525</v>
      </c>
      <c r="E5850" t="s">
        <v>8</v>
      </c>
      <c r="F5850" t="s">
        <v>3355</v>
      </c>
      <c r="G5850" t="s">
        <v>3356</v>
      </c>
      <c r="H5850" t="s">
        <v>3356</v>
      </c>
      <c r="I5850" t="s">
        <v>3357</v>
      </c>
    </row>
    <row r="5851" spans="1:9" x14ac:dyDescent="0.25">
      <c r="A5851" s="1" t="str">
        <f>HYPERLINK("https://lynxcrm-apac--c.eu19.visual.force.com/0011i000001xnwgAAA","Wu, Dar Ching")</f>
        <v>Wu, Dar Ching</v>
      </c>
      <c r="B5851" t="s">
        <v>10526</v>
      </c>
      <c r="C5851" t="s">
        <v>28</v>
      </c>
      <c r="D5851" t="s">
        <v>9184</v>
      </c>
      <c r="E5851" t="s">
        <v>8</v>
      </c>
      <c r="F5851" t="s">
        <v>377</v>
      </c>
      <c r="G5851" t="s">
        <v>1053</v>
      </c>
      <c r="H5851" t="s">
        <v>1053</v>
      </c>
      <c r="I5851" t="s">
        <v>123</v>
      </c>
    </row>
    <row r="5852" spans="1:9" x14ac:dyDescent="0.25">
      <c r="A5852" s="1" t="str">
        <f>HYPERLINK("https://lynxcrm-apac--c.eu19.visual.force.com/0011i000001xoX1AAI","Wu, Loo Cheng")</f>
        <v>Wu, Loo Cheng</v>
      </c>
      <c r="B5852" t="s">
        <v>10527</v>
      </c>
      <c r="C5852" t="s">
        <v>28</v>
      </c>
      <c r="D5852" t="s">
        <v>1253</v>
      </c>
      <c r="E5852" t="s">
        <v>8</v>
      </c>
      <c r="F5852" t="s">
        <v>635</v>
      </c>
      <c r="G5852" t="s">
        <v>360</v>
      </c>
      <c r="H5852" t="s">
        <v>361</v>
      </c>
      <c r="I5852" t="s">
        <v>362</v>
      </c>
    </row>
    <row r="5853" spans="1:9" x14ac:dyDescent="0.25">
      <c r="A5853" s="1" t="str">
        <f>HYPERLINK("https://lynxcrm-apac--c.eu19.visual.force.com/0011i000001xo7QAAQ","Wu, Tze Liang Woffl")</f>
        <v>Wu, Tze Liang Woffl</v>
      </c>
      <c r="B5853" t="s">
        <v>10528</v>
      </c>
      <c r="C5853" t="s">
        <v>28</v>
      </c>
      <c r="D5853" t="s">
        <v>10529</v>
      </c>
      <c r="E5853" t="s">
        <v>8</v>
      </c>
      <c r="F5853" t="s">
        <v>49</v>
      </c>
      <c r="G5853" t="s">
        <v>50</v>
      </c>
      <c r="H5853" t="s">
        <v>50</v>
      </c>
      <c r="I5853" t="s">
        <v>51</v>
      </c>
    </row>
    <row r="5854" spans="1:9" x14ac:dyDescent="0.25">
      <c r="A5854" s="1" t="str">
        <f>HYPERLINK("https://lynxcrm-apac--c.eu19.visual.force.com/0011i000001xnwiAAA","Wu, Yik-Tian Akira")</f>
        <v>Wu, Yik-Tian Akira</v>
      </c>
      <c r="B5854" t="s">
        <v>10530</v>
      </c>
      <c r="C5854" t="s">
        <v>28</v>
      </c>
      <c r="D5854" t="s">
        <v>10531</v>
      </c>
      <c r="E5854" t="s">
        <v>8</v>
      </c>
      <c r="F5854" t="s">
        <v>373</v>
      </c>
      <c r="G5854" t="s">
        <v>10532</v>
      </c>
      <c r="H5854" t="s">
        <v>10533</v>
      </c>
      <c r="I5854" t="s">
        <v>123</v>
      </c>
    </row>
    <row r="5855" spans="1:9" x14ac:dyDescent="0.25">
      <c r="A5855" s="1" t="str">
        <f>HYPERLINK("https://lynxcrm-apac--c.eu19.visual.force.com/0011i000001xoYAAAY","Wu, Yingjie")</f>
        <v>Wu, Yingjie</v>
      </c>
      <c r="B5855" t="s">
        <v>10534</v>
      </c>
      <c r="C5855" t="s">
        <v>28</v>
      </c>
      <c r="D5855" t="s">
        <v>10535</v>
      </c>
      <c r="E5855" t="s">
        <v>8</v>
      </c>
      <c r="F5855" t="s">
        <v>10536</v>
      </c>
      <c r="G5855" t="s">
        <v>3683</v>
      </c>
      <c r="H5855" t="s">
        <v>3683</v>
      </c>
      <c r="I5855" t="s">
        <v>3960</v>
      </c>
    </row>
    <row r="5856" spans="1:9" x14ac:dyDescent="0.25">
      <c r="A5856" s="1" t="str">
        <f>HYPERLINK("https://lynxcrm-apac--c.eu19.visual.force.com/0011i000007DbYdAAK","Xiao, Han")</f>
        <v>Xiao, Han</v>
      </c>
      <c r="B5856" t="s">
        <v>10537</v>
      </c>
      <c r="C5856" t="s">
        <v>28</v>
      </c>
      <c r="D5856" t="s">
        <v>1462</v>
      </c>
      <c r="E5856" t="s">
        <v>8</v>
      </c>
      <c r="F5856" t="s">
        <v>1463</v>
      </c>
      <c r="G5856" t="s">
        <v>1464</v>
      </c>
      <c r="H5856" t="s">
        <v>8</v>
      </c>
      <c r="I5856" t="s">
        <v>1465</v>
      </c>
    </row>
    <row r="5857" spans="1:9" x14ac:dyDescent="0.25">
      <c r="A5857" s="1" t="str">
        <f>HYPERLINK("https://lynxcrm-apac--c.eu19.visual.force.com/0011i000001xnUbAAI","Xinhuo Medical Clinic")</f>
        <v>Xinhuo Medical Clinic</v>
      </c>
      <c r="B5857" t="s">
        <v>10538</v>
      </c>
      <c r="C5857" t="s">
        <v>10</v>
      </c>
      <c r="D5857" t="s">
        <v>8</v>
      </c>
      <c r="E5857" t="s">
        <v>8</v>
      </c>
      <c r="F5857" t="s">
        <v>10539</v>
      </c>
      <c r="G5857" t="s">
        <v>10539</v>
      </c>
      <c r="H5857" t="s">
        <v>8</v>
      </c>
      <c r="I5857" t="s">
        <v>10540</v>
      </c>
    </row>
    <row r="5858" spans="1:9" x14ac:dyDescent="0.25">
      <c r="A5858" s="1" t="str">
        <f>HYPERLINK("https://lynxcrm-apac--c.eu19.visual.force.com/0011i00000raSsmAAE","Xu, Kuan")</f>
        <v>Xu, Kuan</v>
      </c>
      <c r="B5858" t="s">
        <v>10541</v>
      </c>
      <c r="C5858" t="s">
        <v>28</v>
      </c>
      <c r="D5858" t="s">
        <v>589</v>
      </c>
      <c r="E5858" t="s">
        <v>8</v>
      </c>
      <c r="F5858" t="s">
        <v>590</v>
      </c>
      <c r="G5858" t="s">
        <v>591</v>
      </c>
      <c r="H5858" t="s">
        <v>8</v>
      </c>
      <c r="I5858" t="s">
        <v>592</v>
      </c>
    </row>
    <row r="5859" spans="1:9" x14ac:dyDescent="0.25">
      <c r="A5859" s="1" t="str">
        <f>HYPERLINK("https://lynxcrm-apac--c.eu19.visual.force.com/0011i000001xnwkAAA","Yak, Wan Hong")</f>
        <v>Yak, Wan Hong</v>
      </c>
      <c r="B5859" t="s">
        <v>10542</v>
      </c>
      <c r="C5859" t="s">
        <v>28</v>
      </c>
      <c r="D5859" t="s">
        <v>10543</v>
      </c>
      <c r="E5859" t="s">
        <v>8</v>
      </c>
      <c r="F5859" t="s">
        <v>10198</v>
      </c>
      <c r="G5859" t="s">
        <v>10199</v>
      </c>
      <c r="H5859" t="s">
        <v>10200</v>
      </c>
      <c r="I5859" t="s">
        <v>10201</v>
      </c>
    </row>
    <row r="5860" spans="1:9" x14ac:dyDescent="0.25">
      <c r="A5860" s="1" t="str">
        <f>HYPERLINK("https://lynxcrm-apac--c.eu19.visual.force.com/0011i000001xnwlAAA","Yam, Christina Nee Choo Gwek Mei")</f>
        <v>Yam, Christina Nee Choo Gwek Mei</v>
      </c>
      <c r="B5860" t="s">
        <v>10544</v>
      </c>
      <c r="C5860" t="s">
        <v>28</v>
      </c>
      <c r="D5860" t="s">
        <v>10545</v>
      </c>
      <c r="E5860" t="s">
        <v>8</v>
      </c>
      <c r="F5860" t="s">
        <v>284</v>
      </c>
      <c r="G5860" t="s">
        <v>277</v>
      </c>
      <c r="H5860" t="s">
        <v>274</v>
      </c>
      <c r="I5860" t="s">
        <v>275</v>
      </c>
    </row>
    <row r="5861" spans="1:9" x14ac:dyDescent="0.25">
      <c r="A5861" s="1" t="str">
        <f>HYPERLINK("https://lynxcrm-apac--c.eu19.visual.force.com/0011i000001xoexAAA","Yam, Jacqueline")</f>
        <v>Yam, Jacqueline</v>
      </c>
      <c r="B5861" t="s">
        <v>10546</v>
      </c>
      <c r="C5861" t="s">
        <v>28</v>
      </c>
      <c r="D5861" t="s">
        <v>5948</v>
      </c>
      <c r="E5861" t="s">
        <v>8</v>
      </c>
      <c r="F5861" t="s">
        <v>10547</v>
      </c>
      <c r="G5861" t="s">
        <v>10548</v>
      </c>
      <c r="H5861" t="s">
        <v>10548</v>
      </c>
      <c r="I5861" t="s">
        <v>10549</v>
      </c>
    </row>
    <row r="5862" spans="1:9" x14ac:dyDescent="0.25">
      <c r="A5862" s="1" t="str">
        <f>HYPERLINK("https://lynxcrm-apac--c.eu19.visual.force.com/0011i000001xou0AAA","Yam, Kenneth")</f>
        <v>Yam, Kenneth</v>
      </c>
      <c r="B5862" t="s">
        <v>10550</v>
      </c>
      <c r="C5862" t="s">
        <v>28</v>
      </c>
      <c r="D5862" t="s">
        <v>520</v>
      </c>
      <c r="E5862" t="s">
        <v>8</v>
      </c>
      <c r="F5862" t="s">
        <v>90</v>
      </c>
      <c r="G5862" t="s">
        <v>521</v>
      </c>
      <c r="H5862" t="s">
        <v>521</v>
      </c>
      <c r="I5862" t="s">
        <v>92</v>
      </c>
    </row>
    <row r="5863" spans="1:9" x14ac:dyDescent="0.25">
      <c r="A5863" s="1" t="str">
        <f>HYPERLINK("https://lynxcrm-apac--c.eu19.visual.force.com/0011i000001xodyAAA","Yam, Pei Yuan John")</f>
        <v>Yam, Pei Yuan John</v>
      </c>
      <c r="B5863" t="s">
        <v>10551</v>
      </c>
      <c r="C5863" t="s">
        <v>28</v>
      </c>
      <c r="D5863" t="s">
        <v>10552</v>
      </c>
      <c r="E5863" t="s">
        <v>8</v>
      </c>
      <c r="F5863" t="s">
        <v>469</v>
      </c>
      <c r="G5863" t="s">
        <v>10553</v>
      </c>
      <c r="H5863" t="s">
        <v>10554</v>
      </c>
      <c r="I5863" t="s">
        <v>67</v>
      </c>
    </row>
    <row r="5864" spans="1:9" x14ac:dyDescent="0.25">
      <c r="A5864" s="1" t="str">
        <f>HYPERLINK("https://lynxcrm-apac--c.eu19.visual.force.com/0011i000001xnYZAAY","Yam Medical Group")</f>
        <v>Yam Medical Group</v>
      </c>
      <c r="B5864" t="s">
        <v>10555</v>
      </c>
      <c r="C5864" t="s">
        <v>10</v>
      </c>
      <c r="D5864" t="s">
        <v>8</v>
      </c>
      <c r="E5864" t="s">
        <v>8</v>
      </c>
      <c r="F5864" t="s">
        <v>6085</v>
      </c>
      <c r="G5864" t="s">
        <v>6086</v>
      </c>
      <c r="H5864" t="s">
        <v>6086</v>
      </c>
      <c r="I5864" t="s">
        <v>6087</v>
      </c>
    </row>
    <row r="5865" spans="1:9" x14ac:dyDescent="0.25">
      <c r="A5865" s="1" t="str">
        <f>HYPERLINK("https://lynxcrm-apac--c.eu19.visual.force.com/0011i000001xnwmAAA","Yan, Chee Hong Peter")</f>
        <v>Yan, Chee Hong Peter</v>
      </c>
      <c r="B5865" t="s">
        <v>10556</v>
      </c>
      <c r="C5865" t="s">
        <v>28</v>
      </c>
      <c r="D5865" t="s">
        <v>10557</v>
      </c>
      <c r="E5865" t="s">
        <v>8</v>
      </c>
      <c r="F5865" t="s">
        <v>872</v>
      </c>
      <c r="G5865" t="s">
        <v>7701</v>
      </c>
      <c r="H5865" t="s">
        <v>7702</v>
      </c>
      <c r="I5865" t="s">
        <v>67</v>
      </c>
    </row>
    <row r="5866" spans="1:9" x14ac:dyDescent="0.25">
      <c r="A5866" s="1" t="str">
        <f>HYPERLINK("https://lynxcrm-apac--c.eu19.visual.force.com/0011i000001xoBLAAY","Yan, Ping")</f>
        <v>Yan, Ping</v>
      </c>
      <c r="B5866" t="s">
        <v>10558</v>
      </c>
      <c r="C5866" t="s">
        <v>28</v>
      </c>
      <c r="D5866" t="s">
        <v>429</v>
      </c>
      <c r="E5866" t="s">
        <v>8</v>
      </c>
      <c r="F5866" t="s">
        <v>1274</v>
      </c>
      <c r="G5866" t="s">
        <v>444</v>
      </c>
      <c r="H5866" t="s">
        <v>444</v>
      </c>
      <c r="I5866" t="s">
        <v>430</v>
      </c>
    </row>
    <row r="5867" spans="1:9" x14ac:dyDescent="0.25">
      <c r="A5867" s="1" t="str">
        <f>HYPERLINK("https://lynxcrm-apac--c.eu19.visual.force.com/0011i000001xnwnAAA","Yang, Chien Pai")</f>
        <v>Yang, Chien Pai</v>
      </c>
      <c r="B5867" t="s">
        <v>10559</v>
      </c>
      <c r="C5867" t="s">
        <v>28</v>
      </c>
      <c r="D5867" t="s">
        <v>10560</v>
      </c>
      <c r="E5867" t="s">
        <v>8</v>
      </c>
      <c r="F5867" t="s">
        <v>3598</v>
      </c>
      <c r="G5867" t="s">
        <v>10561</v>
      </c>
      <c r="H5867" t="s">
        <v>10561</v>
      </c>
      <c r="I5867" t="s">
        <v>3599</v>
      </c>
    </row>
    <row r="5868" spans="1:9" x14ac:dyDescent="0.25">
      <c r="A5868" s="1" t="str">
        <f>HYPERLINK("https://lynxcrm-apac--c.eu19.visual.force.com/0011i000001xnjmAAA","Yang, Desmond")</f>
        <v>Yang, Desmond</v>
      </c>
      <c r="B5868" t="s">
        <v>10562</v>
      </c>
      <c r="C5868" t="s">
        <v>28</v>
      </c>
      <c r="D5868" t="s">
        <v>10563</v>
      </c>
      <c r="E5868" t="s">
        <v>8</v>
      </c>
      <c r="F5868" t="s">
        <v>4132</v>
      </c>
      <c r="G5868" t="s">
        <v>4133</v>
      </c>
      <c r="H5868" t="s">
        <v>4133</v>
      </c>
      <c r="I5868" t="s">
        <v>4038</v>
      </c>
    </row>
    <row r="5869" spans="1:9" x14ac:dyDescent="0.25">
      <c r="A5869" s="1" t="str">
        <f>HYPERLINK("https://lynxcrm-apac--c.eu19.visual.force.com/0011i000001xnwuAAA","Yang, Ing Hong Joseph")</f>
        <v>Yang, Ing Hong Joseph</v>
      </c>
      <c r="B5869" t="s">
        <v>10564</v>
      </c>
      <c r="C5869" t="s">
        <v>28</v>
      </c>
      <c r="D5869" t="s">
        <v>10565</v>
      </c>
      <c r="E5869" t="s">
        <v>8</v>
      </c>
      <c r="F5869" t="s">
        <v>2420</v>
      </c>
      <c r="G5869" t="s">
        <v>10566</v>
      </c>
      <c r="H5869" t="s">
        <v>10567</v>
      </c>
      <c r="I5869" t="s">
        <v>2423</v>
      </c>
    </row>
    <row r="5870" spans="1:9" x14ac:dyDescent="0.25">
      <c r="A5870" s="1" t="str">
        <f>HYPERLINK("https://lynxcrm-apac--c.eu19.visual.force.com/0011i000001xoeAAAQ","Yang, Kuang Ying")</f>
        <v>Yang, Kuang Ying</v>
      </c>
      <c r="B5870" t="s">
        <v>10568</v>
      </c>
      <c r="C5870" t="s">
        <v>28</v>
      </c>
      <c r="D5870" t="s">
        <v>10569</v>
      </c>
      <c r="E5870" t="s">
        <v>8</v>
      </c>
      <c r="F5870" t="s">
        <v>885</v>
      </c>
      <c r="G5870" t="s">
        <v>10570</v>
      </c>
      <c r="H5870" t="s">
        <v>10571</v>
      </c>
      <c r="I5870" t="s">
        <v>8</v>
      </c>
    </row>
    <row r="5871" spans="1:9" x14ac:dyDescent="0.25">
      <c r="A5871" s="1" t="str">
        <f>HYPERLINK("https://lynxcrm-apac--c.eu19.visual.force.com/0011i00000Ta3UcAAJ","Yang, Shi Yao Sam")</f>
        <v>Yang, Shi Yao Sam</v>
      </c>
      <c r="B5871" t="s">
        <v>10572</v>
      </c>
      <c r="C5871" t="s">
        <v>28</v>
      </c>
      <c r="D5871" t="s">
        <v>8</v>
      </c>
      <c r="E5871" t="s">
        <v>8</v>
      </c>
      <c r="F5871" t="s">
        <v>2420</v>
      </c>
      <c r="G5871" t="s">
        <v>10566</v>
      </c>
      <c r="H5871" t="s">
        <v>10567</v>
      </c>
      <c r="I5871" t="s">
        <v>2423</v>
      </c>
    </row>
    <row r="5872" spans="1:9" x14ac:dyDescent="0.25">
      <c r="A5872" s="1" t="str">
        <f>HYPERLINK("https://lynxcrm-apac--c.eu19.visual.force.com/0011i00000Ta3UcAAJ","Yang, Shi Yao Sam")</f>
        <v>Yang, Shi Yao Sam</v>
      </c>
      <c r="B5872" t="s">
        <v>10572</v>
      </c>
      <c r="C5872" t="s">
        <v>28</v>
      </c>
      <c r="D5872" t="s">
        <v>10565</v>
      </c>
      <c r="E5872" t="s">
        <v>8</v>
      </c>
      <c r="F5872" t="s">
        <v>2420</v>
      </c>
      <c r="G5872" t="s">
        <v>10566</v>
      </c>
      <c r="H5872" t="s">
        <v>10567</v>
      </c>
      <c r="I5872" t="s">
        <v>2423</v>
      </c>
    </row>
    <row r="5873" spans="1:9" x14ac:dyDescent="0.25">
      <c r="A5873" s="1" t="str">
        <f>HYPERLINK("https://lynxcrm-apac--c.eu19.visual.force.com/0011i000001xoCDAAY","Yang, Sik Horng")</f>
        <v>Yang, Sik Horng</v>
      </c>
      <c r="B5873" t="s">
        <v>10573</v>
      </c>
      <c r="C5873" t="s">
        <v>28</v>
      </c>
      <c r="D5873" t="s">
        <v>5638</v>
      </c>
      <c r="E5873" t="s">
        <v>8</v>
      </c>
      <c r="F5873" t="s">
        <v>368</v>
      </c>
      <c r="G5873" t="s">
        <v>10574</v>
      </c>
      <c r="H5873" t="s">
        <v>10574</v>
      </c>
      <c r="I5873" t="s">
        <v>123</v>
      </c>
    </row>
    <row r="5874" spans="1:9" x14ac:dyDescent="0.25">
      <c r="A5874" s="1" t="str">
        <f>HYPERLINK("https://lynxcrm-apac--c.eu19.visual.force.com/0011i000001xoCEAAY","Yang, Wei Lyn")</f>
        <v>Yang, Wei Lyn</v>
      </c>
      <c r="B5874" t="s">
        <v>10575</v>
      </c>
      <c r="C5874" t="s">
        <v>28</v>
      </c>
      <c r="D5874" t="s">
        <v>586</v>
      </c>
      <c r="E5874" t="s">
        <v>8</v>
      </c>
      <c r="F5874" t="s">
        <v>258</v>
      </c>
      <c r="G5874" t="s">
        <v>261</v>
      </c>
      <c r="H5874" t="s">
        <v>261</v>
      </c>
      <c r="I5874" t="s">
        <v>260</v>
      </c>
    </row>
    <row r="5875" spans="1:9" x14ac:dyDescent="0.25">
      <c r="A5875" s="1" t="str">
        <f>HYPERLINK("https://lynxcrm-apac--c.eu19.visual.force.com/0011i000001xoCEAAY","Yang, Wei Lyn")</f>
        <v>Yang, Wei Lyn</v>
      </c>
      <c r="B5875" t="s">
        <v>10575</v>
      </c>
      <c r="C5875" t="s">
        <v>28</v>
      </c>
      <c r="D5875" t="s">
        <v>261</v>
      </c>
      <c r="E5875" t="s">
        <v>8</v>
      </c>
      <c r="F5875" t="s">
        <v>261</v>
      </c>
      <c r="G5875" t="s">
        <v>347</v>
      </c>
      <c r="H5875" t="s">
        <v>347</v>
      </c>
      <c r="I5875" t="s">
        <v>260</v>
      </c>
    </row>
    <row r="5876" spans="1:9" x14ac:dyDescent="0.25">
      <c r="A5876" s="1" t="str">
        <f>HYPERLINK("https://lynxcrm-apac--c.eu19.visual.force.com/0011i000001xnWsAAI","Yang &amp; Yap Clinic &amp; Surgery Pte Ltd")</f>
        <v>Yang &amp; Yap Clinic &amp; Surgery Pte Ltd</v>
      </c>
      <c r="B5876" t="s">
        <v>10576</v>
      </c>
      <c r="C5876" t="s">
        <v>10</v>
      </c>
      <c r="D5876" t="s">
        <v>8</v>
      </c>
      <c r="E5876" t="s">
        <v>8</v>
      </c>
      <c r="F5876" t="s">
        <v>2420</v>
      </c>
      <c r="G5876" t="s">
        <v>10566</v>
      </c>
      <c r="H5876" t="s">
        <v>10567</v>
      </c>
      <c r="I5876" t="s">
        <v>2423</v>
      </c>
    </row>
    <row r="5877" spans="1:9" x14ac:dyDescent="0.25">
      <c r="A5877" s="1" t="str">
        <f>HYPERLINK("https://lynxcrm-apac--c.eu19.visual.force.com/0011i000001xn2qAAA","Yang &amp; Yap Clinic &amp; Surgery Pte Ltd")</f>
        <v>Yang &amp; Yap Clinic &amp; Surgery Pte Ltd</v>
      </c>
      <c r="B5877" t="s">
        <v>10577</v>
      </c>
      <c r="C5877" t="s">
        <v>10</v>
      </c>
      <c r="D5877" t="s">
        <v>8</v>
      </c>
      <c r="E5877" t="s">
        <v>8</v>
      </c>
      <c r="F5877" t="s">
        <v>2420</v>
      </c>
      <c r="G5877" t="s">
        <v>10566</v>
      </c>
      <c r="H5877" t="s">
        <v>10567</v>
      </c>
      <c r="I5877" t="s">
        <v>2423</v>
      </c>
    </row>
    <row r="5878" spans="1:9" x14ac:dyDescent="0.25">
      <c r="A5878" s="1" t="str">
        <f>HYPERLINK("https://lynxcrm-apac--c.eu19.visual.force.com/0011i00000ULtQuAAL","Yang Shi Yao Sam")</f>
        <v>Yang Shi Yao Sam</v>
      </c>
      <c r="B5878" t="s">
        <v>10578</v>
      </c>
      <c r="C5878" t="s">
        <v>10</v>
      </c>
      <c r="D5878" t="s">
        <v>8</v>
      </c>
      <c r="E5878" t="s">
        <v>8</v>
      </c>
      <c r="F5878" t="s">
        <v>2420</v>
      </c>
      <c r="G5878" t="s">
        <v>10566</v>
      </c>
      <c r="H5878" t="s">
        <v>10567</v>
      </c>
      <c r="I5878" t="s">
        <v>2423</v>
      </c>
    </row>
    <row r="5879" spans="1:9" x14ac:dyDescent="0.25">
      <c r="A5879" s="1" t="str">
        <f>HYPERLINK("https://lynxcrm-apac--c.eu19.visual.force.com/0011i00000ULtQuAAL","Yang Shi Yao Sam")</f>
        <v>Yang Shi Yao Sam</v>
      </c>
      <c r="B5879" t="s">
        <v>10578</v>
      </c>
      <c r="C5879" t="s">
        <v>10</v>
      </c>
      <c r="D5879" t="s">
        <v>10565</v>
      </c>
      <c r="E5879" t="s">
        <v>8</v>
      </c>
      <c r="F5879" t="s">
        <v>2420</v>
      </c>
      <c r="G5879" t="s">
        <v>10566</v>
      </c>
      <c r="H5879" t="s">
        <v>10567</v>
      </c>
      <c r="I5879" t="s">
        <v>2423</v>
      </c>
    </row>
    <row r="5880" spans="1:9" x14ac:dyDescent="0.25">
      <c r="A5880" s="1" t="str">
        <f>HYPERLINK("https://lynxcrm-apac--c.eu19.visual.force.com/0011i000001xnwwAAA","Yao, Cheng John")</f>
        <v>Yao, Cheng John</v>
      </c>
      <c r="B5880" t="s">
        <v>10579</v>
      </c>
      <c r="C5880" t="s">
        <v>28</v>
      </c>
      <c r="D5880" t="s">
        <v>10580</v>
      </c>
      <c r="E5880" t="s">
        <v>8</v>
      </c>
      <c r="F5880" t="s">
        <v>10581</v>
      </c>
      <c r="G5880" t="s">
        <v>10582</v>
      </c>
      <c r="H5880" t="s">
        <v>10582</v>
      </c>
      <c r="I5880" t="s">
        <v>10583</v>
      </c>
    </row>
    <row r="5881" spans="1:9" x14ac:dyDescent="0.25">
      <c r="A5881" s="1" t="str">
        <f>HYPERLINK("https://lynxcrm-apac--c.eu19.visual.force.com/0011i000001xnwxAAA","Yao, Wan Hwa Mary")</f>
        <v>Yao, Wan Hwa Mary</v>
      </c>
      <c r="B5881" t="s">
        <v>10584</v>
      </c>
      <c r="C5881" t="s">
        <v>28</v>
      </c>
      <c r="D5881" t="s">
        <v>5942</v>
      </c>
      <c r="E5881" t="s">
        <v>8</v>
      </c>
      <c r="F5881" t="s">
        <v>6573</v>
      </c>
      <c r="G5881" t="s">
        <v>4221</v>
      </c>
      <c r="H5881" t="s">
        <v>4221</v>
      </c>
      <c r="I5881" t="s">
        <v>977</v>
      </c>
    </row>
    <row r="5882" spans="1:9" x14ac:dyDescent="0.25">
      <c r="A5882" s="1" t="str">
        <f>HYPERLINK("https://lynxcrm-apac--c.eu19.visual.force.com/0011i000001xodWAAQ","Yap, Ai Lin")</f>
        <v>Yap, Ai Lin</v>
      </c>
      <c r="B5882" t="s">
        <v>10585</v>
      </c>
      <c r="C5882" t="s">
        <v>28</v>
      </c>
      <c r="D5882" t="s">
        <v>8943</v>
      </c>
      <c r="E5882" t="s">
        <v>8</v>
      </c>
      <c r="F5882" t="s">
        <v>8944</v>
      </c>
      <c r="G5882" t="s">
        <v>8944</v>
      </c>
      <c r="H5882" t="s">
        <v>8</v>
      </c>
      <c r="I5882" t="s">
        <v>8945</v>
      </c>
    </row>
    <row r="5883" spans="1:9" x14ac:dyDescent="0.25">
      <c r="A5883" s="1" t="str">
        <f>HYPERLINK("https://lynxcrm-apac--c.eu19.visual.force.com/0011i000001xo67AAA","Yap, Bernard")</f>
        <v>Yap, Bernard</v>
      </c>
      <c r="B5883" t="s">
        <v>10586</v>
      </c>
      <c r="C5883" t="s">
        <v>28</v>
      </c>
      <c r="D5883" t="s">
        <v>10587</v>
      </c>
      <c r="E5883" t="s">
        <v>8</v>
      </c>
      <c r="F5883" t="s">
        <v>8011</v>
      </c>
      <c r="G5883" t="s">
        <v>8012</v>
      </c>
      <c r="H5883" t="s">
        <v>8012</v>
      </c>
      <c r="I5883" t="s">
        <v>8013</v>
      </c>
    </row>
    <row r="5884" spans="1:9" x14ac:dyDescent="0.25">
      <c r="A5884" s="1" t="str">
        <f>HYPERLINK("https://lynxcrm-apac--c.eu19.visual.force.com/0011i000001xnwyAAA","Yap, Boh Wei")</f>
        <v>Yap, Boh Wei</v>
      </c>
      <c r="B5884" t="s">
        <v>10588</v>
      </c>
      <c r="C5884" t="s">
        <v>28</v>
      </c>
      <c r="D5884" t="s">
        <v>5565</v>
      </c>
      <c r="E5884" t="s">
        <v>8</v>
      </c>
      <c r="F5884" t="s">
        <v>5566</v>
      </c>
      <c r="G5884" t="s">
        <v>2979</v>
      </c>
      <c r="H5884" t="s">
        <v>2979</v>
      </c>
      <c r="I5884" t="s">
        <v>5567</v>
      </c>
    </row>
    <row r="5885" spans="1:9" x14ac:dyDescent="0.25">
      <c r="A5885" s="1" t="str">
        <f>HYPERLINK("https://lynxcrm-apac--c.eu19.visual.force.com/0011i000001xnwzAAA","Yap, Chee Kong")</f>
        <v>Yap, Chee Kong</v>
      </c>
      <c r="B5885" t="s">
        <v>10589</v>
      </c>
      <c r="C5885" t="s">
        <v>28</v>
      </c>
      <c r="D5885" t="s">
        <v>10590</v>
      </c>
      <c r="E5885" t="s">
        <v>8</v>
      </c>
      <c r="F5885" t="s">
        <v>10591</v>
      </c>
      <c r="G5885" t="s">
        <v>1335</v>
      </c>
      <c r="H5885" t="s">
        <v>10592</v>
      </c>
      <c r="I5885" t="s">
        <v>10593</v>
      </c>
    </row>
    <row r="5886" spans="1:9" x14ac:dyDescent="0.25">
      <c r="A5886" s="1" t="str">
        <f>HYPERLINK("https://lynxcrm-apac--c.eu19.visual.force.com/0011i000001xom5AAA","Yap, Chee Mun")</f>
        <v>Yap, Chee Mun</v>
      </c>
      <c r="B5886" t="s">
        <v>10594</v>
      </c>
      <c r="C5886" t="s">
        <v>28</v>
      </c>
      <c r="D5886" t="s">
        <v>550</v>
      </c>
      <c r="E5886" t="s">
        <v>8</v>
      </c>
      <c r="F5886" t="s">
        <v>2342</v>
      </c>
      <c r="G5886" t="s">
        <v>919</v>
      </c>
      <c r="H5886" t="s">
        <v>919</v>
      </c>
      <c r="I5886" t="s">
        <v>554</v>
      </c>
    </row>
    <row r="5887" spans="1:9" x14ac:dyDescent="0.25">
      <c r="A5887" s="1" t="str">
        <f>HYPERLINK("https://lynxcrm-apac--c.eu19.visual.force.com/0011i000001xoXsAAI","Yap, Chern Jiang")</f>
        <v>Yap, Chern Jiang</v>
      </c>
      <c r="B5887" t="s">
        <v>10595</v>
      </c>
      <c r="C5887" t="s">
        <v>28</v>
      </c>
      <c r="D5887" t="s">
        <v>261</v>
      </c>
      <c r="E5887" t="s">
        <v>8</v>
      </c>
      <c r="F5887" t="s">
        <v>1263</v>
      </c>
      <c r="G5887" t="s">
        <v>258</v>
      </c>
      <c r="H5887" t="s">
        <v>258</v>
      </c>
      <c r="I5887" t="s">
        <v>260</v>
      </c>
    </row>
    <row r="5888" spans="1:9" x14ac:dyDescent="0.25">
      <c r="A5888" s="1" t="str">
        <f>HYPERLINK("https://lynxcrm-apac--c.eu19.visual.force.com/0011i000001xosHAAQ","Yap, Daniel")</f>
        <v>Yap, Daniel</v>
      </c>
      <c r="B5888" t="s">
        <v>10596</v>
      </c>
      <c r="C5888" t="s">
        <v>28</v>
      </c>
      <c r="D5888" t="s">
        <v>5353</v>
      </c>
      <c r="E5888" t="s">
        <v>8</v>
      </c>
      <c r="F5888" t="s">
        <v>6816</v>
      </c>
      <c r="G5888" t="s">
        <v>564</v>
      </c>
      <c r="H5888" t="s">
        <v>564</v>
      </c>
      <c r="I5888" t="s">
        <v>6817</v>
      </c>
    </row>
    <row r="5889" spans="1:9" x14ac:dyDescent="0.25">
      <c r="A5889" s="1" t="str">
        <f>HYPERLINK("https://lynxcrm-apac--c.eu19.visual.force.com/0011i000001xohZAAQ","Yap, Eng Ching")</f>
        <v>Yap, Eng Ching</v>
      </c>
      <c r="B5889" t="s">
        <v>10597</v>
      </c>
      <c r="C5889" t="s">
        <v>28</v>
      </c>
      <c r="D5889" t="s">
        <v>261</v>
      </c>
      <c r="E5889" t="s">
        <v>8</v>
      </c>
      <c r="F5889" t="s">
        <v>258</v>
      </c>
      <c r="G5889" t="s">
        <v>10598</v>
      </c>
      <c r="H5889" t="s">
        <v>10598</v>
      </c>
      <c r="I5889" t="s">
        <v>260</v>
      </c>
    </row>
    <row r="5890" spans="1:9" x14ac:dyDescent="0.25">
      <c r="A5890" s="1" t="str">
        <f>HYPERLINK("https://lynxcrm-apac--c.eu19.visual.force.com/0011i000007F3TfAAK","Yap, Ester")</f>
        <v>Yap, Ester</v>
      </c>
      <c r="B5890" t="s">
        <v>10599</v>
      </c>
      <c r="C5890" t="s">
        <v>28</v>
      </c>
      <c r="D5890" t="s">
        <v>8</v>
      </c>
      <c r="E5890" t="s">
        <v>8</v>
      </c>
      <c r="F5890" t="s">
        <v>1225</v>
      </c>
      <c r="G5890" t="s">
        <v>1225</v>
      </c>
      <c r="H5890" t="s">
        <v>1226</v>
      </c>
      <c r="I5890" t="s">
        <v>55</v>
      </c>
    </row>
    <row r="5891" spans="1:9" x14ac:dyDescent="0.25">
      <c r="A5891" s="1" t="str">
        <f>HYPERLINK("https://lynxcrm-apac--c.eu19.visual.force.com/0011i000007F3TfAAK","Yap, Ester")</f>
        <v>Yap, Ester</v>
      </c>
      <c r="B5891" t="s">
        <v>10599</v>
      </c>
      <c r="C5891" t="s">
        <v>28</v>
      </c>
      <c r="D5891" t="s">
        <v>54</v>
      </c>
      <c r="E5891" t="s">
        <v>8</v>
      </c>
      <c r="F5891" t="s">
        <v>1225</v>
      </c>
      <c r="G5891" t="s">
        <v>1225</v>
      </c>
      <c r="H5891" t="s">
        <v>1226</v>
      </c>
      <c r="I5891" t="s">
        <v>55</v>
      </c>
    </row>
    <row r="5892" spans="1:9" x14ac:dyDescent="0.25">
      <c r="A5892" s="1" t="str">
        <f>HYPERLINK("https://lynxcrm-apac--c.eu19.visual.force.com/0011i000001xoApAAI","Yap, Gim Hong")</f>
        <v>Yap, Gim Hong</v>
      </c>
      <c r="B5892" t="s">
        <v>10600</v>
      </c>
      <c r="C5892" t="s">
        <v>28</v>
      </c>
      <c r="D5892" t="s">
        <v>188</v>
      </c>
      <c r="E5892" t="s">
        <v>8</v>
      </c>
      <c r="F5892" t="s">
        <v>3392</v>
      </c>
      <c r="G5892" t="s">
        <v>187</v>
      </c>
      <c r="H5892" t="s">
        <v>8890</v>
      </c>
      <c r="I5892" t="s">
        <v>189</v>
      </c>
    </row>
    <row r="5893" spans="1:9" x14ac:dyDescent="0.25">
      <c r="A5893" s="1" t="str">
        <f>HYPERLINK("https://lynxcrm-apac--c.eu19.visual.force.com/0011i000001xoCQAAY","Yap, G M Samantha")</f>
        <v>Yap, G M Samantha</v>
      </c>
      <c r="B5893" t="s">
        <v>10601</v>
      </c>
      <c r="C5893" t="s">
        <v>28</v>
      </c>
      <c r="D5893" t="s">
        <v>1307</v>
      </c>
      <c r="E5893" t="s">
        <v>8</v>
      </c>
      <c r="F5893" t="s">
        <v>1417</v>
      </c>
      <c r="G5893" t="s">
        <v>609</v>
      </c>
      <c r="H5893" t="s">
        <v>609</v>
      </c>
      <c r="I5893" t="s">
        <v>610</v>
      </c>
    </row>
    <row r="5894" spans="1:9" x14ac:dyDescent="0.25">
      <c r="A5894" s="1" t="str">
        <f>HYPERLINK("https://lynxcrm-apac--c.eu19.visual.force.com/0011i000001xnx5AAA","Yap, Hock Leong Michael")</f>
        <v>Yap, Hock Leong Michael</v>
      </c>
      <c r="B5894" t="s">
        <v>10602</v>
      </c>
      <c r="C5894" t="s">
        <v>28</v>
      </c>
      <c r="D5894" t="s">
        <v>10603</v>
      </c>
      <c r="E5894" t="s">
        <v>8</v>
      </c>
      <c r="F5894" t="s">
        <v>373</v>
      </c>
      <c r="G5894" t="s">
        <v>10604</v>
      </c>
      <c r="H5894" t="s">
        <v>10605</v>
      </c>
      <c r="I5894" t="s">
        <v>123</v>
      </c>
    </row>
    <row r="5895" spans="1:9" x14ac:dyDescent="0.25">
      <c r="A5895" s="1" t="str">
        <f>HYPERLINK("https://lynxcrm-apac--c.eu19.visual.force.com/0011i000001xoMvAAI","Yap, Hui Ann Christine")</f>
        <v>Yap, Hui Ann Christine</v>
      </c>
      <c r="B5895" t="s">
        <v>10606</v>
      </c>
      <c r="C5895" t="s">
        <v>28</v>
      </c>
      <c r="D5895" t="s">
        <v>10607</v>
      </c>
      <c r="E5895" t="s">
        <v>8</v>
      </c>
      <c r="F5895" t="s">
        <v>1801</v>
      </c>
      <c r="G5895" t="s">
        <v>10317</v>
      </c>
      <c r="H5895" t="s">
        <v>10317</v>
      </c>
      <c r="I5895" t="s">
        <v>1803</v>
      </c>
    </row>
    <row r="5896" spans="1:9" x14ac:dyDescent="0.25">
      <c r="A5896" s="1" t="str">
        <f>HYPERLINK("https://lynxcrm-apac--c.eu19.visual.force.com/0011i000001xo7UAAQ","Yap, Hwa Ling")</f>
        <v>Yap, Hwa Ling</v>
      </c>
      <c r="B5896" t="s">
        <v>10608</v>
      </c>
      <c r="C5896" t="s">
        <v>28</v>
      </c>
      <c r="D5896" t="s">
        <v>583</v>
      </c>
      <c r="E5896" t="s">
        <v>8</v>
      </c>
      <c r="F5896" t="s">
        <v>1412</v>
      </c>
      <c r="G5896" t="s">
        <v>584</v>
      </c>
      <c r="H5896" t="s">
        <v>584</v>
      </c>
      <c r="I5896" t="s">
        <v>585</v>
      </c>
    </row>
    <row r="5897" spans="1:9" x14ac:dyDescent="0.25">
      <c r="A5897" s="1" t="str">
        <f>HYPERLINK("https://lynxcrm-apac--c.eu19.visual.force.com/0011i000001xoCRAAY","Yap, Keng Bee")</f>
        <v>Yap, Keng Bee</v>
      </c>
      <c r="B5897" t="s">
        <v>10609</v>
      </c>
      <c r="C5897" t="s">
        <v>28</v>
      </c>
      <c r="D5897" t="s">
        <v>501</v>
      </c>
      <c r="E5897" t="s">
        <v>8</v>
      </c>
      <c r="F5897" t="s">
        <v>359</v>
      </c>
      <c r="G5897" t="s">
        <v>502</v>
      </c>
      <c r="H5897" t="s">
        <v>503</v>
      </c>
      <c r="I5897" t="s">
        <v>506</v>
      </c>
    </row>
    <row r="5898" spans="1:9" x14ac:dyDescent="0.25">
      <c r="A5898" s="1" t="str">
        <f>HYPERLINK("https://lynxcrm-apac--c.eu19.visual.force.com/0011i000001xnx7AAA","Yap, Lian Eng Ivy")</f>
        <v>Yap, Lian Eng Ivy</v>
      </c>
      <c r="B5898" t="s">
        <v>10610</v>
      </c>
      <c r="C5898" t="s">
        <v>28</v>
      </c>
      <c r="D5898" t="s">
        <v>10611</v>
      </c>
      <c r="E5898" t="s">
        <v>8</v>
      </c>
      <c r="F5898" t="s">
        <v>377</v>
      </c>
      <c r="G5898" t="s">
        <v>4527</v>
      </c>
      <c r="H5898" t="s">
        <v>4528</v>
      </c>
      <c r="I5898" t="s">
        <v>123</v>
      </c>
    </row>
    <row r="5899" spans="1:9" x14ac:dyDescent="0.25">
      <c r="A5899" s="1" t="str">
        <f>HYPERLINK("https://lynxcrm-apac--c.eu19.visual.force.com/0011i000001xnx8AAA","Yap, Lip Kee")</f>
        <v>Yap, Lip Kee</v>
      </c>
      <c r="B5899" t="s">
        <v>10612</v>
      </c>
      <c r="C5899" t="s">
        <v>28</v>
      </c>
      <c r="D5899" t="s">
        <v>10613</v>
      </c>
      <c r="E5899" t="s">
        <v>8</v>
      </c>
      <c r="F5899" t="s">
        <v>377</v>
      </c>
      <c r="G5899" t="s">
        <v>2822</v>
      </c>
      <c r="H5899" t="s">
        <v>2823</v>
      </c>
      <c r="I5899" t="s">
        <v>123</v>
      </c>
    </row>
    <row r="5900" spans="1:9" x14ac:dyDescent="0.25">
      <c r="A5900" s="1" t="str">
        <f>HYPERLINK("https://lynxcrm-apac--c.eu19.visual.force.com/0011i000001xoJrAAI","Yap, Peng Leng Karen")</f>
        <v>Yap, Peng Leng Karen</v>
      </c>
      <c r="B5900" t="s">
        <v>10614</v>
      </c>
      <c r="C5900" t="s">
        <v>28</v>
      </c>
      <c r="D5900" t="s">
        <v>251</v>
      </c>
      <c r="E5900" t="s">
        <v>8</v>
      </c>
      <c r="F5900" t="s">
        <v>251</v>
      </c>
      <c r="G5900" t="s">
        <v>252</v>
      </c>
      <c r="H5900" t="s">
        <v>252</v>
      </c>
      <c r="I5900" t="s">
        <v>253</v>
      </c>
    </row>
    <row r="5901" spans="1:9" x14ac:dyDescent="0.25">
      <c r="A5901" s="1" t="str">
        <f>HYPERLINK("https://lynxcrm-apac--c.eu19.visual.force.com/0011i000001xoJrAAI","Yap, Peng Leng Karen")</f>
        <v>Yap, Peng Leng Karen</v>
      </c>
      <c r="B5901" t="s">
        <v>10614</v>
      </c>
      <c r="C5901" t="s">
        <v>28</v>
      </c>
      <c r="D5901" t="s">
        <v>635</v>
      </c>
      <c r="E5901" t="s">
        <v>8</v>
      </c>
      <c r="F5901" t="s">
        <v>252</v>
      </c>
      <c r="G5901" t="s">
        <v>251</v>
      </c>
      <c r="H5901" t="s">
        <v>251</v>
      </c>
      <c r="I5901" t="s">
        <v>253</v>
      </c>
    </row>
    <row r="5902" spans="1:9" x14ac:dyDescent="0.25">
      <c r="A5902" s="1" t="str">
        <f>HYPERLINK("https://lynxcrm-apac--c.eu19.visual.force.com/0011i000001xoPEAAY","Yap, Soon Boon Raymond")</f>
        <v>Yap, Soon Boon Raymond</v>
      </c>
      <c r="B5902" t="s">
        <v>10615</v>
      </c>
      <c r="C5902" t="s">
        <v>28</v>
      </c>
      <c r="D5902" t="s">
        <v>5013</v>
      </c>
      <c r="E5902" t="s">
        <v>8</v>
      </c>
      <c r="F5902" t="s">
        <v>5405</v>
      </c>
      <c r="G5902" t="s">
        <v>2906</v>
      </c>
      <c r="H5902" t="s">
        <v>2906</v>
      </c>
      <c r="I5902" t="s">
        <v>5406</v>
      </c>
    </row>
    <row r="5903" spans="1:9" x14ac:dyDescent="0.25">
      <c r="A5903" s="1" t="str">
        <f>HYPERLINK("https://lynxcrm-apac--c.eu19.visual.force.com/0011i000001xoi9AAA","Yap, Sui Ling")</f>
        <v>Yap, Sui Ling</v>
      </c>
      <c r="B5903" t="s">
        <v>10616</v>
      </c>
      <c r="C5903" t="s">
        <v>28</v>
      </c>
      <c r="D5903" t="s">
        <v>1126</v>
      </c>
      <c r="E5903" t="s">
        <v>8</v>
      </c>
      <c r="F5903" t="s">
        <v>1127</v>
      </c>
      <c r="G5903" t="s">
        <v>1128</v>
      </c>
      <c r="H5903" t="s">
        <v>1128</v>
      </c>
      <c r="I5903" t="s">
        <v>996</v>
      </c>
    </row>
    <row r="5904" spans="1:9" x14ac:dyDescent="0.25">
      <c r="A5904" s="1" t="str">
        <f>HYPERLINK("https://lynxcrm-apac--c.eu19.visual.force.com/0011i000001xoFiAAI","Yap, Teck Loong Chri")</f>
        <v>Yap, Teck Loong Chri</v>
      </c>
      <c r="B5904" t="s">
        <v>10617</v>
      </c>
      <c r="C5904" t="s">
        <v>28</v>
      </c>
      <c r="D5904" t="s">
        <v>10618</v>
      </c>
      <c r="E5904" t="s">
        <v>8</v>
      </c>
      <c r="F5904" t="s">
        <v>258</v>
      </c>
      <c r="G5904" t="s">
        <v>261</v>
      </c>
      <c r="H5904" t="s">
        <v>261</v>
      </c>
      <c r="I5904" t="s">
        <v>260</v>
      </c>
    </row>
    <row r="5905" spans="1:9" x14ac:dyDescent="0.25">
      <c r="A5905" s="1" t="str">
        <f>HYPERLINK("https://lynxcrm-apac--c.eu19.visual.force.com/0011i000001xoFiAAI","Yap, Teck Loong Chri")</f>
        <v>Yap, Teck Loong Chri</v>
      </c>
      <c r="B5905" t="s">
        <v>10617</v>
      </c>
      <c r="C5905" t="s">
        <v>28</v>
      </c>
      <c r="D5905" t="s">
        <v>261</v>
      </c>
      <c r="E5905" t="s">
        <v>8</v>
      </c>
      <c r="F5905" t="s">
        <v>261</v>
      </c>
      <c r="G5905" t="s">
        <v>347</v>
      </c>
      <c r="H5905" t="s">
        <v>347</v>
      </c>
      <c r="I5905" t="s">
        <v>260</v>
      </c>
    </row>
    <row r="5906" spans="1:9" x14ac:dyDescent="0.25">
      <c r="A5906" s="1" t="str">
        <f>HYPERLINK("https://lynxcrm-apac--c.eu19.visual.force.com/0011i000001xnxKAAQ","Yap, Tiong Toh")</f>
        <v>Yap, Tiong Toh</v>
      </c>
      <c r="B5906" t="s">
        <v>10619</v>
      </c>
      <c r="C5906" t="s">
        <v>28</v>
      </c>
      <c r="D5906" t="s">
        <v>1309</v>
      </c>
      <c r="E5906" t="s">
        <v>8</v>
      </c>
      <c r="F5906" t="s">
        <v>8175</v>
      </c>
      <c r="G5906" t="s">
        <v>2052</v>
      </c>
      <c r="H5906" t="s">
        <v>2052</v>
      </c>
      <c r="I5906" t="s">
        <v>8176</v>
      </c>
    </row>
    <row r="5907" spans="1:9" x14ac:dyDescent="0.25">
      <c r="A5907" s="1" t="str">
        <f>HYPERLINK("https://lynxcrm-apac--c.eu19.visual.force.com/0011i000001xoCYAAY","Yap, Wee See")</f>
        <v>Yap, Wee See</v>
      </c>
      <c r="B5907" t="s">
        <v>10620</v>
      </c>
      <c r="C5907" t="s">
        <v>28</v>
      </c>
      <c r="D5907" t="s">
        <v>261</v>
      </c>
      <c r="E5907" t="s">
        <v>8</v>
      </c>
      <c r="F5907" t="s">
        <v>261</v>
      </c>
      <c r="G5907" t="s">
        <v>347</v>
      </c>
      <c r="H5907" t="s">
        <v>347</v>
      </c>
      <c r="I5907" t="s">
        <v>260</v>
      </c>
    </row>
    <row r="5908" spans="1:9" x14ac:dyDescent="0.25">
      <c r="A5908" s="1" t="str">
        <f>HYPERLINK("https://lynxcrm-apac--c.eu19.visual.force.com/0011i000001xoCYAAY","Yap, Wee See")</f>
        <v>Yap, Wee See</v>
      </c>
      <c r="B5908" t="s">
        <v>10620</v>
      </c>
      <c r="C5908" t="s">
        <v>28</v>
      </c>
      <c r="D5908" t="s">
        <v>261</v>
      </c>
      <c r="E5908" t="s">
        <v>8</v>
      </c>
      <c r="F5908" t="s">
        <v>239</v>
      </c>
      <c r="G5908" t="s">
        <v>258</v>
      </c>
      <c r="H5908" t="s">
        <v>259</v>
      </c>
      <c r="I5908" t="s">
        <v>260</v>
      </c>
    </row>
    <row r="5909" spans="1:9" x14ac:dyDescent="0.25">
      <c r="A5909" s="1" t="str">
        <f>HYPERLINK("https://lynxcrm-apac--c.eu19.visual.force.com/0011i000001xnkYAAQ","Yap, Yang Ming Milton")</f>
        <v>Yap, Yang Ming Milton</v>
      </c>
      <c r="B5909" t="s">
        <v>10621</v>
      </c>
      <c r="C5909" t="s">
        <v>28</v>
      </c>
      <c r="D5909" t="s">
        <v>701</v>
      </c>
      <c r="E5909" t="s">
        <v>8</v>
      </c>
      <c r="F5909" t="s">
        <v>1123</v>
      </c>
      <c r="G5909" t="s">
        <v>1123</v>
      </c>
      <c r="H5909" t="s">
        <v>1124</v>
      </c>
      <c r="I5909" t="s">
        <v>703</v>
      </c>
    </row>
    <row r="5910" spans="1:9" x14ac:dyDescent="0.25">
      <c r="A5910" s="1" t="str">
        <f>HYPERLINK("https://lynxcrm-apac--c.eu19.visual.force.com/0011i000001xnkYAAQ","Yap, Yang Ming Milton")</f>
        <v>Yap, Yang Ming Milton</v>
      </c>
      <c r="B5910" t="s">
        <v>10621</v>
      </c>
      <c r="C5910" t="s">
        <v>28</v>
      </c>
      <c r="D5910" t="s">
        <v>701</v>
      </c>
      <c r="E5910" t="s">
        <v>8</v>
      </c>
      <c r="F5910" t="s">
        <v>1123</v>
      </c>
      <c r="G5910" t="s">
        <v>1123</v>
      </c>
      <c r="H5910" t="s">
        <v>8</v>
      </c>
      <c r="I5910" t="s">
        <v>703</v>
      </c>
    </row>
    <row r="5911" spans="1:9" x14ac:dyDescent="0.25">
      <c r="A5911" s="1" t="str">
        <f>HYPERLINK("https://lynxcrm-apac--c.eu19.visual.force.com/0011i000001xnxLAAQ","Yap, Yong Sang")</f>
        <v>Yap, Yong Sang</v>
      </c>
      <c r="B5911" t="s">
        <v>10622</v>
      </c>
      <c r="C5911" t="s">
        <v>28</v>
      </c>
      <c r="D5911" t="s">
        <v>10623</v>
      </c>
      <c r="E5911" t="s">
        <v>8</v>
      </c>
      <c r="F5911" t="s">
        <v>3498</v>
      </c>
      <c r="G5911" t="s">
        <v>10624</v>
      </c>
      <c r="H5911" t="s">
        <v>10625</v>
      </c>
      <c r="I5911" t="s">
        <v>3500</v>
      </c>
    </row>
    <row r="5912" spans="1:9" x14ac:dyDescent="0.25">
      <c r="A5912" s="1" t="str">
        <f>HYPERLINK("https://lynxcrm-apac--c.eu19.visual.force.com/0011i000001xmooAAA","Yap Chin Kong Gastroenterology")</f>
        <v>Yap Chin Kong Gastroenterology</v>
      </c>
      <c r="B5912" t="s">
        <v>10626</v>
      </c>
      <c r="C5912" t="s">
        <v>10</v>
      </c>
      <c r="D5912" t="s">
        <v>8</v>
      </c>
      <c r="E5912" t="s">
        <v>8</v>
      </c>
      <c r="F5912" t="s">
        <v>10627</v>
      </c>
      <c r="G5912" t="s">
        <v>388</v>
      </c>
      <c r="H5912" t="s">
        <v>388</v>
      </c>
      <c r="I5912" t="s">
        <v>123</v>
      </c>
    </row>
    <row r="5913" spans="1:9" x14ac:dyDescent="0.25">
      <c r="A5913" s="1" t="str">
        <f>HYPERLINK("https://lynxcrm-apac--c.eu19.visual.force.com/0011i000001xnK9AAI","Yap Family Clinic")</f>
        <v>Yap Family Clinic</v>
      </c>
      <c r="B5913" t="s">
        <v>10628</v>
      </c>
      <c r="C5913" t="s">
        <v>10</v>
      </c>
      <c r="D5913" t="s">
        <v>8</v>
      </c>
      <c r="E5913" t="s">
        <v>8</v>
      </c>
      <c r="F5913" t="s">
        <v>10591</v>
      </c>
      <c r="G5913" t="s">
        <v>1335</v>
      </c>
      <c r="H5913" t="s">
        <v>10592</v>
      </c>
      <c r="I5913" t="s">
        <v>10593</v>
      </c>
    </row>
    <row r="5914" spans="1:9" x14ac:dyDescent="0.25">
      <c r="A5914" s="1" t="str">
        <f>HYPERLINK("https://lynxcrm-apac--c.eu19.visual.force.com/0011i000001xnWtAAI","Yap Family Clinic &amp; Surgery")</f>
        <v>Yap Family Clinic &amp; Surgery</v>
      </c>
      <c r="B5914" t="s">
        <v>10629</v>
      </c>
      <c r="C5914" t="s">
        <v>10</v>
      </c>
      <c r="D5914" t="s">
        <v>8</v>
      </c>
      <c r="E5914" t="s">
        <v>8</v>
      </c>
      <c r="F5914" t="s">
        <v>10630</v>
      </c>
      <c r="G5914" t="s">
        <v>10631</v>
      </c>
      <c r="H5914" t="s">
        <v>10632</v>
      </c>
      <c r="I5914" t="s">
        <v>10633</v>
      </c>
    </row>
    <row r="5915" spans="1:9" x14ac:dyDescent="0.25">
      <c r="A5915" s="1" t="str">
        <f>HYPERLINK("https://lynxcrm-apac--c.eu19.visual.force.com/0011i000001xo4rAAA","Yasmin")</f>
        <v>Yasmin</v>
      </c>
      <c r="B5915" t="s">
        <v>10634</v>
      </c>
      <c r="C5915" t="s">
        <v>28</v>
      </c>
      <c r="D5915" t="s">
        <v>429</v>
      </c>
      <c r="E5915" t="s">
        <v>8</v>
      </c>
      <c r="F5915" t="s">
        <v>246</v>
      </c>
      <c r="G5915" t="s">
        <v>6918</v>
      </c>
      <c r="H5915" t="s">
        <v>6918</v>
      </c>
      <c r="I5915" t="s">
        <v>430</v>
      </c>
    </row>
    <row r="5916" spans="1:9" x14ac:dyDescent="0.25">
      <c r="A5916" s="1" t="str">
        <f>HYPERLINK("https://lynxcrm-apac--c.eu19.visual.force.com/0011i000001xmi9AAA","Y C Goh Clinic &amp; Surgery For Women")</f>
        <v>Y C Goh Clinic &amp; Surgery For Women</v>
      </c>
      <c r="B5916" t="s">
        <v>10635</v>
      </c>
      <c r="C5916" t="s">
        <v>10</v>
      </c>
      <c r="D5916" t="s">
        <v>8</v>
      </c>
      <c r="E5916" t="s">
        <v>8</v>
      </c>
      <c r="F5916" t="s">
        <v>4423</v>
      </c>
      <c r="G5916" t="s">
        <v>10636</v>
      </c>
      <c r="H5916" t="s">
        <v>10637</v>
      </c>
      <c r="I5916" t="s">
        <v>3792</v>
      </c>
    </row>
    <row r="5917" spans="1:9" x14ac:dyDescent="0.25">
      <c r="A5917" s="1" t="str">
        <f>HYPERLINK("https://lynxcrm-apac--c.eu19.visual.force.com/0011i000001xn1OAAQ","Y C Lee Clinic")</f>
        <v>Y C Lee Clinic</v>
      </c>
      <c r="B5917" t="s">
        <v>10638</v>
      </c>
      <c r="C5917" t="s">
        <v>10</v>
      </c>
      <c r="D5917" t="s">
        <v>8</v>
      </c>
      <c r="E5917" t="s">
        <v>8</v>
      </c>
      <c r="F5917" t="s">
        <v>10639</v>
      </c>
      <c r="G5917" t="s">
        <v>121</v>
      </c>
      <c r="H5917" t="s">
        <v>121</v>
      </c>
      <c r="I5917" t="s">
        <v>123</v>
      </c>
    </row>
    <row r="5918" spans="1:9" x14ac:dyDescent="0.25">
      <c r="A5918" s="1" t="str">
        <f>HYPERLINK("https://lynxcrm-apac--c.eu19.visual.force.com/0011i000001xo7ZAAQ","Yeak, Chow Lin Samuel")</f>
        <v>Yeak, Chow Lin Samuel</v>
      </c>
      <c r="B5918" t="s">
        <v>10640</v>
      </c>
      <c r="C5918" t="s">
        <v>28</v>
      </c>
      <c r="D5918" t="s">
        <v>261</v>
      </c>
      <c r="E5918" t="s">
        <v>8</v>
      </c>
      <c r="F5918" t="s">
        <v>514</v>
      </c>
      <c r="G5918" t="s">
        <v>258</v>
      </c>
      <c r="H5918" t="s">
        <v>259</v>
      </c>
      <c r="I5918" t="s">
        <v>260</v>
      </c>
    </row>
    <row r="5919" spans="1:9" x14ac:dyDescent="0.25">
      <c r="A5919" s="1" t="str">
        <f>HYPERLINK("https://lynxcrm-apac--c.eu19.visual.force.com/0011i000001xo7ZAAQ","Yeak, Chow Lin Samuel")</f>
        <v>Yeak, Chow Lin Samuel</v>
      </c>
      <c r="B5919" t="s">
        <v>10640</v>
      </c>
      <c r="C5919" t="s">
        <v>28</v>
      </c>
      <c r="D5919" t="s">
        <v>261</v>
      </c>
      <c r="E5919" t="s">
        <v>8</v>
      </c>
      <c r="F5919" t="s">
        <v>261</v>
      </c>
      <c r="G5919" t="s">
        <v>347</v>
      </c>
      <c r="H5919" t="s">
        <v>347</v>
      </c>
      <c r="I5919" t="s">
        <v>260</v>
      </c>
    </row>
    <row r="5920" spans="1:9" x14ac:dyDescent="0.25">
      <c r="A5920" s="1" t="str">
        <f>HYPERLINK("https://lynxcrm-apac--c.eu19.visual.force.com/0011i000001xnkEAAQ","Yeang, Ming Sheng")</f>
        <v>Yeang, Ming Sheng</v>
      </c>
      <c r="B5920" t="s">
        <v>10641</v>
      </c>
      <c r="C5920" t="s">
        <v>28</v>
      </c>
      <c r="D5920" t="s">
        <v>937</v>
      </c>
      <c r="E5920" t="s">
        <v>8</v>
      </c>
      <c r="F5920" t="s">
        <v>1013</v>
      </c>
      <c r="G5920" t="s">
        <v>1013</v>
      </c>
      <c r="H5920" t="s">
        <v>8</v>
      </c>
      <c r="I5920" t="s">
        <v>1014</v>
      </c>
    </row>
    <row r="5921" spans="1:9" x14ac:dyDescent="0.25">
      <c r="A5921" s="1" t="str">
        <f>HYPERLINK("https://lynxcrm-apac--c.eu19.visual.force.com/0011i000001xnxPAAQ","Yeap, Eng Hooi")</f>
        <v>Yeap, Eng Hooi</v>
      </c>
      <c r="B5921" t="s">
        <v>10642</v>
      </c>
      <c r="C5921" t="s">
        <v>28</v>
      </c>
      <c r="D5921" t="s">
        <v>8056</v>
      </c>
      <c r="E5921" t="s">
        <v>8</v>
      </c>
      <c r="F5921" t="s">
        <v>836</v>
      </c>
      <c r="G5921" t="s">
        <v>80</v>
      </c>
      <c r="H5921" t="s">
        <v>837</v>
      </c>
      <c r="I5921" t="s">
        <v>838</v>
      </c>
    </row>
    <row r="5922" spans="1:9" x14ac:dyDescent="0.25">
      <c r="A5922" s="1" t="str">
        <f>HYPERLINK("https://lynxcrm-apac--c.eu19.visual.force.com/0011i000001xoMpAAI","Yeap, Min Li")</f>
        <v>Yeap, Min Li</v>
      </c>
      <c r="B5922" t="s">
        <v>10643</v>
      </c>
      <c r="C5922" t="s">
        <v>28</v>
      </c>
      <c r="D5922" t="s">
        <v>10644</v>
      </c>
      <c r="E5922" t="s">
        <v>8</v>
      </c>
      <c r="F5922" t="s">
        <v>6720</v>
      </c>
      <c r="G5922" t="s">
        <v>6720</v>
      </c>
      <c r="H5922" t="s">
        <v>8</v>
      </c>
      <c r="I5922" t="s">
        <v>266</v>
      </c>
    </row>
    <row r="5923" spans="1:9" x14ac:dyDescent="0.25">
      <c r="A5923" s="1" t="str">
        <f>HYPERLINK("https://lynxcrm-apac--c.eu19.visual.force.com/0011i000001xnphAAA","Yeap, You Wen")</f>
        <v>Yeap, You Wen</v>
      </c>
      <c r="B5923" t="s">
        <v>10645</v>
      </c>
      <c r="C5923" t="s">
        <v>28</v>
      </c>
      <c r="D5923" t="s">
        <v>516</v>
      </c>
      <c r="E5923" t="s">
        <v>8</v>
      </c>
      <c r="F5923" t="s">
        <v>517</v>
      </c>
      <c r="G5923" t="s">
        <v>517</v>
      </c>
      <c r="H5923" t="s">
        <v>8</v>
      </c>
      <c r="I5923" t="s">
        <v>518</v>
      </c>
    </row>
    <row r="5924" spans="1:9" x14ac:dyDescent="0.25">
      <c r="A5924" s="1" t="str">
        <f>HYPERLINK("https://lynxcrm-apac--c.eu19.visual.force.com/0011i000001xnxQAAQ","Yee, Jenn Jet Michae")</f>
        <v>Yee, Jenn Jet Michae</v>
      </c>
      <c r="B5924" t="s">
        <v>10646</v>
      </c>
      <c r="C5924" t="s">
        <v>28</v>
      </c>
      <c r="D5924" t="s">
        <v>10647</v>
      </c>
      <c r="E5924" t="s">
        <v>8</v>
      </c>
      <c r="F5924" t="s">
        <v>10648</v>
      </c>
      <c r="G5924" t="s">
        <v>10649</v>
      </c>
      <c r="H5924" t="s">
        <v>10649</v>
      </c>
      <c r="I5924" t="s">
        <v>10650</v>
      </c>
    </row>
    <row r="5925" spans="1:9" x14ac:dyDescent="0.25">
      <c r="A5925" s="1" t="str">
        <f>HYPERLINK("https://lynxcrm-apac--c.eu19.visual.force.com/0011i000001xoicAAA","Yee, Kah Leong")</f>
        <v>Yee, Kah Leong</v>
      </c>
      <c r="B5925" t="s">
        <v>10651</v>
      </c>
      <c r="C5925" t="s">
        <v>28</v>
      </c>
      <c r="D5925" t="s">
        <v>937</v>
      </c>
      <c r="E5925" t="s">
        <v>8</v>
      </c>
      <c r="F5925" t="s">
        <v>3991</v>
      </c>
      <c r="G5925" t="s">
        <v>4067</v>
      </c>
      <c r="H5925" t="s">
        <v>4067</v>
      </c>
      <c r="I5925" t="s">
        <v>3993</v>
      </c>
    </row>
    <row r="5926" spans="1:9" x14ac:dyDescent="0.25">
      <c r="A5926" s="1" t="str">
        <f>HYPERLINK("https://lynxcrm-apac--c.eu19.visual.force.com/0011i000001xoCbAAI","Yee, Poh Kim")</f>
        <v>Yee, Poh Kim</v>
      </c>
      <c r="B5926" t="s">
        <v>10652</v>
      </c>
      <c r="C5926" t="s">
        <v>28</v>
      </c>
      <c r="D5926" t="s">
        <v>10653</v>
      </c>
      <c r="E5926" t="s">
        <v>8</v>
      </c>
      <c r="F5926" t="s">
        <v>8229</v>
      </c>
      <c r="G5926" t="s">
        <v>7123</v>
      </c>
      <c r="H5926" t="s">
        <v>7124</v>
      </c>
      <c r="I5926" t="s">
        <v>7125</v>
      </c>
    </row>
    <row r="5927" spans="1:9" x14ac:dyDescent="0.25">
      <c r="A5927" s="1" t="str">
        <f>HYPERLINK("https://lynxcrm-apac--c.eu19.visual.force.com/0011i000001xnrsAAA","Yee, Sze Men")</f>
        <v>Yee, Sze Men</v>
      </c>
      <c r="B5927" t="s">
        <v>10654</v>
      </c>
      <c r="C5927" t="s">
        <v>28</v>
      </c>
      <c r="D5927" t="s">
        <v>662</v>
      </c>
      <c r="E5927" t="s">
        <v>8</v>
      </c>
      <c r="F5927" t="s">
        <v>662</v>
      </c>
      <c r="G5927" t="s">
        <v>663</v>
      </c>
      <c r="H5927" t="s">
        <v>663</v>
      </c>
      <c r="I5927" t="s">
        <v>664</v>
      </c>
    </row>
    <row r="5928" spans="1:9" x14ac:dyDescent="0.25">
      <c r="A5928" s="1" t="str">
        <f>HYPERLINK("https://lynxcrm-apac--c.eu19.visual.force.com/0011i000001xoE0AAI","Yee, Woon Chee")</f>
        <v>Yee, Woon Chee</v>
      </c>
      <c r="B5928" t="s">
        <v>10655</v>
      </c>
      <c r="C5928" t="s">
        <v>28</v>
      </c>
      <c r="D5928" t="s">
        <v>474</v>
      </c>
      <c r="E5928" t="s">
        <v>8</v>
      </c>
      <c r="F5928" t="s">
        <v>1263</v>
      </c>
      <c r="G5928" t="s">
        <v>258</v>
      </c>
      <c r="H5928" t="s">
        <v>259</v>
      </c>
      <c r="I5928" t="s">
        <v>260</v>
      </c>
    </row>
    <row r="5929" spans="1:9" x14ac:dyDescent="0.25">
      <c r="A5929" s="1" t="str">
        <f>HYPERLINK("https://lynxcrm-apac--c.eu19.visual.force.com/0011i000001xoPyAAI","Yeggapan, Muthuruppan")</f>
        <v>Yeggapan, Muthuruppan</v>
      </c>
      <c r="B5929" t="s">
        <v>10656</v>
      </c>
      <c r="C5929" t="s">
        <v>28</v>
      </c>
      <c r="D5929" t="s">
        <v>10657</v>
      </c>
      <c r="E5929" t="s">
        <v>8</v>
      </c>
      <c r="F5929" t="s">
        <v>1102</v>
      </c>
      <c r="G5929" t="s">
        <v>121</v>
      </c>
      <c r="H5929" t="s">
        <v>121</v>
      </c>
      <c r="I5929" t="s">
        <v>123</v>
      </c>
    </row>
    <row r="5930" spans="1:9" x14ac:dyDescent="0.25">
      <c r="A5930" s="1" t="str">
        <f>HYPERLINK("https://lynxcrm-apac--c.eu19.visual.force.com/0011i000001xoghAAA","Yeh, Huei Zhen Sarah")</f>
        <v>Yeh, Huei Zhen Sarah</v>
      </c>
      <c r="B5930" t="s">
        <v>10658</v>
      </c>
      <c r="C5930" t="s">
        <v>28</v>
      </c>
      <c r="D5930" t="s">
        <v>10659</v>
      </c>
      <c r="E5930" t="s">
        <v>8</v>
      </c>
      <c r="F5930" t="s">
        <v>7229</v>
      </c>
      <c r="G5930" t="s">
        <v>7230</v>
      </c>
      <c r="H5930" t="s">
        <v>7230</v>
      </c>
      <c r="I5930" t="s">
        <v>7231</v>
      </c>
    </row>
    <row r="5931" spans="1:9" x14ac:dyDescent="0.25">
      <c r="A5931" s="1" t="str">
        <f>HYPERLINK("https://lynxcrm-apac--c.eu19.visual.force.com/0011i000001xo7aAAA","Yen, Hwee Ling")</f>
        <v>Yen, Hwee Ling</v>
      </c>
      <c r="B5931" t="s">
        <v>10660</v>
      </c>
      <c r="C5931" t="s">
        <v>28</v>
      </c>
      <c r="D5931" t="s">
        <v>1305</v>
      </c>
      <c r="E5931" t="s">
        <v>8</v>
      </c>
      <c r="F5931" t="s">
        <v>1306</v>
      </c>
      <c r="G5931" t="s">
        <v>1307</v>
      </c>
      <c r="H5931" t="s">
        <v>1307</v>
      </c>
      <c r="I5931" t="s">
        <v>610</v>
      </c>
    </row>
    <row r="5932" spans="1:9" x14ac:dyDescent="0.25">
      <c r="A5932" s="1" t="str">
        <f>HYPERLINK("https://lynxcrm-apac--c.eu19.visual.force.com/0011i000001xoWCAAY","Yeo, Angeline")</f>
        <v>Yeo, Angeline</v>
      </c>
      <c r="B5932" t="s">
        <v>10661</v>
      </c>
      <c r="C5932" t="s">
        <v>28</v>
      </c>
      <c r="D5932" t="s">
        <v>709</v>
      </c>
      <c r="E5932" t="s">
        <v>8</v>
      </c>
      <c r="F5932" t="s">
        <v>710</v>
      </c>
      <c r="G5932" t="s">
        <v>135</v>
      </c>
      <c r="H5932" t="s">
        <v>135</v>
      </c>
      <c r="I5932" t="s">
        <v>711</v>
      </c>
    </row>
    <row r="5933" spans="1:9" x14ac:dyDescent="0.25">
      <c r="A5933" s="1" t="str">
        <f>HYPERLINK("https://lynxcrm-apac--c.eu19.visual.force.com/0011i000001xoWCAAY","Yeo, Angeline")</f>
        <v>Yeo, Angeline</v>
      </c>
      <c r="B5933" t="s">
        <v>10661</v>
      </c>
      <c r="C5933" t="s">
        <v>28</v>
      </c>
      <c r="D5933" t="s">
        <v>709</v>
      </c>
      <c r="E5933" t="s">
        <v>8</v>
      </c>
      <c r="F5933" t="s">
        <v>710</v>
      </c>
      <c r="G5933" t="s">
        <v>710</v>
      </c>
      <c r="H5933" t="s">
        <v>3293</v>
      </c>
      <c r="I5933" t="s">
        <v>711</v>
      </c>
    </row>
    <row r="5934" spans="1:9" x14ac:dyDescent="0.25">
      <c r="A5934" s="1" t="str">
        <f>HYPERLINK("https://lynxcrm-apac--c.eu19.visual.force.com/0011i000001xoS1AAI","Yeo, Anne")</f>
        <v>Yeo, Anne</v>
      </c>
      <c r="B5934" t="s">
        <v>10662</v>
      </c>
      <c r="C5934" t="s">
        <v>28</v>
      </c>
      <c r="D5934" t="s">
        <v>516</v>
      </c>
      <c r="E5934" t="s">
        <v>8</v>
      </c>
      <c r="F5934" t="s">
        <v>3046</v>
      </c>
      <c r="G5934" t="s">
        <v>3046</v>
      </c>
      <c r="H5934" t="s">
        <v>3047</v>
      </c>
      <c r="I5934" t="s">
        <v>518</v>
      </c>
    </row>
    <row r="5935" spans="1:9" x14ac:dyDescent="0.25">
      <c r="A5935" s="1" t="str">
        <f>HYPERLINK("https://lynxcrm-apac--c.eu19.visual.force.com/0011i000001xoS1AAI","Yeo, Anne")</f>
        <v>Yeo, Anne</v>
      </c>
      <c r="B5935" t="s">
        <v>10662</v>
      </c>
      <c r="C5935" t="s">
        <v>28</v>
      </c>
      <c r="D5935" t="s">
        <v>516</v>
      </c>
      <c r="E5935" t="s">
        <v>8</v>
      </c>
      <c r="F5935" t="s">
        <v>517</v>
      </c>
      <c r="G5935" t="s">
        <v>517</v>
      </c>
      <c r="H5935" t="s">
        <v>8</v>
      </c>
      <c r="I5935" t="s">
        <v>518</v>
      </c>
    </row>
    <row r="5936" spans="1:9" x14ac:dyDescent="0.25">
      <c r="A5936" s="1" t="str">
        <f>HYPERLINK("https://lynxcrm-apac--c.eu19.visual.force.com/0011i000001xnxWAAQ","Yeo, Chee Peng David")</f>
        <v>Yeo, Chee Peng David</v>
      </c>
      <c r="B5936" t="s">
        <v>10663</v>
      </c>
      <c r="C5936" t="s">
        <v>28</v>
      </c>
      <c r="D5936" t="s">
        <v>10664</v>
      </c>
      <c r="E5936" t="s">
        <v>8</v>
      </c>
      <c r="F5936" t="s">
        <v>869</v>
      </c>
      <c r="G5936" t="s">
        <v>869</v>
      </c>
      <c r="H5936" t="s">
        <v>8</v>
      </c>
      <c r="I5936" t="s">
        <v>870</v>
      </c>
    </row>
    <row r="5937" spans="1:9" x14ac:dyDescent="0.25">
      <c r="A5937" s="1" t="str">
        <f>HYPERLINK("https://lynxcrm-apac--c.eu19.visual.force.com/0011i000001xo5qAAA","Yeo, Chong Jin")</f>
        <v>Yeo, Chong Jin</v>
      </c>
      <c r="B5937" t="s">
        <v>10665</v>
      </c>
      <c r="C5937" t="s">
        <v>28</v>
      </c>
      <c r="D5937" t="s">
        <v>429</v>
      </c>
      <c r="E5937" t="s">
        <v>8</v>
      </c>
      <c r="F5937" t="s">
        <v>427</v>
      </c>
      <c r="G5937" t="s">
        <v>428</v>
      </c>
      <c r="H5937" t="s">
        <v>1320</v>
      </c>
      <c r="I5937" t="s">
        <v>430</v>
      </c>
    </row>
    <row r="5938" spans="1:9" x14ac:dyDescent="0.25">
      <c r="A5938" s="1" t="str">
        <f>HYPERLINK("https://lynxcrm-apac--c.eu19.visual.force.com/0011i000001xosgAAA","Yeo, Cindy")</f>
        <v>Yeo, Cindy</v>
      </c>
      <c r="B5938" t="s">
        <v>10666</v>
      </c>
      <c r="C5938" t="s">
        <v>28</v>
      </c>
      <c r="D5938" t="s">
        <v>261</v>
      </c>
      <c r="E5938" t="s">
        <v>8</v>
      </c>
      <c r="F5938" t="s">
        <v>359</v>
      </c>
      <c r="G5938" t="s">
        <v>347</v>
      </c>
      <c r="H5938" t="s">
        <v>347</v>
      </c>
      <c r="I5938" t="s">
        <v>415</v>
      </c>
    </row>
    <row r="5939" spans="1:9" x14ac:dyDescent="0.25">
      <c r="A5939" s="1" t="str">
        <f>HYPERLINK("https://lynxcrm-apac--c.eu19.visual.force.com/0011i000001xoJ2AAI","Yeo, Colin")</f>
        <v>Yeo, Colin</v>
      </c>
      <c r="B5939" t="s">
        <v>10667</v>
      </c>
      <c r="C5939" t="s">
        <v>28</v>
      </c>
      <c r="D5939" t="s">
        <v>583</v>
      </c>
      <c r="E5939" t="s">
        <v>8</v>
      </c>
      <c r="F5939" t="s">
        <v>584</v>
      </c>
      <c r="G5939" t="s">
        <v>584</v>
      </c>
      <c r="H5939" t="s">
        <v>8</v>
      </c>
      <c r="I5939" t="s">
        <v>362</v>
      </c>
    </row>
    <row r="5940" spans="1:9" x14ac:dyDescent="0.25">
      <c r="A5940" s="1" t="str">
        <f>HYPERLINK("https://lynxcrm-apac--c.eu19.visual.force.com/0011i000001xoEmAAI","Yeo, Derrick")</f>
        <v>Yeo, Derrick</v>
      </c>
      <c r="B5940" t="s">
        <v>10668</v>
      </c>
      <c r="C5940" t="s">
        <v>28</v>
      </c>
      <c r="D5940" t="s">
        <v>815</v>
      </c>
      <c r="E5940" t="s">
        <v>8</v>
      </c>
      <c r="F5940" t="s">
        <v>816</v>
      </c>
      <c r="G5940" t="s">
        <v>815</v>
      </c>
      <c r="H5940" t="s">
        <v>815</v>
      </c>
      <c r="I5940" t="s">
        <v>817</v>
      </c>
    </row>
    <row r="5941" spans="1:9" x14ac:dyDescent="0.25">
      <c r="A5941" s="1" t="str">
        <f>HYPERLINK("https://lynxcrm-apac--c.eu19.visual.force.com/0011i000007DNJEAA4","Yeo, Hui Nan")</f>
        <v>Yeo, Hui Nan</v>
      </c>
      <c r="B5941" t="s">
        <v>10669</v>
      </c>
      <c r="C5941" t="s">
        <v>28</v>
      </c>
      <c r="D5941" t="s">
        <v>709</v>
      </c>
      <c r="E5941" t="s">
        <v>8</v>
      </c>
      <c r="F5941" t="s">
        <v>710</v>
      </c>
      <c r="G5941" t="s">
        <v>135</v>
      </c>
      <c r="H5941" t="s">
        <v>135</v>
      </c>
      <c r="I5941" t="s">
        <v>711</v>
      </c>
    </row>
    <row r="5942" spans="1:9" x14ac:dyDescent="0.25">
      <c r="A5942" s="1" t="str">
        <f>HYPERLINK("https://lynxcrm-apac--c.eu19.visual.force.com/0011i000001xoOBAAY","Yeo, Janine")</f>
        <v>Yeo, Janine</v>
      </c>
      <c r="B5942" t="s">
        <v>10670</v>
      </c>
      <c r="C5942" t="s">
        <v>28</v>
      </c>
      <c r="D5942" t="s">
        <v>545</v>
      </c>
      <c r="E5942" t="s">
        <v>8</v>
      </c>
      <c r="F5942" t="s">
        <v>546</v>
      </c>
      <c r="G5942" t="s">
        <v>547</v>
      </c>
      <c r="H5942" t="s">
        <v>547</v>
      </c>
      <c r="I5942" t="s">
        <v>548</v>
      </c>
    </row>
    <row r="5943" spans="1:9" x14ac:dyDescent="0.25">
      <c r="A5943" s="1" t="str">
        <f>HYPERLINK("https://lynxcrm-apac--c.eu19.visual.force.com/0011i000001xo7bAAA","Yeo, Kah Loke Brian")</f>
        <v>Yeo, Kah Loke Brian</v>
      </c>
      <c r="B5943" t="s">
        <v>10671</v>
      </c>
      <c r="C5943" t="s">
        <v>28</v>
      </c>
      <c r="D5943" t="s">
        <v>10672</v>
      </c>
      <c r="E5943" t="s">
        <v>8</v>
      </c>
      <c r="F5943" t="s">
        <v>373</v>
      </c>
      <c r="G5943" t="s">
        <v>971</v>
      </c>
      <c r="H5943" t="s">
        <v>972</v>
      </c>
      <c r="I5943" t="s">
        <v>123</v>
      </c>
    </row>
    <row r="5944" spans="1:9" x14ac:dyDescent="0.25">
      <c r="A5944" s="1" t="str">
        <f>HYPERLINK("https://lynxcrm-apac--c.eu19.visual.force.com/0011i000001xnxYAAQ","Yeo, Ker Chiang")</f>
        <v>Yeo, Ker Chiang</v>
      </c>
      <c r="B5944" t="s">
        <v>10673</v>
      </c>
      <c r="C5944" t="s">
        <v>28</v>
      </c>
      <c r="D5944" t="s">
        <v>10674</v>
      </c>
      <c r="E5944" t="s">
        <v>8</v>
      </c>
      <c r="F5944" t="s">
        <v>4737</v>
      </c>
      <c r="G5944" t="s">
        <v>4738</v>
      </c>
      <c r="H5944" t="s">
        <v>4738</v>
      </c>
      <c r="I5944" t="s">
        <v>4739</v>
      </c>
    </row>
    <row r="5945" spans="1:9" x14ac:dyDescent="0.25">
      <c r="A5945" s="1" t="str">
        <f>HYPERLINK("https://lynxcrm-apac--c.eu19.visual.force.com/0011i000001xnxZAAQ","Yeo, Khee Hong")</f>
        <v>Yeo, Khee Hong</v>
      </c>
      <c r="B5945" t="s">
        <v>10675</v>
      </c>
      <c r="C5945" t="s">
        <v>28</v>
      </c>
      <c r="D5945" t="s">
        <v>10676</v>
      </c>
      <c r="E5945" t="s">
        <v>8</v>
      </c>
      <c r="F5945" t="s">
        <v>10677</v>
      </c>
      <c r="G5945" t="s">
        <v>6395</v>
      </c>
      <c r="H5945" t="s">
        <v>6395</v>
      </c>
      <c r="I5945" t="s">
        <v>10678</v>
      </c>
    </row>
    <row r="5946" spans="1:9" x14ac:dyDescent="0.25">
      <c r="A5946" s="1" t="str">
        <f>HYPERLINK("https://lynxcrm-apac--c.eu19.visual.force.com/0011i000001xoMtAAI","Yeo, Khoon Hui (Yang Kunfei)")</f>
        <v>Yeo, Khoon Hui (Yang Kunfei)</v>
      </c>
      <c r="B5946" t="s">
        <v>10679</v>
      </c>
      <c r="C5946" t="s">
        <v>28</v>
      </c>
      <c r="D5946" t="s">
        <v>10680</v>
      </c>
      <c r="E5946" t="s">
        <v>8</v>
      </c>
      <c r="F5946" t="s">
        <v>1033</v>
      </c>
      <c r="G5946" t="s">
        <v>1034</v>
      </c>
      <c r="H5946" t="s">
        <v>1035</v>
      </c>
      <c r="I5946" t="s">
        <v>912</v>
      </c>
    </row>
    <row r="5947" spans="1:9" x14ac:dyDescent="0.25">
      <c r="A5947" s="1" t="str">
        <f>HYPERLINK("https://lynxcrm-apac--c.eu19.visual.force.com/0011i000001xoHuAAI","Yeo, Khung Keong")</f>
        <v>Yeo, Khung Keong</v>
      </c>
      <c r="B5947" t="s">
        <v>10681</v>
      </c>
      <c r="C5947" t="s">
        <v>28</v>
      </c>
      <c r="D5947" t="s">
        <v>449</v>
      </c>
      <c r="E5947" t="s">
        <v>8</v>
      </c>
      <c r="F5947" t="s">
        <v>450</v>
      </c>
      <c r="G5947" t="s">
        <v>449</v>
      </c>
      <c r="H5947" t="s">
        <v>449</v>
      </c>
      <c r="I5947" t="s">
        <v>451</v>
      </c>
    </row>
    <row r="5948" spans="1:9" x14ac:dyDescent="0.25">
      <c r="A5948" s="1" t="str">
        <f>HYPERLINK("https://lynxcrm-apac--c.eu19.visual.force.com/0011i000001xoHuAAI","Yeo, Khung Keong")</f>
        <v>Yeo, Khung Keong</v>
      </c>
      <c r="B5948" t="s">
        <v>10681</v>
      </c>
      <c r="C5948" t="s">
        <v>28</v>
      </c>
      <c r="D5948" t="s">
        <v>449</v>
      </c>
      <c r="E5948" t="s">
        <v>8</v>
      </c>
      <c r="F5948" t="s">
        <v>234</v>
      </c>
      <c r="G5948" t="s">
        <v>452</v>
      </c>
      <c r="H5948" t="s">
        <v>453</v>
      </c>
      <c r="I5948" t="s">
        <v>454</v>
      </c>
    </row>
    <row r="5949" spans="1:9" x14ac:dyDescent="0.25">
      <c r="A5949" s="1" t="str">
        <f>HYPERLINK("https://lynxcrm-apac--c.eu19.visual.force.com/0011i000001xoBbAAI","Yeo, Kim Hai")</f>
        <v>Yeo, Kim Hai</v>
      </c>
      <c r="B5949" t="s">
        <v>10682</v>
      </c>
      <c r="C5949" t="s">
        <v>28</v>
      </c>
      <c r="D5949" t="s">
        <v>9298</v>
      </c>
      <c r="E5949" t="s">
        <v>8</v>
      </c>
      <c r="F5949" t="s">
        <v>6794</v>
      </c>
      <c r="G5949" t="s">
        <v>6795</v>
      </c>
      <c r="H5949" t="s">
        <v>6796</v>
      </c>
      <c r="I5949" t="s">
        <v>6797</v>
      </c>
    </row>
    <row r="5950" spans="1:9" x14ac:dyDescent="0.25">
      <c r="A5950" s="1" t="str">
        <f>HYPERLINK("https://lynxcrm-apac--c.eu19.visual.force.com/0011i000001xo7cAAA","Yeo, Kim Teck")</f>
        <v>Yeo, Kim Teck</v>
      </c>
      <c r="B5950" t="s">
        <v>10683</v>
      </c>
      <c r="C5950" t="s">
        <v>28</v>
      </c>
      <c r="D5950" t="s">
        <v>583</v>
      </c>
      <c r="E5950" t="s">
        <v>8</v>
      </c>
      <c r="F5950" t="s">
        <v>583</v>
      </c>
      <c r="G5950" t="s">
        <v>584</v>
      </c>
      <c r="H5950" t="s">
        <v>584</v>
      </c>
      <c r="I5950" t="s">
        <v>585</v>
      </c>
    </row>
    <row r="5951" spans="1:9" x14ac:dyDescent="0.25">
      <c r="A5951" s="1" t="str">
        <f>HYPERLINK("https://lynxcrm-apac--c.eu19.visual.force.com/0011i000001xo7cAAA","Yeo, Kim Teck")</f>
        <v>Yeo, Kim Teck</v>
      </c>
      <c r="B5951" t="s">
        <v>10683</v>
      </c>
      <c r="C5951" t="s">
        <v>28</v>
      </c>
      <c r="D5951" t="s">
        <v>1318</v>
      </c>
      <c r="E5951" t="s">
        <v>8</v>
      </c>
      <c r="F5951" t="s">
        <v>584</v>
      </c>
      <c r="G5951" t="s">
        <v>583</v>
      </c>
      <c r="H5951" t="s">
        <v>583</v>
      </c>
      <c r="I5951" t="s">
        <v>585</v>
      </c>
    </row>
    <row r="5952" spans="1:9" x14ac:dyDescent="0.25">
      <c r="A5952" s="1" t="str">
        <f>HYPERLINK("https://lynxcrm-apac--c.eu19.visual.force.com/0011i000001xohQAAQ","Yeo, Kuen Siong Andy")</f>
        <v>Yeo, Kuen Siong Andy</v>
      </c>
      <c r="B5952" t="s">
        <v>10684</v>
      </c>
      <c r="C5952" t="s">
        <v>28</v>
      </c>
      <c r="D5952" t="s">
        <v>583</v>
      </c>
      <c r="E5952" t="s">
        <v>8</v>
      </c>
      <c r="F5952" t="s">
        <v>584</v>
      </c>
      <c r="G5952" t="s">
        <v>584</v>
      </c>
      <c r="H5952" t="s">
        <v>8</v>
      </c>
      <c r="I5952" t="s">
        <v>585</v>
      </c>
    </row>
    <row r="5953" spans="1:9" x14ac:dyDescent="0.25">
      <c r="A5953" s="1" t="str">
        <f>HYPERLINK("https://lynxcrm-apac--c.eu19.visual.force.com/0011i000001xoWwAAI","Yeo, Kwee Kee Annie")</f>
        <v>Yeo, Kwee Kee Annie</v>
      </c>
      <c r="B5953" t="s">
        <v>10685</v>
      </c>
      <c r="C5953" t="s">
        <v>28</v>
      </c>
      <c r="D5953" t="s">
        <v>1237</v>
      </c>
      <c r="E5953" t="s">
        <v>8</v>
      </c>
      <c r="F5953" t="s">
        <v>3344</v>
      </c>
      <c r="G5953" t="s">
        <v>3337</v>
      </c>
      <c r="H5953" t="s">
        <v>3345</v>
      </c>
      <c r="I5953" t="s">
        <v>3338</v>
      </c>
    </row>
    <row r="5954" spans="1:9" x14ac:dyDescent="0.25">
      <c r="A5954" s="1" t="str">
        <f>HYPERLINK("https://lynxcrm-apac--c.eu19.visual.force.com/0011i000001xogyAAA","Yeo, Ling Yen Peggy")</f>
        <v>Yeo, Ling Yen Peggy</v>
      </c>
      <c r="B5954" t="s">
        <v>10686</v>
      </c>
      <c r="C5954" t="s">
        <v>28</v>
      </c>
      <c r="D5954" t="s">
        <v>7600</v>
      </c>
      <c r="E5954" t="s">
        <v>8</v>
      </c>
      <c r="F5954" t="s">
        <v>3355</v>
      </c>
      <c r="G5954" t="s">
        <v>3356</v>
      </c>
      <c r="H5954" t="s">
        <v>3356</v>
      </c>
      <c r="I5954" t="s">
        <v>3357</v>
      </c>
    </row>
    <row r="5955" spans="1:9" x14ac:dyDescent="0.25">
      <c r="A5955" s="1" t="str">
        <f>HYPERLINK("https://lynxcrm-apac--c.eu19.visual.force.com/0011i000001xnxcAAA","Yeo, May Lene Esther")</f>
        <v>Yeo, May Lene Esther</v>
      </c>
      <c r="B5955" t="s">
        <v>10687</v>
      </c>
      <c r="C5955" t="s">
        <v>28</v>
      </c>
      <c r="D5955" t="s">
        <v>6164</v>
      </c>
      <c r="E5955" t="s">
        <v>8</v>
      </c>
      <c r="F5955" t="s">
        <v>3057</v>
      </c>
      <c r="G5955" t="s">
        <v>3058</v>
      </c>
      <c r="H5955" t="s">
        <v>3059</v>
      </c>
      <c r="I5955" t="s">
        <v>3060</v>
      </c>
    </row>
    <row r="5956" spans="1:9" x14ac:dyDescent="0.25">
      <c r="A5956" s="1" t="str">
        <f>HYPERLINK("https://lynxcrm-apac--c.eu19.visual.force.com/0011i000001xnxgAAA","Yeo, Peng Hock Henry")</f>
        <v>Yeo, Peng Hock Henry</v>
      </c>
      <c r="B5956" t="s">
        <v>10688</v>
      </c>
      <c r="C5956" t="s">
        <v>28</v>
      </c>
      <c r="D5956" t="s">
        <v>5831</v>
      </c>
      <c r="E5956" t="s">
        <v>8</v>
      </c>
      <c r="F5956" t="s">
        <v>5832</v>
      </c>
      <c r="G5956" t="s">
        <v>5833</v>
      </c>
      <c r="H5956" t="s">
        <v>10689</v>
      </c>
      <c r="I5956" t="s">
        <v>5834</v>
      </c>
    </row>
    <row r="5957" spans="1:9" x14ac:dyDescent="0.25">
      <c r="A5957" s="1" t="str">
        <f>HYPERLINK("https://lynxcrm-apac--c.eu19.visual.force.com/0011i000001xnxgAAA","Yeo, Peng Hock Henry")</f>
        <v>Yeo, Peng Hock Henry</v>
      </c>
      <c r="B5957" t="s">
        <v>10688</v>
      </c>
      <c r="C5957" t="s">
        <v>28</v>
      </c>
      <c r="D5957" t="s">
        <v>5831</v>
      </c>
      <c r="E5957" t="s">
        <v>8</v>
      </c>
      <c r="F5957" t="s">
        <v>5832</v>
      </c>
      <c r="G5957" t="s">
        <v>5833</v>
      </c>
      <c r="H5957" t="s">
        <v>5833</v>
      </c>
      <c r="I5957" t="s">
        <v>5834</v>
      </c>
    </row>
    <row r="5958" spans="1:9" x14ac:dyDescent="0.25">
      <c r="A5958" s="1" t="str">
        <f>HYPERLINK("https://lynxcrm-apac--c.eu19.visual.force.com/0011i000001xnxkAAA","Yeo, Seem Huat")</f>
        <v>Yeo, Seem Huat</v>
      </c>
      <c r="B5958" t="s">
        <v>10690</v>
      </c>
      <c r="C5958" t="s">
        <v>28</v>
      </c>
      <c r="D5958" t="s">
        <v>10691</v>
      </c>
      <c r="E5958" t="s">
        <v>8</v>
      </c>
      <c r="F5958" t="s">
        <v>317</v>
      </c>
      <c r="G5958" t="s">
        <v>10692</v>
      </c>
      <c r="H5958" t="s">
        <v>10693</v>
      </c>
      <c r="I5958" t="s">
        <v>85</v>
      </c>
    </row>
    <row r="5959" spans="1:9" x14ac:dyDescent="0.25">
      <c r="A5959" s="1" t="str">
        <f>HYPERLINK("https://lynxcrm-apac--c.eu19.visual.force.com/0011i000001xo7gAAA","Yeo, Tseng Tsai")</f>
        <v>Yeo, Tseng Tsai</v>
      </c>
      <c r="B5959" t="s">
        <v>10694</v>
      </c>
      <c r="C5959" t="s">
        <v>28</v>
      </c>
      <c r="D5959" t="s">
        <v>261</v>
      </c>
      <c r="E5959" t="s">
        <v>8</v>
      </c>
      <c r="F5959" t="s">
        <v>261</v>
      </c>
      <c r="G5959" t="s">
        <v>347</v>
      </c>
      <c r="H5959" t="s">
        <v>347</v>
      </c>
      <c r="I5959" t="s">
        <v>260</v>
      </c>
    </row>
    <row r="5960" spans="1:9" x14ac:dyDescent="0.25">
      <c r="A5960" s="1" t="str">
        <f>HYPERLINK("https://lynxcrm-apac--c.eu19.visual.force.com/0011i000001xo7gAAA","Yeo, Tseng Tsai")</f>
        <v>Yeo, Tseng Tsai</v>
      </c>
      <c r="B5960" t="s">
        <v>10694</v>
      </c>
      <c r="C5960" t="s">
        <v>28</v>
      </c>
      <c r="D5960" t="s">
        <v>429</v>
      </c>
      <c r="E5960" t="s">
        <v>8</v>
      </c>
      <c r="F5960" t="s">
        <v>473</v>
      </c>
      <c r="G5960" t="s">
        <v>428</v>
      </c>
      <c r="H5960" t="s">
        <v>1320</v>
      </c>
      <c r="I5960" t="s">
        <v>430</v>
      </c>
    </row>
    <row r="5961" spans="1:9" x14ac:dyDescent="0.25">
      <c r="A5961" s="1" t="str">
        <f>HYPERLINK("https://lynxcrm-apac--c.eu19.visual.force.com/0011i000001xoGBAAY","Yeo, Wee Shung")</f>
        <v>Yeo, Wee Shung</v>
      </c>
      <c r="B5961" t="s">
        <v>10695</v>
      </c>
      <c r="C5961" t="s">
        <v>28</v>
      </c>
      <c r="D5961" t="s">
        <v>10696</v>
      </c>
      <c r="E5961" t="s">
        <v>8</v>
      </c>
      <c r="F5961" t="s">
        <v>10697</v>
      </c>
      <c r="G5961" t="s">
        <v>1926</v>
      </c>
      <c r="H5961" t="s">
        <v>1926</v>
      </c>
      <c r="I5961" t="s">
        <v>10698</v>
      </c>
    </row>
    <row r="5962" spans="1:9" x14ac:dyDescent="0.25">
      <c r="A5962" s="1" t="str">
        <f>HYPERLINK("https://lynxcrm-apac--c.eu19.visual.force.com/0011i000001xorDAAQ","Yeo, Xinying")</f>
        <v>Yeo, Xinying</v>
      </c>
      <c r="B5962" t="s">
        <v>10699</v>
      </c>
      <c r="C5962" t="s">
        <v>28</v>
      </c>
      <c r="D5962" t="s">
        <v>58</v>
      </c>
      <c r="E5962" t="s">
        <v>8</v>
      </c>
      <c r="F5962" t="s">
        <v>57</v>
      </c>
      <c r="G5962" t="s">
        <v>57</v>
      </c>
      <c r="H5962" t="s">
        <v>1275</v>
      </c>
      <c r="I5962" t="s">
        <v>59</v>
      </c>
    </row>
    <row r="5963" spans="1:9" x14ac:dyDescent="0.25">
      <c r="A5963" s="1" t="str">
        <f>HYPERLINK("https://lynxcrm-apac--c.eu19.visual.force.com/0011i000001xnYWAAY","Yeo's Clinic")</f>
        <v>Yeo's Clinic</v>
      </c>
      <c r="B5963" t="s">
        <v>10700</v>
      </c>
      <c r="C5963" t="s">
        <v>10</v>
      </c>
      <c r="D5963" t="s">
        <v>8</v>
      </c>
      <c r="E5963" t="s">
        <v>8</v>
      </c>
      <c r="F5963" t="s">
        <v>10701</v>
      </c>
      <c r="G5963" t="s">
        <v>10702</v>
      </c>
      <c r="H5963" t="s">
        <v>10702</v>
      </c>
      <c r="I5963" t="s">
        <v>10703</v>
      </c>
    </row>
    <row r="5964" spans="1:9" x14ac:dyDescent="0.25">
      <c r="A5964" s="1" t="str">
        <f>HYPERLINK("https://lynxcrm-apac--c.eu19.visual.force.com/0011i000001xocHAAQ","Yeoh, Guan Beng Jimmy")</f>
        <v>Yeoh, Guan Beng Jimmy</v>
      </c>
      <c r="B5964" t="s">
        <v>10704</v>
      </c>
      <c r="C5964" t="s">
        <v>28</v>
      </c>
      <c r="D5964" t="s">
        <v>164</v>
      </c>
      <c r="E5964" t="s">
        <v>8</v>
      </c>
      <c r="F5964" t="s">
        <v>368</v>
      </c>
      <c r="G5964" t="s">
        <v>163</v>
      </c>
      <c r="H5964" t="s">
        <v>163</v>
      </c>
      <c r="I5964" t="s">
        <v>165</v>
      </c>
    </row>
    <row r="5965" spans="1:9" x14ac:dyDescent="0.25">
      <c r="A5965" s="1" t="str">
        <f>HYPERLINK("https://lynxcrm-apac--c.eu19.visual.force.com/0011i000001xnxoAAA","Yeoh, Kian Hian")</f>
        <v>Yeoh, Kian Hian</v>
      </c>
      <c r="B5965" t="s">
        <v>10705</v>
      </c>
      <c r="C5965" t="s">
        <v>28</v>
      </c>
      <c r="D5965" t="s">
        <v>10706</v>
      </c>
      <c r="E5965" t="s">
        <v>8</v>
      </c>
      <c r="F5965" t="s">
        <v>121</v>
      </c>
      <c r="G5965" t="s">
        <v>10707</v>
      </c>
      <c r="H5965" t="s">
        <v>10707</v>
      </c>
      <c r="I5965" t="s">
        <v>123</v>
      </c>
    </row>
    <row r="5966" spans="1:9" x14ac:dyDescent="0.25">
      <c r="A5966" s="1" t="str">
        <f>HYPERLINK("https://lynxcrm-apac--c.eu19.visual.force.com/0011i000001xoMdAAI","Yeoh, Lee Ying")</f>
        <v>Yeoh, Lee Ying</v>
      </c>
      <c r="B5966" t="s">
        <v>10708</v>
      </c>
      <c r="C5966" t="s">
        <v>28</v>
      </c>
      <c r="D5966" t="s">
        <v>662</v>
      </c>
      <c r="E5966" t="s">
        <v>8</v>
      </c>
      <c r="F5966" t="s">
        <v>662</v>
      </c>
      <c r="G5966" t="s">
        <v>663</v>
      </c>
      <c r="H5966" t="s">
        <v>663</v>
      </c>
      <c r="I5966" t="s">
        <v>664</v>
      </c>
    </row>
    <row r="5967" spans="1:9" x14ac:dyDescent="0.25">
      <c r="A5967" s="1" t="str">
        <f>HYPERLINK("https://lynxcrm-apac--c.eu19.visual.force.com/0011i000001xobEAAQ","Yeoh, Pradit T.")</f>
        <v>Yeoh, Pradit T.</v>
      </c>
      <c r="B5967" t="s">
        <v>10709</v>
      </c>
      <c r="C5967" t="s">
        <v>28</v>
      </c>
      <c r="D5967" t="s">
        <v>540</v>
      </c>
      <c r="E5967" t="s">
        <v>8</v>
      </c>
      <c r="F5967" t="s">
        <v>542</v>
      </c>
      <c r="G5967" t="s">
        <v>706</v>
      </c>
      <c r="H5967" t="s">
        <v>706</v>
      </c>
      <c r="I5967" t="s">
        <v>543</v>
      </c>
    </row>
    <row r="5968" spans="1:9" x14ac:dyDescent="0.25">
      <c r="A5968" s="1" t="str">
        <f>HYPERLINK("https://lynxcrm-apac--c.eu19.visual.force.com/0011i000001xobEAAQ","Yeoh, Pradit T.")</f>
        <v>Yeoh, Pradit T.</v>
      </c>
      <c r="B5968" t="s">
        <v>10709</v>
      </c>
      <c r="C5968" t="s">
        <v>28</v>
      </c>
      <c r="D5968" t="s">
        <v>540</v>
      </c>
      <c r="E5968" t="s">
        <v>8</v>
      </c>
      <c r="F5968" t="s">
        <v>542</v>
      </c>
      <c r="G5968" t="s">
        <v>706</v>
      </c>
      <c r="H5968" t="s">
        <v>5451</v>
      </c>
      <c r="I5968" t="s">
        <v>543</v>
      </c>
    </row>
    <row r="5969" spans="1:9" x14ac:dyDescent="0.25">
      <c r="A5969" s="1" t="str">
        <f>HYPERLINK("https://lynxcrm-apac--c.eu19.visual.force.com/0011i000001xnxrAAA","Yeoh, Swee Inn")</f>
        <v>Yeoh, Swee Inn</v>
      </c>
      <c r="B5969" t="s">
        <v>10710</v>
      </c>
      <c r="C5969" t="s">
        <v>28</v>
      </c>
      <c r="D5969" t="s">
        <v>10711</v>
      </c>
      <c r="E5969" t="s">
        <v>8</v>
      </c>
      <c r="F5969" t="s">
        <v>69</v>
      </c>
      <c r="G5969" t="s">
        <v>10712</v>
      </c>
      <c r="H5969" t="s">
        <v>10713</v>
      </c>
      <c r="I5969" t="s">
        <v>67</v>
      </c>
    </row>
    <row r="5970" spans="1:9" x14ac:dyDescent="0.25">
      <c r="A5970" s="1" t="str">
        <f>HYPERLINK("https://lynxcrm-apac--c.eu19.visual.force.com/0011i000001xmiCAAQ","Yeoh Swee Inn Endocrine &amp; Medical Clinic")</f>
        <v>Yeoh Swee Inn Endocrine &amp; Medical Clinic</v>
      </c>
      <c r="B5970" t="s">
        <v>10714</v>
      </c>
      <c r="C5970" t="s">
        <v>10</v>
      </c>
      <c r="D5970" t="s">
        <v>8</v>
      </c>
      <c r="E5970" t="s">
        <v>8</v>
      </c>
      <c r="F5970" t="s">
        <v>69</v>
      </c>
      <c r="G5970" t="s">
        <v>10712</v>
      </c>
      <c r="H5970" t="s">
        <v>10713</v>
      </c>
      <c r="I5970" t="s">
        <v>67</v>
      </c>
    </row>
    <row r="5971" spans="1:9" x14ac:dyDescent="0.25">
      <c r="A5971" s="1" t="str">
        <f>HYPERLINK("https://lynxcrm-apac--c.eu19.visual.force.com/0011i000001xnAhAAI","Yeo Neurological &amp; Clinical Neurphysiology")</f>
        <v>Yeo Neurological &amp; Clinical Neurphysiology</v>
      </c>
      <c r="B5971" t="s">
        <v>10715</v>
      </c>
      <c r="C5971" t="s">
        <v>10</v>
      </c>
      <c r="D5971" t="s">
        <v>8</v>
      </c>
      <c r="E5971" t="s">
        <v>8</v>
      </c>
      <c r="F5971" t="s">
        <v>10716</v>
      </c>
      <c r="G5971" t="s">
        <v>10717</v>
      </c>
      <c r="H5971" t="s">
        <v>10717</v>
      </c>
      <c r="I5971" t="s">
        <v>310</v>
      </c>
    </row>
    <row r="5972" spans="1:9" x14ac:dyDescent="0.25">
      <c r="A5972" s="1" t="str">
        <f>HYPERLINK("https://lynxcrm-apac--c.eu19.visual.force.com/0011i000001xoBiAAI","Yeong, Seng Coo")</f>
        <v>Yeong, Seng Coo</v>
      </c>
      <c r="B5972" t="s">
        <v>10718</v>
      </c>
      <c r="C5972" t="s">
        <v>28</v>
      </c>
      <c r="D5972" t="s">
        <v>3194</v>
      </c>
      <c r="E5972" t="s">
        <v>8</v>
      </c>
      <c r="F5972" t="s">
        <v>679</v>
      </c>
      <c r="G5972" t="s">
        <v>10719</v>
      </c>
      <c r="H5972" t="s">
        <v>10719</v>
      </c>
      <c r="I5972" t="s">
        <v>115</v>
      </c>
    </row>
    <row r="5973" spans="1:9" x14ac:dyDescent="0.25">
      <c r="A5973" s="1" t="str">
        <f>HYPERLINK("https://lynxcrm-apac--c.eu19.visual.force.com/0011i000001xnX2AAI","Yeo Seem Huat Psychiatric Clinic Pte Ltd")</f>
        <v>Yeo Seem Huat Psychiatric Clinic Pte Ltd</v>
      </c>
      <c r="B5973" t="s">
        <v>10720</v>
      </c>
      <c r="C5973" t="s">
        <v>10</v>
      </c>
      <c r="D5973" t="s">
        <v>8</v>
      </c>
      <c r="E5973" t="s">
        <v>8</v>
      </c>
      <c r="F5973" t="s">
        <v>317</v>
      </c>
      <c r="G5973" t="s">
        <v>10692</v>
      </c>
      <c r="H5973" t="s">
        <v>10693</v>
      </c>
      <c r="I5973" t="s">
        <v>85</v>
      </c>
    </row>
    <row r="5974" spans="1:9" x14ac:dyDescent="0.25">
      <c r="A5974" s="1" t="str">
        <f>HYPERLINK("https://lynxcrm-apac--c.eu19.visual.force.com/0011i000001xnWdAAI","Yeow Neurology &amp; Medical Clinic")</f>
        <v>Yeow Neurology &amp; Medical Clinic</v>
      </c>
      <c r="B5974" t="s">
        <v>10721</v>
      </c>
      <c r="C5974" t="s">
        <v>10</v>
      </c>
      <c r="D5974" t="s">
        <v>8</v>
      </c>
      <c r="E5974" t="s">
        <v>8</v>
      </c>
      <c r="F5974" t="s">
        <v>373</v>
      </c>
      <c r="G5974" t="s">
        <v>10722</v>
      </c>
      <c r="H5974" t="s">
        <v>10723</v>
      </c>
      <c r="I5974" t="s">
        <v>123</v>
      </c>
    </row>
    <row r="5975" spans="1:9" x14ac:dyDescent="0.25">
      <c r="A5975" s="1" t="str">
        <f>HYPERLINK("https://lynxcrm-apac--c.eu19.visual.force.com/0011i000001xnfWAAQ","Yew, Jie Ling")</f>
        <v>Yew, Jie Ling</v>
      </c>
      <c r="B5975" t="s">
        <v>10724</v>
      </c>
      <c r="C5975" t="s">
        <v>28</v>
      </c>
      <c r="D5975" t="s">
        <v>251</v>
      </c>
      <c r="E5975" t="s">
        <v>8</v>
      </c>
      <c r="F5975" t="s">
        <v>251</v>
      </c>
      <c r="G5975" t="s">
        <v>252</v>
      </c>
      <c r="H5975" t="s">
        <v>252</v>
      </c>
      <c r="I5975" t="s">
        <v>253</v>
      </c>
    </row>
    <row r="5976" spans="1:9" x14ac:dyDescent="0.25">
      <c r="A5976" s="1" t="str">
        <f>HYPERLINK("https://lynxcrm-apac--c.eu19.visual.force.com/0011i000001xnfWAAQ","Yew, Jie Ling")</f>
        <v>Yew, Jie Ling</v>
      </c>
      <c r="B5976" t="s">
        <v>10724</v>
      </c>
      <c r="C5976" t="s">
        <v>28</v>
      </c>
      <c r="D5976" t="s">
        <v>583</v>
      </c>
      <c r="E5976" t="s">
        <v>8</v>
      </c>
      <c r="F5976" t="s">
        <v>1390</v>
      </c>
      <c r="G5976" t="s">
        <v>584</v>
      </c>
      <c r="H5976" t="s">
        <v>8</v>
      </c>
      <c r="I5976" t="s">
        <v>585</v>
      </c>
    </row>
    <row r="5977" spans="1:9" x14ac:dyDescent="0.25">
      <c r="A5977" s="1" t="str">
        <f>HYPERLINK("https://lynxcrm-apac--c.eu19.visual.force.com/0011i000001xn85AAA","Yew Ying Medical Clinic &amp; Surgery")</f>
        <v>Yew Ying Medical Clinic &amp; Surgery</v>
      </c>
      <c r="B5977" t="s">
        <v>10725</v>
      </c>
      <c r="C5977" t="s">
        <v>10</v>
      </c>
      <c r="D5977" t="s">
        <v>8</v>
      </c>
      <c r="E5977" t="s">
        <v>8</v>
      </c>
      <c r="F5977" t="s">
        <v>10726</v>
      </c>
      <c r="G5977" t="s">
        <v>10727</v>
      </c>
      <c r="H5977" t="s">
        <v>10728</v>
      </c>
      <c r="I5977" t="s">
        <v>10729</v>
      </c>
    </row>
    <row r="5978" spans="1:9" x14ac:dyDescent="0.25">
      <c r="A5978" s="1" t="str">
        <f>HYPERLINK("https://lynxcrm-apac--c.eu19.visual.force.com/0011i000001xnRgAAI","YH Goh Ear Nose Throat Head &amp; Neck Surgery")</f>
        <v>YH Goh Ear Nose Throat Head &amp; Neck Surgery</v>
      </c>
      <c r="B5978" t="s">
        <v>10730</v>
      </c>
      <c r="C5978" t="s">
        <v>10</v>
      </c>
      <c r="D5978" t="s">
        <v>8</v>
      </c>
      <c r="E5978" t="s">
        <v>8</v>
      </c>
      <c r="F5978" t="s">
        <v>377</v>
      </c>
      <c r="G5978" t="s">
        <v>10731</v>
      </c>
      <c r="H5978" t="s">
        <v>10732</v>
      </c>
      <c r="I5978" t="s">
        <v>123</v>
      </c>
    </row>
    <row r="5979" spans="1:9" x14ac:dyDescent="0.25">
      <c r="A5979" s="1" t="str">
        <f>HYPERLINK("https://lynxcrm-apac--c.eu19.visual.force.com/0011i000001xnxzAAA","Yik, Keng Yeong")</f>
        <v>Yik, Keng Yeong</v>
      </c>
      <c r="B5979" t="s">
        <v>10733</v>
      </c>
      <c r="C5979" t="s">
        <v>28</v>
      </c>
      <c r="D5979" t="s">
        <v>9097</v>
      </c>
      <c r="E5979" t="s">
        <v>8</v>
      </c>
      <c r="F5979" t="s">
        <v>9098</v>
      </c>
      <c r="G5979" t="s">
        <v>2465</v>
      </c>
      <c r="H5979" t="s">
        <v>9099</v>
      </c>
      <c r="I5979" t="s">
        <v>9100</v>
      </c>
    </row>
    <row r="5980" spans="1:9" x14ac:dyDescent="0.25">
      <c r="A5980" s="1" t="str">
        <f>HYPERLINK("https://lynxcrm-apac--c.eu19.visual.force.com/0011i000001xoHyAAI","Yim, Joon")</f>
        <v>Yim, Joon</v>
      </c>
      <c r="B5980" t="s">
        <v>10734</v>
      </c>
      <c r="C5980" t="s">
        <v>28</v>
      </c>
      <c r="D5980" t="s">
        <v>10735</v>
      </c>
      <c r="E5980" t="s">
        <v>8</v>
      </c>
      <c r="F5980" t="s">
        <v>10736</v>
      </c>
      <c r="G5980" t="s">
        <v>10346</v>
      </c>
      <c r="H5980" t="s">
        <v>10737</v>
      </c>
      <c r="I5980" t="s">
        <v>1982</v>
      </c>
    </row>
    <row r="5981" spans="1:9" x14ac:dyDescent="0.25">
      <c r="A5981" s="1" t="str">
        <f>HYPERLINK("https://lynxcrm-apac--c.eu19.visual.force.com/0011i000001xny1AAA","Yim, Sow Tuck Andrew")</f>
        <v>Yim, Sow Tuck Andrew</v>
      </c>
      <c r="B5981" t="s">
        <v>10738</v>
      </c>
      <c r="C5981" t="s">
        <v>28</v>
      </c>
      <c r="D5981" t="s">
        <v>10739</v>
      </c>
      <c r="E5981" t="s">
        <v>8</v>
      </c>
      <c r="F5981" t="s">
        <v>10740</v>
      </c>
      <c r="G5981" t="s">
        <v>10741</v>
      </c>
      <c r="H5981" t="s">
        <v>10741</v>
      </c>
      <c r="I5981" t="s">
        <v>10742</v>
      </c>
    </row>
    <row r="5982" spans="1:9" x14ac:dyDescent="0.25">
      <c r="A5982" s="1" t="str">
        <f>HYPERLINK("https://lynxcrm-apac--c.eu19.visual.force.com/0011i000001xn0xAAA","Yim Gastroenterology, Liver  Endoscopy Ctr")</f>
        <v>Yim Gastroenterology, Liver  Endoscopy Ctr</v>
      </c>
      <c r="B5982" t="s">
        <v>10743</v>
      </c>
      <c r="C5982" t="s">
        <v>10</v>
      </c>
      <c r="D5982" t="s">
        <v>8</v>
      </c>
      <c r="E5982" t="s">
        <v>8</v>
      </c>
      <c r="F5982" t="s">
        <v>2490</v>
      </c>
      <c r="G5982" t="s">
        <v>10744</v>
      </c>
      <c r="H5982" t="s">
        <v>10744</v>
      </c>
      <c r="I5982" t="s">
        <v>344</v>
      </c>
    </row>
    <row r="5983" spans="1:9" x14ac:dyDescent="0.25">
      <c r="A5983" s="1" t="str">
        <f>HYPERLINK("https://lynxcrm-apac--c.eu19.visual.force.com/0011i000001xnFWAAY","Yio Chu Kang MRT Clinic Pte Ltd")</f>
        <v>Yio Chu Kang MRT Clinic Pte Ltd</v>
      </c>
      <c r="B5983" t="s">
        <v>10745</v>
      </c>
      <c r="C5983" t="s">
        <v>10</v>
      </c>
      <c r="D5983" t="s">
        <v>8</v>
      </c>
      <c r="E5983" t="s">
        <v>8</v>
      </c>
      <c r="F5983" t="s">
        <v>5037</v>
      </c>
      <c r="G5983" t="s">
        <v>5038</v>
      </c>
      <c r="H5983" t="s">
        <v>5039</v>
      </c>
      <c r="I5983" t="s">
        <v>5040</v>
      </c>
    </row>
    <row r="5984" spans="1:9" x14ac:dyDescent="0.25">
      <c r="A5984" s="1" t="str">
        <f>HYPERLINK("https://lynxcrm-apac--c.eu19.visual.force.com/0011i000001xoYIAAY","Yip, Chee Chew")</f>
        <v>Yip, Chee Chew</v>
      </c>
      <c r="B5984" t="s">
        <v>10746</v>
      </c>
      <c r="C5984" t="s">
        <v>28</v>
      </c>
      <c r="D5984" t="s">
        <v>1318</v>
      </c>
      <c r="E5984" t="s">
        <v>8</v>
      </c>
      <c r="F5984" t="s">
        <v>258</v>
      </c>
      <c r="G5984" t="s">
        <v>261</v>
      </c>
      <c r="H5984" t="s">
        <v>261</v>
      </c>
      <c r="I5984" t="s">
        <v>260</v>
      </c>
    </row>
    <row r="5985" spans="1:9" x14ac:dyDescent="0.25">
      <c r="A5985" s="1" t="str">
        <f>HYPERLINK("https://lynxcrm-apac--c.eu19.visual.force.com/0011i000001xoYIAAY","Yip, Chee Chew")</f>
        <v>Yip, Chee Chew</v>
      </c>
      <c r="B5985" t="s">
        <v>10746</v>
      </c>
      <c r="C5985" t="s">
        <v>28</v>
      </c>
      <c r="D5985" t="s">
        <v>261</v>
      </c>
      <c r="E5985" t="s">
        <v>8</v>
      </c>
      <c r="F5985" t="s">
        <v>261</v>
      </c>
      <c r="G5985" t="s">
        <v>347</v>
      </c>
      <c r="H5985" t="s">
        <v>347</v>
      </c>
      <c r="I5985" t="s">
        <v>260</v>
      </c>
    </row>
    <row r="5986" spans="1:9" x14ac:dyDescent="0.25">
      <c r="A5986" s="1" t="str">
        <f>HYPERLINK("https://lynxcrm-apac--c.eu19.visual.force.com/0011i000001xoPMAAY","Yip, Chun Wai")</f>
        <v>Yip, Chun Wai</v>
      </c>
      <c r="B5986" t="s">
        <v>10747</v>
      </c>
      <c r="C5986" t="s">
        <v>28</v>
      </c>
      <c r="D5986" t="s">
        <v>474</v>
      </c>
      <c r="E5986" t="s">
        <v>8</v>
      </c>
      <c r="F5986" t="s">
        <v>258</v>
      </c>
      <c r="G5986" t="s">
        <v>258</v>
      </c>
      <c r="H5986" t="s">
        <v>8</v>
      </c>
      <c r="I5986" t="s">
        <v>260</v>
      </c>
    </row>
    <row r="5987" spans="1:9" x14ac:dyDescent="0.25">
      <c r="A5987" s="1" t="str">
        <f>HYPERLINK("https://lynxcrm-apac--c.eu19.visual.force.com/0011i000001xnqgAAA","Yip, Kevin")</f>
        <v>Yip, Kevin</v>
      </c>
      <c r="B5987" t="s">
        <v>10748</v>
      </c>
      <c r="C5987" t="s">
        <v>28</v>
      </c>
      <c r="D5987" t="s">
        <v>10749</v>
      </c>
      <c r="E5987" t="s">
        <v>8</v>
      </c>
      <c r="F5987" t="s">
        <v>65</v>
      </c>
      <c r="G5987" t="s">
        <v>10750</v>
      </c>
      <c r="H5987" t="s">
        <v>538</v>
      </c>
      <c r="I5987" t="s">
        <v>67</v>
      </c>
    </row>
    <row r="5988" spans="1:9" x14ac:dyDescent="0.25">
      <c r="A5988" s="1" t="str">
        <f>HYPERLINK("https://lynxcrm-apac--c.eu19.visual.force.com/0011i000001xny2AAA","Yip, Mang Meng")</f>
        <v>Yip, Mang Meng</v>
      </c>
      <c r="B5988" t="s">
        <v>10751</v>
      </c>
      <c r="C5988" t="s">
        <v>28</v>
      </c>
      <c r="D5988" t="s">
        <v>10752</v>
      </c>
      <c r="E5988" t="s">
        <v>8</v>
      </c>
      <c r="F5988" t="s">
        <v>5104</v>
      </c>
      <c r="G5988" t="s">
        <v>5104</v>
      </c>
      <c r="H5988" t="s">
        <v>8</v>
      </c>
      <c r="I5988" t="s">
        <v>5105</v>
      </c>
    </row>
    <row r="5989" spans="1:9" x14ac:dyDescent="0.25">
      <c r="A5989" s="1" t="str">
        <f>HYPERLINK("https://lynxcrm-apac--c.eu19.visual.force.com/0011i000001xoYRAAY","Yip, Wei Leon Leonar")</f>
        <v>Yip, Wei Leon Leonar</v>
      </c>
      <c r="B5989" t="s">
        <v>10753</v>
      </c>
      <c r="C5989" t="s">
        <v>28</v>
      </c>
      <c r="D5989" t="s">
        <v>1318</v>
      </c>
      <c r="E5989" t="s">
        <v>8</v>
      </c>
      <c r="F5989" t="s">
        <v>258</v>
      </c>
      <c r="G5989" t="s">
        <v>261</v>
      </c>
      <c r="H5989" t="s">
        <v>261</v>
      </c>
      <c r="I5989" t="s">
        <v>260</v>
      </c>
    </row>
    <row r="5990" spans="1:9" x14ac:dyDescent="0.25">
      <c r="A5990" s="1" t="str">
        <f>HYPERLINK("https://lynxcrm-apac--c.eu19.visual.force.com/0011i000001xoYRAAY","Yip, Wei Leon Leonar")</f>
        <v>Yip, Wei Leon Leonar</v>
      </c>
      <c r="B5990" t="s">
        <v>10753</v>
      </c>
      <c r="C5990" t="s">
        <v>28</v>
      </c>
      <c r="D5990" t="s">
        <v>261</v>
      </c>
      <c r="E5990" t="s">
        <v>8</v>
      </c>
      <c r="F5990" t="s">
        <v>261</v>
      </c>
      <c r="G5990" t="s">
        <v>347</v>
      </c>
      <c r="H5990" t="s">
        <v>347</v>
      </c>
      <c r="I5990" t="s">
        <v>260</v>
      </c>
    </row>
    <row r="5991" spans="1:9" x14ac:dyDescent="0.25">
      <c r="A5991" s="1" t="str">
        <f>HYPERLINK("https://lynxcrm-apac--c.eu19.visual.force.com/0011i000001xoXnAAI","Yip, Wei Luen James")</f>
        <v>Yip, Wei Luen James</v>
      </c>
      <c r="B5991" t="s">
        <v>10754</v>
      </c>
      <c r="C5991" t="s">
        <v>28</v>
      </c>
      <c r="D5991" t="s">
        <v>429</v>
      </c>
      <c r="E5991" t="s">
        <v>8</v>
      </c>
      <c r="F5991" t="s">
        <v>234</v>
      </c>
      <c r="G5991" t="s">
        <v>428</v>
      </c>
      <c r="H5991" t="s">
        <v>1320</v>
      </c>
      <c r="I5991" t="s">
        <v>430</v>
      </c>
    </row>
    <row r="5992" spans="1:9" x14ac:dyDescent="0.25">
      <c r="A5992" s="1" t="str">
        <f>HYPERLINK("https://lynxcrm-apac--c.eu19.visual.force.com/0011i000001xoXnAAI","Yip, Wei Luen James")</f>
        <v>Yip, Wei Luen James</v>
      </c>
      <c r="B5992" t="s">
        <v>10754</v>
      </c>
      <c r="C5992" t="s">
        <v>28</v>
      </c>
      <c r="D5992" t="s">
        <v>429</v>
      </c>
      <c r="E5992" t="s">
        <v>8</v>
      </c>
      <c r="F5992" t="s">
        <v>429</v>
      </c>
      <c r="G5992" t="s">
        <v>428</v>
      </c>
      <c r="H5992" t="s">
        <v>428</v>
      </c>
      <c r="I5992" t="s">
        <v>430</v>
      </c>
    </row>
    <row r="5993" spans="1:9" x14ac:dyDescent="0.25">
      <c r="A5993" s="1" t="str">
        <f>HYPERLINK("https://lynxcrm-apac--c.eu19.visual.force.com/0011i000001xn9RAAQ","Yishun Central Medical Clinic")</f>
        <v>Yishun Central Medical Clinic</v>
      </c>
      <c r="B5993" t="s">
        <v>10755</v>
      </c>
      <c r="C5993" t="s">
        <v>10</v>
      </c>
      <c r="D5993" t="s">
        <v>8</v>
      </c>
      <c r="E5993" t="s">
        <v>8</v>
      </c>
      <c r="F5993" t="s">
        <v>5232</v>
      </c>
      <c r="G5993" t="s">
        <v>910</v>
      </c>
      <c r="H5993" t="s">
        <v>5233</v>
      </c>
      <c r="I5993" t="s">
        <v>5234</v>
      </c>
    </row>
    <row r="5994" spans="1:9" x14ac:dyDescent="0.25">
      <c r="A5994" s="1" t="str">
        <f>HYPERLINK("https://lynxcrm-apac--c.eu19.visual.force.com/0011i000001xmwQAAQ","Yishun Medical Clinic")</f>
        <v>Yishun Medical Clinic</v>
      </c>
      <c r="B5994" t="s">
        <v>10756</v>
      </c>
      <c r="C5994" t="s">
        <v>10</v>
      </c>
      <c r="D5994" t="s">
        <v>8</v>
      </c>
      <c r="E5994" t="s">
        <v>8</v>
      </c>
      <c r="F5994" t="s">
        <v>10757</v>
      </c>
      <c r="G5994" t="s">
        <v>2940</v>
      </c>
      <c r="H5994" t="s">
        <v>10758</v>
      </c>
      <c r="I5994" t="s">
        <v>10759</v>
      </c>
    </row>
    <row r="5995" spans="1:9" x14ac:dyDescent="0.25">
      <c r="A5995" s="1" t="str">
        <f>HYPERLINK("https://lynxcrm-apac--c.eu19.visual.force.com/0011i000001xnVlAAI","Yishun Polyclinic")</f>
        <v>Yishun Polyclinic</v>
      </c>
      <c r="B5995" t="s">
        <v>10760</v>
      </c>
      <c r="C5995" t="s">
        <v>10</v>
      </c>
      <c r="D5995" t="s">
        <v>8</v>
      </c>
      <c r="E5995" t="s">
        <v>8</v>
      </c>
      <c r="F5995" t="s">
        <v>11</v>
      </c>
      <c r="G5995" t="s">
        <v>11</v>
      </c>
      <c r="H5995" t="s">
        <v>8</v>
      </c>
      <c r="I5995" t="s">
        <v>13</v>
      </c>
    </row>
    <row r="5996" spans="1:9" x14ac:dyDescent="0.25">
      <c r="A5996" s="1" t="str">
        <f>HYPERLINK("https://lynxcrm-apac--c.eu19.visual.force.com/0011i000001xmkmAAA","Yishun Polyclinic")</f>
        <v>Yishun Polyclinic</v>
      </c>
      <c r="B5996" t="s">
        <v>10761</v>
      </c>
      <c r="C5996" t="s">
        <v>10</v>
      </c>
      <c r="D5996" t="s">
        <v>8</v>
      </c>
      <c r="E5996" t="s">
        <v>8</v>
      </c>
      <c r="F5996" t="s">
        <v>11</v>
      </c>
      <c r="G5996" t="s">
        <v>11</v>
      </c>
      <c r="H5996" t="s">
        <v>712</v>
      </c>
      <c r="I5996" t="s">
        <v>713</v>
      </c>
    </row>
    <row r="5997" spans="1:9" x14ac:dyDescent="0.25">
      <c r="A5997" s="1" t="str">
        <f>HYPERLINK("https://lynxcrm-apac--c.eu19.visual.force.com/0011i000001xmrCAAQ","Yishun Polyclinic")</f>
        <v>Yishun Polyclinic</v>
      </c>
      <c r="B5997" t="s">
        <v>10762</v>
      </c>
      <c r="C5997" t="s">
        <v>10</v>
      </c>
      <c r="D5997" t="s">
        <v>8</v>
      </c>
      <c r="E5997" t="s">
        <v>8</v>
      </c>
      <c r="F5997" t="s">
        <v>11</v>
      </c>
      <c r="G5997" t="s">
        <v>11</v>
      </c>
      <c r="H5997" t="s">
        <v>8</v>
      </c>
      <c r="I5997" t="s">
        <v>13</v>
      </c>
    </row>
    <row r="5998" spans="1:9" x14ac:dyDescent="0.25">
      <c r="A5998" s="1" t="str">
        <f>HYPERLINK("https://lynxcrm-apac--c.eu19.visual.force.com/0011i000001xnmCAAQ","Yo, Masuya")</f>
        <v>Yo, Masuya</v>
      </c>
      <c r="B5998" t="s">
        <v>10763</v>
      </c>
      <c r="C5998" t="s">
        <v>28</v>
      </c>
      <c r="D5998" t="s">
        <v>10764</v>
      </c>
      <c r="E5998" t="s">
        <v>8</v>
      </c>
      <c r="F5998" t="s">
        <v>9804</v>
      </c>
      <c r="G5998" t="s">
        <v>9805</v>
      </c>
      <c r="H5998" t="s">
        <v>9805</v>
      </c>
      <c r="I5998" t="s">
        <v>9806</v>
      </c>
    </row>
    <row r="5999" spans="1:9" x14ac:dyDescent="0.25">
      <c r="A5999" s="1" t="str">
        <f>HYPERLINK("https://lynxcrm-apac--c.eu19.visual.force.com/0011i000002IdAGAA0","Yogeswari")</f>
        <v>Yogeswari</v>
      </c>
      <c r="B5999" t="s">
        <v>10765</v>
      </c>
      <c r="C5999" t="s">
        <v>28</v>
      </c>
      <c r="D5999" t="s">
        <v>12</v>
      </c>
      <c r="E5999" t="s">
        <v>8</v>
      </c>
      <c r="F5999" t="s">
        <v>11</v>
      </c>
      <c r="G5999" t="s">
        <v>11</v>
      </c>
      <c r="H5999" t="s">
        <v>8</v>
      </c>
      <c r="I5999" t="s">
        <v>13</v>
      </c>
    </row>
    <row r="6000" spans="1:9" x14ac:dyDescent="0.25">
      <c r="A6000" s="1" t="str">
        <f>HYPERLINK("https://lynxcrm-apac--c.eu19.visual.force.com/0011i000001xo4eAAA","Yong, Bo Ling")</f>
        <v>Yong, Bo Ling</v>
      </c>
      <c r="B6000" t="s">
        <v>10766</v>
      </c>
      <c r="C6000" t="s">
        <v>28</v>
      </c>
      <c r="D6000" t="s">
        <v>54</v>
      </c>
      <c r="E6000" t="s">
        <v>8</v>
      </c>
      <c r="F6000" t="s">
        <v>1225</v>
      </c>
      <c r="G6000" t="s">
        <v>1225</v>
      </c>
      <c r="H6000" t="s">
        <v>8</v>
      </c>
      <c r="I6000" t="s">
        <v>55</v>
      </c>
    </row>
    <row r="6001" spans="1:9" x14ac:dyDescent="0.25">
      <c r="A6001" s="1" t="str">
        <f>HYPERLINK("https://lynxcrm-apac--c.eu19.visual.force.com/0011i000001xo4eAAA","Yong, Bo Ling")</f>
        <v>Yong, Bo Ling</v>
      </c>
      <c r="B6001" t="s">
        <v>10766</v>
      </c>
      <c r="C6001" t="s">
        <v>28</v>
      </c>
      <c r="D6001" t="s">
        <v>54</v>
      </c>
      <c r="E6001" t="s">
        <v>8</v>
      </c>
      <c r="F6001" t="s">
        <v>1225</v>
      </c>
      <c r="G6001" t="s">
        <v>1225</v>
      </c>
      <c r="H6001" t="s">
        <v>1226</v>
      </c>
      <c r="I6001" t="s">
        <v>55</v>
      </c>
    </row>
    <row r="6002" spans="1:9" x14ac:dyDescent="0.25">
      <c r="A6002" s="1" t="str">
        <f>HYPERLINK("https://lynxcrm-apac--c.eu19.visual.force.com/0011i000001xny3AAA","Yong, Chee Fah")</f>
        <v>Yong, Chee Fah</v>
      </c>
      <c r="B6002" t="s">
        <v>10767</v>
      </c>
      <c r="C6002" t="s">
        <v>28</v>
      </c>
      <c r="D6002" t="s">
        <v>10768</v>
      </c>
      <c r="E6002" t="s">
        <v>8</v>
      </c>
      <c r="F6002" t="s">
        <v>10769</v>
      </c>
      <c r="G6002" t="s">
        <v>1442</v>
      </c>
      <c r="H6002" t="s">
        <v>10770</v>
      </c>
      <c r="I6002" t="s">
        <v>10771</v>
      </c>
    </row>
    <row r="6003" spans="1:9" x14ac:dyDescent="0.25">
      <c r="A6003" s="1" t="str">
        <f>HYPERLINK("https://lynxcrm-apac--c.eu19.visual.force.com/0011i000001xoWVAAY","Yong, Chee Heng")</f>
        <v>Yong, Chee Heng</v>
      </c>
      <c r="B6003" t="s">
        <v>10772</v>
      </c>
      <c r="C6003" t="s">
        <v>28</v>
      </c>
      <c r="D6003" t="s">
        <v>261</v>
      </c>
      <c r="E6003" t="s">
        <v>8</v>
      </c>
      <c r="F6003" t="s">
        <v>234</v>
      </c>
      <c r="G6003" t="s">
        <v>258</v>
      </c>
      <c r="H6003" t="s">
        <v>259</v>
      </c>
      <c r="I6003" t="s">
        <v>260</v>
      </c>
    </row>
    <row r="6004" spans="1:9" x14ac:dyDescent="0.25">
      <c r="A6004" s="1" t="str">
        <f>HYPERLINK("https://lynxcrm-apac--c.eu19.visual.force.com/0011i000001xny4AAA","Yong, Chong Kiat")</f>
        <v>Yong, Chong Kiat</v>
      </c>
      <c r="B6004" t="s">
        <v>10773</v>
      </c>
      <c r="C6004" t="s">
        <v>28</v>
      </c>
      <c r="D6004" t="s">
        <v>1490</v>
      </c>
      <c r="E6004" t="s">
        <v>8</v>
      </c>
      <c r="F6004" t="s">
        <v>1491</v>
      </c>
      <c r="G6004" t="s">
        <v>1491</v>
      </c>
      <c r="H6004" t="s">
        <v>1492</v>
      </c>
      <c r="I6004" t="s">
        <v>1493</v>
      </c>
    </row>
    <row r="6005" spans="1:9" x14ac:dyDescent="0.25">
      <c r="A6005" s="1" t="str">
        <f>HYPERLINK("https://lynxcrm-apac--c.eu19.visual.force.com/0011i000001xoSiAAI","Yong, Hoe Koon")</f>
        <v>Yong, Hoe Koon</v>
      </c>
      <c r="B6005" t="s">
        <v>10774</v>
      </c>
      <c r="C6005" t="s">
        <v>28</v>
      </c>
      <c r="D6005" t="s">
        <v>6166</v>
      </c>
      <c r="E6005" t="s">
        <v>8</v>
      </c>
      <c r="F6005" t="s">
        <v>4928</v>
      </c>
      <c r="G6005" t="s">
        <v>1343</v>
      </c>
      <c r="H6005" t="s">
        <v>1343</v>
      </c>
      <c r="I6005" t="s">
        <v>4931</v>
      </c>
    </row>
    <row r="6006" spans="1:9" x14ac:dyDescent="0.25">
      <c r="A6006" s="1" t="str">
        <f>HYPERLINK("https://lynxcrm-apac--c.eu19.visual.force.com/0011i00000pb5I5AAI","Yong, Joel")</f>
        <v>Yong, Joel</v>
      </c>
      <c r="B6006" t="s">
        <v>10775</v>
      </c>
      <c r="C6006" t="s">
        <v>28</v>
      </c>
      <c r="D6006" t="s">
        <v>545</v>
      </c>
      <c r="E6006" t="s">
        <v>8</v>
      </c>
      <c r="F6006" t="s">
        <v>546</v>
      </c>
      <c r="G6006" t="s">
        <v>547</v>
      </c>
      <c r="H6006" t="s">
        <v>547</v>
      </c>
      <c r="I6006" t="s">
        <v>548</v>
      </c>
    </row>
    <row r="6007" spans="1:9" x14ac:dyDescent="0.25">
      <c r="A6007" s="1" t="str">
        <f>HYPERLINK("https://lynxcrm-apac--c.eu19.visual.force.com/0011i000001xoYOAAY","Yong, Khet Yau Vernon")</f>
        <v>Yong, Khet Yau Vernon</v>
      </c>
      <c r="B6007" t="s">
        <v>10776</v>
      </c>
      <c r="C6007" t="s">
        <v>28</v>
      </c>
      <c r="D6007" t="s">
        <v>261</v>
      </c>
      <c r="E6007" t="s">
        <v>8</v>
      </c>
      <c r="F6007" t="s">
        <v>261</v>
      </c>
      <c r="G6007" t="s">
        <v>347</v>
      </c>
      <c r="H6007" t="s">
        <v>347</v>
      </c>
      <c r="I6007" t="s">
        <v>260</v>
      </c>
    </row>
    <row r="6008" spans="1:9" x14ac:dyDescent="0.25">
      <c r="A6008" s="1" t="str">
        <f>HYPERLINK("https://lynxcrm-apac--c.eu19.visual.force.com/0011i000001xoYOAAY","Yong, Khet Yau Vernon")</f>
        <v>Yong, Khet Yau Vernon</v>
      </c>
      <c r="B6008" t="s">
        <v>10776</v>
      </c>
      <c r="C6008" t="s">
        <v>28</v>
      </c>
      <c r="D6008" t="s">
        <v>1318</v>
      </c>
      <c r="E6008" t="s">
        <v>8</v>
      </c>
      <c r="F6008" t="s">
        <v>258</v>
      </c>
      <c r="G6008" t="s">
        <v>261</v>
      </c>
      <c r="H6008" t="s">
        <v>261</v>
      </c>
      <c r="I6008" t="s">
        <v>260</v>
      </c>
    </row>
    <row r="6009" spans="1:9" x14ac:dyDescent="0.25">
      <c r="A6009" s="1" t="str">
        <f>HYPERLINK("https://lynxcrm-apac--c.eu19.visual.force.com/0011i000001xnsFAAQ","Yong, Kian Hui Michael")</f>
        <v>Yong, Kian Hui Michael</v>
      </c>
      <c r="B6009" t="s">
        <v>10777</v>
      </c>
      <c r="C6009" t="s">
        <v>28</v>
      </c>
      <c r="D6009" t="s">
        <v>662</v>
      </c>
      <c r="E6009" t="s">
        <v>8</v>
      </c>
      <c r="F6009" t="s">
        <v>662</v>
      </c>
      <c r="G6009" t="s">
        <v>663</v>
      </c>
      <c r="H6009" t="s">
        <v>663</v>
      </c>
      <c r="I6009" t="s">
        <v>664</v>
      </c>
    </row>
    <row r="6010" spans="1:9" x14ac:dyDescent="0.25">
      <c r="A6010" s="1" t="str">
        <f>HYPERLINK("https://lynxcrm-apac--c.eu19.visual.force.com/0011i000001xny5AAA","Yong, Kim Yew Michael")</f>
        <v>Yong, Kim Yew Michael</v>
      </c>
      <c r="B6010" t="s">
        <v>10778</v>
      </c>
      <c r="C6010" t="s">
        <v>28</v>
      </c>
      <c r="D6010" t="s">
        <v>10779</v>
      </c>
      <c r="E6010" t="s">
        <v>8</v>
      </c>
      <c r="F6010" t="s">
        <v>4912</v>
      </c>
      <c r="G6010" t="s">
        <v>5310</v>
      </c>
      <c r="H6010" t="s">
        <v>5310</v>
      </c>
      <c r="I6010" t="s">
        <v>4914</v>
      </c>
    </row>
    <row r="6011" spans="1:9" x14ac:dyDescent="0.25">
      <c r="A6011" s="1" t="str">
        <f>HYPERLINK("https://lynxcrm-apac--c.eu19.visual.force.com/0011i000001xoOdAAI","Yong, May Yuen Jane")</f>
        <v>Yong, May Yuen Jane</v>
      </c>
      <c r="B6011" t="s">
        <v>10780</v>
      </c>
      <c r="C6011" t="s">
        <v>28</v>
      </c>
      <c r="D6011" t="s">
        <v>937</v>
      </c>
      <c r="E6011" t="s">
        <v>8</v>
      </c>
      <c r="F6011" t="s">
        <v>4080</v>
      </c>
      <c r="G6011" t="s">
        <v>4081</v>
      </c>
      <c r="H6011" t="s">
        <v>4081</v>
      </c>
      <c r="I6011" t="s">
        <v>4082</v>
      </c>
    </row>
    <row r="6012" spans="1:9" x14ac:dyDescent="0.25">
      <c r="A6012" s="1" t="str">
        <f>HYPERLINK("https://lynxcrm-apac--c.eu19.visual.force.com/0011i000001xoBnAAI","Yong, Quek Wei")</f>
        <v>Yong, Quek Wei</v>
      </c>
      <c r="B6012" t="s">
        <v>10781</v>
      </c>
      <c r="C6012" t="s">
        <v>28</v>
      </c>
      <c r="D6012" t="s">
        <v>261</v>
      </c>
      <c r="E6012" t="s">
        <v>8</v>
      </c>
      <c r="F6012" t="s">
        <v>234</v>
      </c>
      <c r="G6012" t="s">
        <v>258</v>
      </c>
      <c r="H6012" t="s">
        <v>259</v>
      </c>
      <c r="I6012" t="s">
        <v>260</v>
      </c>
    </row>
    <row r="6013" spans="1:9" x14ac:dyDescent="0.25">
      <c r="A6013" s="1" t="str">
        <f>HYPERLINK("https://lynxcrm-apac--c.eu19.visual.force.com/0011i000001xoBnAAI","Yong, Quek Wei")</f>
        <v>Yong, Quek Wei</v>
      </c>
      <c r="B6013" t="s">
        <v>10781</v>
      </c>
      <c r="C6013" t="s">
        <v>28</v>
      </c>
      <c r="D6013" t="s">
        <v>261</v>
      </c>
      <c r="E6013" t="s">
        <v>8</v>
      </c>
      <c r="F6013" t="s">
        <v>261</v>
      </c>
      <c r="G6013" t="s">
        <v>347</v>
      </c>
      <c r="H6013" t="s">
        <v>347</v>
      </c>
      <c r="I6013" t="s">
        <v>260</v>
      </c>
    </row>
    <row r="6014" spans="1:9" x14ac:dyDescent="0.25">
      <c r="A6014" s="1" t="str">
        <f>HYPERLINK("https://lynxcrm-apac--c.eu19.visual.force.com/0011i000001xoSsAAI","Yong, Shao Onn")</f>
        <v>Yong, Shao Onn</v>
      </c>
      <c r="B6014" t="s">
        <v>10782</v>
      </c>
      <c r="C6014" t="s">
        <v>28</v>
      </c>
      <c r="D6014" t="s">
        <v>91</v>
      </c>
      <c r="E6014" t="s">
        <v>8</v>
      </c>
      <c r="F6014" t="s">
        <v>90</v>
      </c>
      <c r="G6014" t="s">
        <v>90</v>
      </c>
      <c r="H6014" t="s">
        <v>8</v>
      </c>
      <c r="I6014" t="s">
        <v>92</v>
      </c>
    </row>
    <row r="6015" spans="1:9" x14ac:dyDescent="0.25">
      <c r="A6015" s="1" t="str">
        <f>HYPERLINK("https://lynxcrm-apac--c.eu19.visual.force.com/0011i000001xoSsAAI","Yong, Shao Onn")</f>
        <v>Yong, Shao Onn</v>
      </c>
      <c r="B6015" t="s">
        <v>10782</v>
      </c>
      <c r="C6015" t="s">
        <v>28</v>
      </c>
      <c r="D6015" t="s">
        <v>520</v>
      </c>
      <c r="E6015" t="s">
        <v>8</v>
      </c>
      <c r="F6015" t="s">
        <v>90</v>
      </c>
      <c r="G6015" t="s">
        <v>521</v>
      </c>
      <c r="H6015" t="s">
        <v>521</v>
      </c>
      <c r="I6015" t="s">
        <v>92</v>
      </c>
    </row>
    <row r="6016" spans="1:9" x14ac:dyDescent="0.25">
      <c r="A6016" s="1" t="str">
        <f>HYPERLINK("https://lynxcrm-apac--c.eu19.visual.force.com/0011i000001xo7pAAA","Yong, Shee Heung Victor")</f>
        <v>Yong, Shee Heung Victor</v>
      </c>
      <c r="B6016" t="s">
        <v>10783</v>
      </c>
      <c r="C6016" t="s">
        <v>28</v>
      </c>
      <c r="D6016" t="s">
        <v>261</v>
      </c>
      <c r="E6016" t="s">
        <v>8</v>
      </c>
      <c r="F6016" t="s">
        <v>261</v>
      </c>
      <c r="G6016" t="s">
        <v>347</v>
      </c>
      <c r="H6016" t="s">
        <v>347</v>
      </c>
      <c r="I6016" t="s">
        <v>260</v>
      </c>
    </row>
    <row r="6017" spans="1:9" x14ac:dyDescent="0.25">
      <c r="A6017" s="1" t="str">
        <f>HYPERLINK("https://lynxcrm-apac--c.eu19.visual.force.com/0011i000001xo7pAAA","Yong, Shee Heung Victor")</f>
        <v>Yong, Shee Heung Victor</v>
      </c>
      <c r="B6017" t="s">
        <v>10783</v>
      </c>
      <c r="C6017" t="s">
        <v>28</v>
      </c>
      <c r="D6017" t="s">
        <v>261</v>
      </c>
      <c r="E6017" t="s">
        <v>8</v>
      </c>
      <c r="F6017" t="s">
        <v>1318</v>
      </c>
      <c r="G6017" t="s">
        <v>258</v>
      </c>
      <c r="H6017" t="s">
        <v>259</v>
      </c>
      <c r="I6017" t="s">
        <v>260</v>
      </c>
    </row>
    <row r="6018" spans="1:9" x14ac:dyDescent="0.25">
      <c r="A6018" s="1" t="str">
        <f>HYPERLINK("https://lynxcrm-apac--c.eu19.visual.force.com/0011i000001xnxmAAA","Yong, Thon Hon")</f>
        <v>Yong, Thon Hon</v>
      </c>
      <c r="B6018" t="s">
        <v>10784</v>
      </c>
      <c r="C6018" t="s">
        <v>28</v>
      </c>
      <c r="D6018" t="s">
        <v>583</v>
      </c>
      <c r="E6018" t="s">
        <v>8</v>
      </c>
      <c r="F6018" t="s">
        <v>583</v>
      </c>
      <c r="G6018" t="s">
        <v>584</v>
      </c>
      <c r="H6018" t="s">
        <v>584</v>
      </c>
      <c r="I6018" t="s">
        <v>585</v>
      </c>
    </row>
    <row r="6019" spans="1:9" x14ac:dyDescent="0.25">
      <c r="A6019" s="1" t="str">
        <f>HYPERLINK("https://lynxcrm-apac--c.eu19.visual.force.com/0011i000001xo7qAAA","Yong, Tze Tein")</f>
        <v>Yong, Tze Tein</v>
      </c>
      <c r="B6019" t="s">
        <v>10785</v>
      </c>
      <c r="C6019" t="s">
        <v>28</v>
      </c>
      <c r="D6019" t="s">
        <v>251</v>
      </c>
      <c r="E6019" t="s">
        <v>8</v>
      </c>
      <c r="F6019" t="s">
        <v>2244</v>
      </c>
      <c r="G6019" t="s">
        <v>252</v>
      </c>
      <c r="H6019" t="s">
        <v>252</v>
      </c>
      <c r="I6019" t="s">
        <v>253</v>
      </c>
    </row>
    <row r="6020" spans="1:9" x14ac:dyDescent="0.25">
      <c r="A6020" s="1" t="str">
        <f>HYPERLINK("https://lynxcrm-apac--c.eu19.visual.force.com/0011i000001xoHJAAY","Yong, Wee Boon Derek")</f>
        <v>Yong, Wee Boon Derek</v>
      </c>
      <c r="B6020" t="s">
        <v>10786</v>
      </c>
      <c r="C6020" t="s">
        <v>28</v>
      </c>
      <c r="D6020" t="s">
        <v>10787</v>
      </c>
      <c r="E6020" t="s">
        <v>8</v>
      </c>
      <c r="F6020" t="s">
        <v>2740</v>
      </c>
      <c r="G6020" t="s">
        <v>8187</v>
      </c>
      <c r="H6020" t="s">
        <v>8187</v>
      </c>
      <c r="I6020" t="s">
        <v>200</v>
      </c>
    </row>
    <row r="6021" spans="1:9" x14ac:dyDescent="0.25">
      <c r="A6021" s="1" t="str">
        <f>HYPERLINK("https://lynxcrm-apac--c.eu19.visual.force.com/0011i000001xoJZAAY","Yong, Wei Sean")</f>
        <v>Yong, Wei Sean</v>
      </c>
      <c r="B6021" t="s">
        <v>10788</v>
      </c>
      <c r="C6021" t="s">
        <v>28</v>
      </c>
      <c r="D6021" t="s">
        <v>1242</v>
      </c>
      <c r="E6021" t="s">
        <v>8</v>
      </c>
      <c r="F6021" t="s">
        <v>252</v>
      </c>
      <c r="G6021" t="s">
        <v>251</v>
      </c>
      <c r="H6021" t="s">
        <v>251</v>
      </c>
      <c r="I6021" t="s">
        <v>253</v>
      </c>
    </row>
    <row r="6022" spans="1:9" x14ac:dyDescent="0.25">
      <c r="A6022" s="1" t="str">
        <f>HYPERLINK("https://lynxcrm-apac--c.eu19.visual.force.com/0011i000001xoJZAAY","Yong, Wei Sean")</f>
        <v>Yong, Wei Sean</v>
      </c>
      <c r="B6022" t="s">
        <v>10788</v>
      </c>
      <c r="C6022" t="s">
        <v>28</v>
      </c>
      <c r="D6022" t="s">
        <v>251</v>
      </c>
      <c r="E6022" t="s">
        <v>8</v>
      </c>
      <c r="F6022" t="s">
        <v>251</v>
      </c>
      <c r="G6022" t="s">
        <v>252</v>
      </c>
      <c r="H6022" t="s">
        <v>252</v>
      </c>
      <c r="I6022" t="s">
        <v>253</v>
      </c>
    </row>
    <row r="6023" spans="1:9" x14ac:dyDescent="0.25">
      <c r="A6023" s="1" t="str">
        <f>HYPERLINK("https://lynxcrm-apac--c.eu19.visual.force.com/0011i000001xn33AAA","Yong Clinic &amp; Surgery")</f>
        <v>Yong Clinic &amp; Surgery</v>
      </c>
      <c r="B6023" t="s">
        <v>10789</v>
      </c>
      <c r="C6023" t="s">
        <v>10</v>
      </c>
      <c r="D6023" t="s">
        <v>8</v>
      </c>
      <c r="E6023" t="s">
        <v>8</v>
      </c>
      <c r="F6023" t="s">
        <v>10769</v>
      </c>
      <c r="G6023" t="s">
        <v>1442</v>
      </c>
      <c r="H6023" t="s">
        <v>10770</v>
      </c>
      <c r="I6023" t="s">
        <v>10771</v>
      </c>
    </row>
    <row r="6024" spans="1:9" x14ac:dyDescent="0.25">
      <c r="A6024" s="1" t="str">
        <f>HYPERLINK("https://lynxcrm-apac--c.eu19.visual.force.com/0011i000001xoDEAAY","Yoon, Kam Hon")</f>
        <v>Yoon, Kam Hon</v>
      </c>
      <c r="B6024" t="s">
        <v>10790</v>
      </c>
      <c r="C6024" t="s">
        <v>28</v>
      </c>
      <c r="D6024" t="s">
        <v>10791</v>
      </c>
      <c r="E6024" t="s">
        <v>8</v>
      </c>
      <c r="F6024" t="s">
        <v>5932</v>
      </c>
      <c r="G6024" t="s">
        <v>525</v>
      </c>
      <c r="H6024" t="s">
        <v>10792</v>
      </c>
      <c r="I6024" t="s">
        <v>5933</v>
      </c>
    </row>
    <row r="6025" spans="1:9" x14ac:dyDescent="0.25">
      <c r="A6025" s="1" t="str">
        <f>HYPERLINK("https://lynxcrm-apac--c.eu19.visual.force.com/0011i000001xny9AAA","Yoong, It Siang")</f>
        <v>Yoong, It Siang</v>
      </c>
      <c r="B6025" t="s">
        <v>10793</v>
      </c>
      <c r="C6025" t="s">
        <v>28</v>
      </c>
      <c r="D6025" t="s">
        <v>10794</v>
      </c>
      <c r="E6025" t="s">
        <v>8</v>
      </c>
      <c r="F6025" t="s">
        <v>10795</v>
      </c>
      <c r="G6025" t="s">
        <v>10796</v>
      </c>
      <c r="H6025" t="s">
        <v>10797</v>
      </c>
      <c r="I6025" t="s">
        <v>10798</v>
      </c>
    </row>
    <row r="6026" spans="1:9" x14ac:dyDescent="0.25">
      <c r="A6026" s="1" t="str">
        <f>HYPERLINK("https://lynxcrm-apac--c.eu19.visual.force.com/0011i000001xoYcAAI","Yoong, Kah Choun Jon")</f>
        <v>Yoong, Kah Choun Jon</v>
      </c>
      <c r="B6026" t="s">
        <v>10799</v>
      </c>
      <c r="C6026" t="s">
        <v>28</v>
      </c>
      <c r="D6026" t="s">
        <v>251</v>
      </c>
      <c r="E6026" t="s">
        <v>8</v>
      </c>
      <c r="F6026" t="s">
        <v>6385</v>
      </c>
      <c r="G6026" t="s">
        <v>252</v>
      </c>
      <c r="H6026" t="s">
        <v>858</v>
      </c>
      <c r="I6026" t="s">
        <v>253</v>
      </c>
    </row>
    <row r="6027" spans="1:9" x14ac:dyDescent="0.25">
      <c r="A6027" s="1" t="str">
        <f>HYPERLINK("https://lynxcrm-apac--c.eu19.visual.force.com/0011i000001xnyAAAQ","Yoong, Nyok Moi")</f>
        <v>Yoong, Nyok Moi</v>
      </c>
      <c r="B6027" t="s">
        <v>10800</v>
      </c>
      <c r="C6027" t="s">
        <v>28</v>
      </c>
      <c r="D6027" t="s">
        <v>10014</v>
      </c>
      <c r="E6027" t="s">
        <v>8</v>
      </c>
      <c r="F6027" t="s">
        <v>10801</v>
      </c>
      <c r="G6027" t="s">
        <v>6983</v>
      </c>
      <c r="H6027" t="s">
        <v>10016</v>
      </c>
      <c r="I6027" t="s">
        <v>10017</v>
      </c>
    </row>
    <row r="6028" spans="1:9" x14ac:dyDescent="0.25">
      <c r="A6028" s="1" t="str">
        <f>HYPERLINK("https://lynxcrm-apac--c.eu19.visual.force.com/0011i000001xnX6AAI","Yoong Family Clinic &amp; Surgery")</f>
        <v>Yoong Family Clinic &amp; Surgery</v>
      </c>
      <c r="B6028" t="s">
        <v>10802</v>
      </c>
      <c r="C6028" t="s">
        <v>10</v>
      </c>
      <c r="D6028" t="s">
        <v>8</v>
      </c>
      <c r="E6028" t="s">
        <v>8</v>
      </c>
      <c r="F6028" t="s">
        <v>10795</v>
      </c>
      <c r="G6028" t="s">
        <v>10796</v>
      </c>
      <c r="H6028" t="s">
        <v>10797</v>
      </c>
      <c r="I6028" t="s">
        <v>10798</v>
      </c>
    </row>
    <row r="6029" spans="1:9" x14ac:dyDescent="0.25">
      <c r="A6029" s="1" t="str">
        <f>HYPERLINK("https://lynxcrm-apac--c.eu19.visual.force.com/0011i000001xnR5AAI","YSL Aljunied Clinic &amp; Surgery")</f>
        <v>YSL Aljunied Clinic &amp; Surgery</v>
      </c>
      <c r="B6029" t="s">
        <v>10803</v>
      </c>
      <c r="C6029" t="s">
        <v>10</v>
      </c>
      <c r="D6029" t="s">
        <v>8</v>
      </c>
      <c r="E6029" t="s">
        <v>8</v>
      </c>
      <c r="F6029" t="s">
        <v>10804</v>
      </c>
      <c r="G6029" t="s">
        <v>10805</v>
      </c>
      <c r="H6029" t="s">
        <v>10806</v>
      </c>
      <c r="I6029" t="s">
        <v>10807</v>
      </c>
    </row>
    <row r="6030" spans="1:9" x14ac:dyDescent="0.25">
      <c r="A6030" s="1" t="str">
        <f>HYPERLINK("https://lynxcrm-apac--c.eu19.visual.force.com/0011i000001xncGAAQ","YSL Aljunied Clinic &amp; Surgery")</f>
        <v>YSL Aljunied Clinic &amp; Surgery</v>
      </c>
      <c r="B6030" t="s">
        <v>10808</v>
      </c>
      <c r="C6030" t="s">
        <v>10</v>
      </c>
      <c r="D6030" t="s">
        <v>8</v>
      </c>
      <c r="E6030" t="s">
        <v>8</v>
      </c>
      <c r="F6030" t="s">
        <v>10804</v>
      </c>
      <c r="G6030" t="s">
        <v>10805</v>
      </c>
      <c r="H6030" t="s">
        <v>10806</v>
      </c>
      <c r="I6030" t="s">
        <v>10807</v>
      </c>
    </row>
    <row r="6031" spans="1:9" x14ac:dyDescent="0.25">
      <c r="A6031" s="1" t="str">
        <f>HYPERLINK("https://lynxcrm-apac--c.eu19.visual.force.com/0011i000001xnLdAAI","Y S Lau Cardiology Clinic Pte Ltd")</f>
        <v>Y S Lau Cardiology Clinic Pte Ltd</v>
      </c>
      <c r="B6031" t="s">
        <v>10809</v>
      </c>
      <c r="C6031" t="s">
        <v>10</v>
      </c>
      <c r="D6031" t="s">
        <v>8</v>
      </c>
      <c r="E6031" t="s">
        <v>8</v>
      </c>
      <c r="F6031" t="s">
        <v>10810</v>
      </c>
      <c r="G6031" t="s">
        <v>8799</v>
      </c>
      <c r="H6031" t="s">
        <v>10811</v>
      </c>
      <c r="I6031" t="s">
        <v>200</v>
      </c>
    </row>
    <row r="6032" spans="1:9" x14ac:dyDescent="0.25">
      <c r="A6032" s="1" t="str">
        <f>HYPERLINK("https://lynxcrm-apac--c.eu19.visual.force.com/0011i000001xn2vAAA","YSL Bedok (24 HR) Clinic Surgery")</f>
        <v>YSL Bedok (24 HR) Clinic Surgery</v>
      </c>
      <c r="B6032" t="s">
        <v>10812</v>
      </c>
      <c r="C6032" t="s">
        <v>10</v>
      </c>
      <c r="D6032" t="s">
        <v>8</v>
      </c>
      <c r="E6032" t="s">
        <v>8</v>
      </c>
      <c r="F6032" t="s">
        <v>10486</v>
      </c>
      <c r="G6032" t="s">
        <v>7123</v>
      </c>
      <c r="H6032" t="s">
        <v>10813</v>
      </c>
      <c r="I6032" t="s">
        <v>157</v>
      </c>
    </row>
    <row r="6033" spans="1:9" x14ac:dyDescent="0.25">
      <c r="A6033" s="1" t="str">
        <f>HYPERLINK("https://lynxcrm-apac--c.eu19.visual.force.com/0011i000001xnU8AAI","YSL Bedok (24 HR) Clinic Surgery")</f>
        <v>YSL Bedok (24 HR) Clinic Surgery</v>
      </c>
      <c r="B6033" t="s">
        <v>10814</v>
      </c>
      <c r="C6033" t="s">
        <v>10</v>
      </c>
      <c r="D6033" t="s">
        <v>8</v>
      </c>
      <c r="E6033" t="s">
        <v>8</v>
      </c>
      <c r="F6033" t="s">
        <v>10486</v>
      </c>
      <c r="G6033" t="s">
        <v>7123</v>
      </c>
      <c r="H6033" t="s">
        <v>10813</v>
      </c>
      <c r="I6033" t="s">
        <v>157</v>
      </c>
    </row>
    <row r="6034" spans="1:9" x14ac:dyDescent="0.25">
      <c r="A6034" s="1" t="str">
        <f>HYPERLINK("https://lynxcrm-apac--c.eu19.visual.force.com/0011i000001xnMBAAY","YS Teo Family Clinic &amp; Surgery")</f>
        <v>YS Teo Family Clinic &amp; Surgery</v>
      </c>
      <c r="B6034" t="s">
        <v>10815</v>
      </c>
      <c r="C6034" t="s">
        <v>10</v>
      </c>
      <c r="D6034" t="s">
        <v>8</v>
      </c>
      <c r="E6034" t="s">
        <v>8</v>
      </c>
      <c r="F6034" t="s">
        <v>4091</v>
      </c>
      <c r="G6034" t="s">
        <v>5266</v>
      </c>
      <c r="H6034" t="s">
        <v>10816</v>
      </c>
      <c r="I6034" t="s">
        <v>4093</v>
      </c>
    </row>
    <row r="6035" spans="1:9" x14ac:dyDescent="0.25">
      <c r="A6035" s="1" t="str">
        <f>HYPERLINK("https://lynxcrm-apac--c.eu19.visual.force.com/0011i000001xncdAAA","Y T Lim Clinic &amp; Surgery")</f>
        <v>Y T Lim Clinic &amp; Surgery</v>
      </c>
      <c r="B6035" t="s">
        <v>10817</v>
      </c>
      <c r="C6035" t="s">
        <v>10</v>
      </c>
      <c r="D6035" t="s">
        <v>8</v>
      </c>
      <c r="E6035" t="s">
        <v>8</v>
      </c>
      <c r="F6035" t="s">
        <v>10818</v>
      </c>
      <c r="G6035" t="s">
        <v>10819</v>
      </c>
      <c r="H6035" t="s">
        <v>10820</v>
      </c>
      <c r="I6035" t="s">
        <v>4278</v>
      </c>
    </row>
    <row r="6036" spans="1:9" x14ac:dyDescent="0.25">
      <c r="A6036" s="1" t="str">
        <f>HYPERLINK("https://lynxcrm-apac--c.eu19.visual.force.com/0011i000001xnlsAAA","Yu, Ceyan")</f>
        <v>Yu, Ceyan</v>
      </c>
      <c r="B6036" t="s">
        <v>10821</v>
      </c>
      <c r="C6036" t="s">
        <v>28</v>
      </c>
      <c r="D6036" t="s">
        <v>550</v>
      </c>
      <c r="E6036" t="s">
        <v>8</v>
      </c>
      <c r="F6036" t="s">
        <v>2342</v>
      </c>
      <c r="G6036" t="s">
        <v>919</v>
      </c>
      <c r="H6036" t="s">
        <v>919</v>
      </c>
      <c r="I6036" t="s">
        <v>554</v>
      </c>
    </row>
    <row r="6037" spans="1:9" x14ac:dyDescent="0.25">
      <c r="A6037" s="1" t="str">
        <f>HYPERLINK("https://lynxcrm-apac--c.eu19.visual.force.com/0011i000001xoeBAAQ","Yue, Wai Mun")</f>
        <v>Yue, Wai Mun</v>
      </c>
      <c r="B6037" t="s">
        <v>10822</v>
      </c>
      <c r="C6037" t="s">
        <v>28</v>
      </c>
      <c r="D6037" t="s">
        <v>251</v>
      </c>
      <c r="E6037" t="s">
        <v>8</v>
      </c>
      <c r="F6037" t="s">
        <v>5021</v>
      </c>
      <c r="G6037" t="s">
        <v>252</v>
      </c>
      <c r="H6037" t="s">
        <v>858</v>
      </c>
      <c r="I6037" t="s">
        <v>253</v>
      </c>
    </row>
    <row r="6038" spans="1:9" x14ac:dyDescent="0.25">
      <c r="A6038" s="1" t="str">
        <f>HYPERLINK("https://lynxcrm-apac--c.eu19.visual.force.com/0011i000001xoHZAAY","Yuen, Jye")</f>
        <v>Yuen, Jye</v>
      </c>
      <c r="B6038" t="s">
        <v>10823</v>
      </c>
      <c r="C6038" t="s">
        <v>28</v>
      </c>
      <c r="D6038" t="s">
        <v>10824</v>
      </c>
      <c r="E6038" t="s">
        <v>8</v>
      </c>
      <c r="F6038" t="s">
        <v>2113</v>
      </c>
      <c r="G6038" t="s">
        <v>2113</v>
      </c>
      <c r="H6038" t="s">
        <v>8</v>
      </c>
      <c r="I6038" t="s">
        <v>2114</v>
      </c>
    </row>
    <row r="6039" spans="1:9" x14ac:dyDescent="0.25">
      <c r="A6039" s="1" t="str">
        <f>HYPERLINK("https://lynxcrm-apac--c.eu19.visual.force.com/0011i000001xoJKAAY","Yuen, Shyi Peng John")</f>
        <v>Yuen, Shyi Peng John</v>
      </c>
      <c r="B6039" t="s">
        <v>10825</v>
      </c>
      <c r="C6039" t="s">
        <v>28</v>
      </c>
      <c r="D6039" t="s">
        <v>251</v>
      </c>
      <c r="E6039" t="s">
        <v>8</v>
      </c>
      <c r="F6039" t="s">
        <v>1623</v>
      </c>
      <c r="G6039" t="s">
        <v>252</v>
      </c>
      <c r="H6039" t="s">
        <v>858</v>
      </c>
      <c r="I6039" t="s">
        <v>253</v>
      </c>
    </row>
    <row r="6040" spans="1:9" x14ac:dyDescent="0.25">
      <c r="A6040" s="1" t="str">
        <f>HYPERLINK("https://lynxcrm-apac--c.eu19.visual.force.com/0011i000001xoJKAAY","Yuen, Shyi Peng John")</f>
        <v>Yuen, Shyi Peng John</v>
      </c>
      <c r="B6040" t="s">
        <v>10825</v>
      </c>
      <c r="C6040" t="s">
        <v>28</v>
      </c>
      <c r="D6040" t="s">
        <v>251</v>
      </c>
      <c r="E6040" t="s">
        <v>8</v>
      </c>
      <c r="F6040" t="s">
        <v>251</v>
      </c>
      <c r="G6040" t="s">
        <v>252</v>
      </c>
      <c r="H6040" t="s">
        <v>252</v>
      </c>
      <c r="I6040" t="s">
        <v>253</v>
      </c>
    </row>
    <row r="6041" spans="1:9" x14ac:dyDescent="0.25">
      <c r="A6041" s="1" t="str">
        <f>HYPERLINK("https://lynxcrm-apac--c.eu19.visual.force.com/0011i000001xnuYAAQ","Yuen, Siu Mun")</f>
        <v>Yuen, Siu Mun</v>
      </c>
      <c r="B6041" t="s">
        <v>10826</v>
      </c>
      <c r="C6041" t="s">
        <v>28</v>
      </c>
      <c r="D6041" t="s">
        <v>10827</v>
      </c>
      <c r="E6041" t="s">
        <v>8</v>
      </c>
      <c r="F6041" t="s">
        <v>705</v>
      </c>
      <c r="G6041" t="s">
        <v>706</v>
      </c>
      <c r="H6041" t="s">
        <v>707</v>
      </c>
      <c r="I6041" t="s">
        <v>543</v>
      </c>
    </row>
    <row r="6042" spans="1:9" x14ac:dyDescent="0.25">
      <c r="A6042" s="1" t="str">
        <f>HYPERLINK("https://lynxcrm-apac--c.eu19.visual.force.com/0011i000001xnlVAAQ","Yuen, Sok Wei Julia")</f>
        <v>Yuen, Sok Wei Julia</v>
      </c>
      <c r="B6042" t="s">
        <v>10828</v>
      </c>
      <c r="C6042" t="s">
        <v>28</v>
      </c>
      <c r="D6042" t="s">
        <v>701</v>
      </c>
      <c r="E6042" t="s">
        <v>8</v>
      </c>
      <c r="F6042" t="s">
        <v>1123</v>
      </c>
      <c r="G6042" t="s">
        <v>1123</v>
      </c>
      <c r="H6042" t="s">
        <v>8</v>
      </c>
      <c r="I6042" t="s">
        <v>703</v>
      </c>
    </row>
    <row r="6043" spans="1:9" x14ac:dyDescent="0.25">
      <c r="A6043" s="1" t="str">
        <f>HYPERLINK("https://lynxcrm-apac--c.eu19.visual.force.com/0011i000001xoL4AAI","Yuen, Soo Hwa")</f>
        <v>Yuen, Soo Hwa</v>
      </c>
      <c r="B6043" t="s">
        <v>10829</v>
      </c>
      <c r="C6043" t="s">
        <v>28</v>
      </c>
      <c r="D6043" t="s">
        <v>21</v>
      </c>
      <c r="E6043" t="s">
        <v>8</v>
      </c>
      <c r="F6043" t="s">
        <v>699</v>
      </c>
      <c r="G6043" t="s">
        <v>699</v>
      </c>
      <c r="H6043" t="s">
        <v>8</v>
      </c>
      <c r="I6043" t="s">
        <v>22</v>
      </c>
    </row>
    <row r="6044" spans="1:9" x14ac:dyDescent="0.25">
      <c r="A6044" s="1" t="str">
        <f>HYPERLINK("https://lynxcrm-apac--c.eu19.visual.force.com/0011i000001xoL4AAI","Yuen, Soo Hwa")</f>
        <v>Yuen, Soo Hwa</v>
      </c>
      <c r="B6044" t="s">
        <v>10829</v>
      </c>
      <c r="C6044" t="s">
        <v>28</v>
      </c>
      <c r="D6044" t="s">
        <v>20</v>
      </c>
      <c r="E6044" t="s">
        <v>8</v>
      </c>
      <c r="F6044" t="s">
        <v>20</v>
      </c>
      <c r="G6044" t="s">
        <v>21</v>
      </c>
      <c r="H6044" t="s">
        <v>21</v>
      </c>
      <c r="I6044" t="s">
        <v>22</v>
      </c>
    </row>
    <row r="6045" spans="1:9" x14ac:dyDescent="0.25">
      <c r="A6045" s="1" t="str">
        <f>HYPERLINK("https://lynxcrm-apac--c.eu19.visual.force.com/0011i000001xoh2AAA","Yung, Wai Yun Ambrose")</f>
        <v>Yung, Wai Yun Ambrose</v>
      </c>
      <c r="B6045" t="s">
        <v>10830</v>
      </c>
      <c r="C6045" t="s">
        <v>28</v>
      </c>
      <c r="D6045" t="s">
        <v>10831</v>
      </c>
      <c r="E6045" t="s">
        <v>8</v>
      </c>
      <c r="F6045" t="s">
        <v>8680</v>
      </c>
      <c r="G6045" t="s">
        <v>65</v>
      </c>
      <c r="H6045" t="s">
        <v>65</v>
      </c>
      <c r="I6045" t="s">
        <v>67</v>
      </c>
    </row>
    <row r="6046" spans="1:9" x14ac:dyDescent="0.25">
      <c r="A6046" s="1" t="str">
        <f>HYPERLINK("https://lynxcrm-apac--c.eu19.visual.force.com/0011i000001xnBeAAI","Y W Chan Clinic")</f>
        <v>Y W Chan Clinic</v>
      </c>
      <c r="B6046" t="s">
        <v>10832</v>
      </c>
      <c r="C6046" t="s">
        <v>10</v>
      </c>
      <c r="D6046" t="s">
        <v>8</v>
      </c>
      <c r="E6046" t="s">
        <v>8</v>
      </c>
      <c r="F6046" t="s">
        <v>10833</v>
      </c>
      <c r="G6046" t="s">
        <v>3221</v>
      </c>
      <c r="H6046" t="s">
        <v>10834</v>
      </c>
      <c r="I6046" t="s">
        <v>3854</v>
      </c>
    </row>
    <row r="6047" spans="1:9" x14ac:dyDescent="0.25">
      <c r="A6047" s="1" t="str">
        <f>HYPERLINK("https://lynxcrm-apac--c.eu19.visual.force.com/0011i000001xnyGAAQ","Zailan, Bin Ahmad")</f>
        <v>Zailan, Bin Ahmad</v>
      </c>
      <c r="B6047" t="s">
        <v>10835</v>
      </c>
      <c r="C6047" t="s">
        <v>28</v>
      </c>
      <c r="D6047" t="s">
        <v>10836</v>
      </c>
      <c r="E6047" t="s">
        <v>8</v>
      </c>
      <c r="F6047" t="s">
        <v>2510</v>
      </c>
      <c r="G6047" t="s">
        <v>2511</v>
      </c>
      <c r="H6047" t="s">
        <v>2511</v>
      </c>
      <c r="I6047" t="s">
        <v>18</v>
      </c>
    </row>
    <row r="6048" spans="1:9" x14ac:dyDescent="0.25">
      <c r="A6048" s="1" t="str">
        <f>HYPERLINK("https://lynxcrm-apac--c.eu19.visual.force.com/0011i000001xnpyAAA","Zainudin, Sueziani")</f>
        <v>Zainudin, Sueziani</v>
      </c>
      <c r="B6048" t="s">
        <v>10837</v>
      </c>
      <c r="C6048" t="s">
        <v>28</v>
      </c>
      <c r="D6048" t="s">
        <v>1486</v>
      </c>
      <c r="E6048" t="s">
        <v>8</v>
      </c>
      <c r="F6048" t="s">
        <v>1486</v>
      </c>
      <c r="G6048" t="s">
        <v>1487</v>
      </c>
      <c r="H6048" t="s">
        <v>1487</v>
      </c>
      <c r="I6048" t="s">
        <v>1488</v>
      </c>
    </row>
    <row r="6049" spans="1:9" x14ac:dyDescent="0.25">
      <c r="A6049" s="1" t="str">
        <f>HYPERLINK("https://lynxcrm-apac--c.eu19.visual.force.com/0011i000001xn9pAAA","Zam Family Clinic")</f>
        <v>Zam Family Clinic</v>
      </c>
      <c r="B6049" t="s">
        <v>10838</v>
      </c>
      <c r="C6049" t="s">
        <v>10</v>
      </c>
      <c r="D6049" t="s">
        <v>8</v>
      </c>
      <c r="E6049" t="s">
        <v>8</v>
      </c>
      <c r="F6049" t="s">
        <v>7217</v>
      </c>
      <c r="G6049" t="s">
        <v>1027</v>
      </c>
      <c r="H6049" t="s">
        <v>7218</v>
      </c>
      <c r="I6049" t="s">
        <v>3857</v>
      </c>
    </row>
    <row r="6050" spans="1:9" x14ac:dyDescent="0.25">
      <c r="A6050" s="1" t="str">
        <f>HYPERLINK("https://lynxcrm-apac--c.eu19.visual.force.com/0011i00000Xf1HzAAJ","Zee, Ying Kiat")</f>
        <v>Zee, Ying Kiat</v>
      </c>
      <c r="B6050" t="s">
        <v>10839</v>
      </c>
      <c r="C6050" t="s">
        <v>28</v>
      </c>
      <c r="D6050" t="s">
        <v>10840</v>
      </c>
      <c r="E6050" t="s">
        <v>8</v>
      </c>
      <c r="F6050" t="s">
        <v>10841</v>
      </c>
      <c r="G6050" t="s">
        <v>388</v>
      </c>
      <c r="H6050" t="s">
        <v>8</v>
      </c>
      <c r="I6050" t="s">
        <v>123</v>
      </c>
    </row>
    <row r="6051" spans="1:9" x14ac:dyDescent="0.25">
      <c r="A6051" s="1" t="str">
        <f>HYPERLINK("https://lynxcrm-apac--c.eu19.visual.force.com/0011i000001xnIRAAY","Zenith Medical Clinic")</f>
        <v>Zenith Medical Clinic</v>
      </c>
      <c r="B6051" t="s">
        <v>10842</v>
      </c>
      <c r="C6051" t="s">
        <v>10</v>
      </c>
      <c r="D6051" t="s">
        <v>8</v>
      </c>
      <c r="E6051" t="s">
        <v>8</v>
      </c>
      <c r="F6051" t="s">
        <v>10843</v>
      </c>
      <c r="G6051" t="s">
        <v>10844</v>
      </c>
      <c r="H6051" t="s">
        <v>10844</v>
      </c>
      <c r="I6051" t="s">
        <v>10845</v>
      </c>
    </row>
    <row r="6052" spans="1:9" x14ac:dyDescent="0.25">
      <c r="A6052" s="1" t="str">
        <f>HYPERLINK("https://lynxcrm-apac--c.eu19.visual.force.com/0011i000001xojLAAQ","Zhang, Junjie")</f>
        <v>Zhang, Junjie</v>
      </c>
      <c r="B6052" t="s">
        <v>10846</v>
      </c>
      <c r="C6052" t="s">
        <v>28</v>
      </c>
      <c r="D6052" t="s">
        <v>392</v>
      </c>
      <c r="E6052" t="s">
        <v>8</v>
      </c>
      <c r="F6052" t="s">
        <v>393</v>
      </c>
      <c r="G6052" t="s">
        <v>394</v>
      </c>
      <c r="H6052" t="s">
        <v>395</v>
      </c>
      <c r="I6052" t="s">
        <v>396</v>
      </c>
    </row>
    <row r="6053" spans="1:9" x14ac:dyDescent="0.25">
      <c r="A6053" s="1" t="str">
        <f>HYPERLINK("https://lynxcrm-apac--c.eu19.visual.force.com/0011i000001xopoAAA","Zhang, Meifen")</f>
        <v>Zhang, Meifen</v>
      </c>
      <c r="B6053" t="s">
        <v>10847</v>
      </c>
      <c r="C6053" t="s">
        <v>28</v>
      </c>
      <c r="D6053" t="s">
        <v>583</v>
      </c>
      <c r="E6053" t="s">
        <v>8</v>
      </c>
      <c r="F6053" t="s">
        <v>583</v>
      </c>
      <c r="G6053" t="s">
        <v>584</v>
      </c>
      <c r="H6053" t="s">
        <v>584</v>
      </c>
      <c r="I6053" t="s">
        <v>585</v>
      </c>
    </row>
    <row r="6054" spans="1:9" x14ac:dyDescent="0.25">
      <c r="A6054" s="1" t="str">
        <f>HYPERLINK("https://lynxcrm-apac--c.eu19.visual.force.com/0011i000001xoqJAAQ","Zhang, Qi")</f>
        <v>Zhang, Qi</v>
      </c>
      <c r="B6054" t="s">
        <v>10848</v>
      </c>
      <c r="C6054" t="s">
        <v>28</v>
      </c>
      <c r="D6054" t="s">
        <v>2015</v>
      </c>
      <c r="E6054" t="s">
        <v>8</v>
      </c>
      <c r="F6054" t="s">
        <v>7237</v>
      </c>
      <c r="G6054" t="s">
        <v>7238</v>
      </c>
      <c r="H6054" t="s">
        <v>7238</v>
      </c>
      <c r="I6054" t="s">
        <v>7239</v>
      </c>
    </row>
    <row r="6055" spans="1:9" x14ac:dyDescent="0.25">
      <c r="A6055" s="1" t="str">
        <f>HYPERLINK("https://lynxcrm-apac--c.eu19.visual.force.com/0011i00000pb5PPAAY","Zheng, Lifeng")</f>
        <v>Zheng, Lifeng</v>
      </c>
      <c r="B6055" t="s">
        <v>10849</v>
      </c>
      <c r="C6055" t="s">
        <v>28</v>
      </c>
      <c r="D6055" t="s">
        <v>545</v>
      </c>
      <c r="E6055" t="s">
        <v>8</v>
      </c>
      <c r="F6055" t="s">
        <v>546</v>
      </c>
      <c r="G6055" t="s">
        <v>547</v>
      </c>
      <c r="H6055" t="s">
        <v>547</v>
      </c>
      <c r="I6055" t="s">
        <v>548</v>
      </c>
    </row>
    <row r="6056" spans="1:9" x14ac:dyDescent="0.25">
      <c r="A6056" s="1" t="str">
        <f>HYPERLINK("https://lynxcrm-apac--c.eu19.visual.force.com/0011i00000S3HJCAA3","Zheng, Mingli")</f>
        <v>Zheng, Mingli</v>
      </c>
      <c r="B6056" t="s">
        <v>10850</v>
      </c>
      <c r="C6056" t="s">
        <v>28</v>
      </c>
      <c r="D6056" t="s">
        <v>147</v>
      </c>
      <c r="E6056" t="s">
        <v>8</v>
      </c>
      <c r="F6056" t="s">
        <v>147</v>
      </c>
      <c r="G6056" t="s">
        <v>148</v>
      </c>
      <c r="H6056" t="s">
        <v>148</v>
      </c>
      <c r="I6056" t="s">
        <v>149</v>
      </c>
    </row>
    <row r="6057" spans="1:9" x14ac:dyDescent="0.25">
      <c r="A6057" s="1" t="str">
        <f>HYPERLINK("https://lynxcrm-apac--c.eu19.visual.force.com/0011i00000oXwIzAAK","Zhou, Qian")</f>
        <v>Zhou, Qian</v>
      </c>
      <c r="B6057" t="s">
        <v>10851</v>
      </c>
      <c r="C6057" t="s">
        <v>28</v>
      </c>
      <c r="D6057" t="s">
        <v>1164</v>
      </c>
      <c r="E6057" t="s">
        <v>8</v>
      </c>
      <c r="F6057" t="s">
        <v>1165</v>
      </c>
      <c r="G6057" t="s">
        <v>1166</v>
      </c>
      <c r="H6057" t="s">
        <v>1166</v>
      </c>
      <c r="I6057" t="s">
        <v>1167</v>
      </c>
    </row>
    <row r="6058" spans="1:9" x14ac:dyDescent="0.25">
      <c r="A6058" s="1" t="str">
        <f>HYPERLINK("https://lynxcrm-apac--c.eu19.visual.force.com/0011i000001xopxAAA","Zhu, Ling")</f>
        <v>Zhu, Ling</v>
      </c>
      <c r="B6058" t="s">
        <v>10852</v>
      </c>
      <c r="C6058" t="s">
        <v>28</v>
      </c>
      <c r="D6058" t="s">
        <v>251</v>
      </c>
      <c r="E6058" t="s">
        <v>8</v>
      </c>
      <c r="F6058" t="s">
        <v>251</v>
      </c>
      <c r="G6058" t="s">
        <v>252</v>
      </c>
      <c r="H6058" t="s">
        <v>252</v>
      </c>
      <c r="I6058" t="s">
        <v>253</v>
      </c>
    </row>
    <row r="6059" spans="1:9" x14ac:dyDescent="0.25">
      <c r="A6059" s="1" t="str">
        <f>HYPERLINK("https://lynxcrm-apac--c.eu19.visual.force.com/0011i000001xoZwAAI","Zuraimi, Mohamed Dahlan")</f>
        <v>Zuraimi, Mohamed Dahlan</v>
      </c>
      <c r="B6059" t="s">
        <v>10853</v>
      </c>
      <c r="C6059" t="s">
        <v>28</v>
      </c>
      <c r="D6059" t="s">
        <v>10854</v>
      </c>
      <c r="E6059" t="s">
        <v>8</v>
      </c>
      <c r="F6059" t="s">
        <v>10855</v>
      </c>
      <c r="G6059" t="s">
        <v>10856</v>
      </c>
      <c r="H6059" t="s">
        <v>10857</v>
      </c>
      <c r="I6059" t="s">
        <v>5662</v>
      </c>
    </row>
  </sheetData>
  <conditionalFormatting sqref="B1 B6060:B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SG_HCO_Accounts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ROUSSEAU Romuald SINGAPORE</cp:lastModifiedBy>
  <dcterms:created xsi:type="dcterms:W3CDTF">2021-03-02T02:20:48Z</dcterms:created>
  <dcterms:modified xsi:type="dcterms:W3CDTF">2021-03-08T06:37:29Z</dcterms:modified>
</cp:coreProperties>
</file>