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rt\Google Drive\Spreadsheet\Test 3\"/>
    </mc:Choice>
  </mc:AlternateContent>
  <xr:revisionPtr revIDLastSave="0" documentId="13_ncr:1_{F0005C18-706C-4B0B-80C5-9001B6488FE2}" xr6:coauthVersionLast="45" xr6:coauthVersionMax="45" xr10:uidLastSave="{00000000-0000-0000-0000-000000000000}"/>
  <bookViews>
    <workbookView xWindow="2196" yWindow="2196" windowWidth="23040" windowHeight="12204" xr2:uid="{AF368CF5-47AC-4F61-BE6C-8D1B80AF9755}"/>
  </bookViews>
  <sheets>
    <sheet name="P2" sheetId="1" r:id="rId1"/>
    <sheet name="Investments" sheetId="3" r:id="rId2"/>
  </sheets>
  <definedNames>
    <definedName name="LSGRGeng_RelaxBounds" localSheetId="0" hidden="1">2</definedName>
    <definedName name="solver_adj" localSheetId="0" hidden="1">'P2'!$F$6</definedName>
    <definedName name="solver_adj_ob" localSheetId="0" hidden="1">1</definedName>
    <definedName name="solver_adj_ob1" localSheetId="0" hidden="1">1</definedName>
    <definedName name="solver_adj_ob2" localSheetId="0" hidden="1">1</definedName>
    <definedName name="solver_adj1" localSheetId="0" hidden="1">'P2'!$H$3</definedName>
    <definedName name="solver_adj2" localSheetId="0" hidden="1">'P2'!$H$5</definedName>
    <definedName name="solver_bigm" localSheetId="0" hidden="1">1000000</definedName>
    <definedName name="solver_bnd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c4" localSheetId="0" hidden="1">0</definedName>
    <definedName name="solver_chc5" localSheetId="0" hidden="1">0</definedName>
    <definedName name="solver_chc6" localSheetId="0" hidden="1">0</definedName>
    <definedName name="solver_chc7" localSheetId="0" hidden="1">0</definedName>
    <definedName name="solver_chc8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p4" localSheetId="0" hidden="1">0</definedName>
    <definedName name="solver_chp5" localSheetId="0" hidden="1">0</definedName>
    <definedName name="solver_chp6" localSheetId="0" hidden="1">0</definedName>
    <definedName name="solver_chp7" localSheetId="0" hidden="1">0</definedName>
    <definedName name="solver_chp8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ir4" localSheetId="0" hidden="1">1</definedName>
    <definedName name="solver_cir5" localSheetId="0" hidden="1">1</definedName>
    <definedName name="solver_cir6" localSheetId="0" hidden="1">1</definedName>
    <definedName name="solver_cir7" localSheetId="0" hidden="1">1</definedName>
    <definedName name="solver_cir8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on4" localSheetId="0" hidden="1">" "</definedName>
    <definedName name="solver_con5" localSheetId="0" hidden="1">" "</definedName>
    <definedName name="solver_con6" localSheetId="0" hidden="1">" "</definedName>
    <definedName name="solver_con7" localSheetId="0" hidden="1">" "</definedName>
    <definedName name="solver_con8" localSheetId="0" hidden="1">" "</definedName>
    <definedName name="solver_corr" hidden="1">1</definedName>
    <definedName name="solver_ctp1" hidden="1">0</definedName>
    <definedName name="solver_ctp2" hidden="1">0</definedName>
    <definedName name="solver_cvg" localSheetId="0" hidden="1">0.0001</definedName>
    <definedName name="solver_dia" localSheetId="0" hidden="1">5</definedName>
    <definedName name="solver_dimcalc" localSheetId="0" hidden="1">0</definedName>
    <definedName name="solver_disp" hidden="1">0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eval" hidden="1">0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1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kiv" localSheetId="0" hidden="1">2E+30</definedName>
    <definedName name="solver_lcens" hidden="1">-1E+30</definedName>
    <definedName name="solver_lcut" hidden="1">-1E+30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_ob4" localSheetId="0" hidden="1">0</definedName>
    <definedName name="solver_lhs_ob5" localSheetId="0" hidden="1">0</definedName>
    <definedName name="solver_lhs_ob6" localSheetId="0" hidden="1">0</definedName>
    <definedName name="solver_lhs_ob7" localSheetId="0" hidden="1">0</definedName>
    <definedName name="solver_lhs_ob8" localSheetId="0" hidden="1">0</definedName>
    <definedName name="solver_lhs1" localSheetId="0" hidden="1">'P2'!$F$6</definedName>
    <definedName name="solver_lhs2" localSheetId="0" hidden="1">'P2'!$F$6</definedName>
    <definedName name="solver_lhs3" localSheetId="0" hidden="1">'P2'!$H$3</definedName>
    <definedName name="solver_lhs4" localSheetId="0" hidden="1">'P2'!$H$3</definedName>
    <definedName name="solver_lhs5" localSheetId="0" hidden="1">'P2'!$H$5</definedName>
    <definedName name="solver_lhs6" localSheetId="0" hidden="1">'P2'!$H$5</definedName>
    <definedName name="solver_lhs7" localSheetId="0" hidden="1">'P2'!$H$7</definedName>
    <definedName name="solver_lhs8" localSheetId="0" hidden="1">'P2'!$N$36</definedName>
    <definedName name="solver_lin" localSheetId="0" hidden="1">2</definedName>
    <definedName name="solver_log" localSheetId="0" hidden="1">1</definedName>
    <definedName name="solver_lva" localSheetId="0" hidden="1">0</definedName>
    <definedName name="solver_mda" localSheetId="0" hidden="1">4</definedName>
    <definedName name="solver_mip" localSheetId="0" hidden="1">2147483647</definedName>
    <definedName name="solver_mod" localSheetId="0" hidden="1">3</definedName>
    <definedName name="solver_msl" localSheetId="0" hidden="1">0</definedName>
    <definedName name="solver_neg" localSheetId="0" hidden="1">0</definedName>
    <definedName name="solver_nod" localSheetId="0" hidden="1">2147483647</definedName>
    <definedName name="solver_nopt" localSheetId="0" hidden="1">1</definedName>
    <definedName name="solver_nsim" hidden="1">1</definedName>
    <definedName name="solver_nsopt" localSheetId="0" hidden="1">-1</definedName>
    <definedName name="solver_nssim" hidden="1">-1</definedName>
    <definedName name="solver_ntr" localSheetId="0" hidden="1">2</definedName>
    <definedName name="solver_ntri" hidden="1">1000</definedName>
    <definedName name="solver_num" localSheetId="0" hidden="1">8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pt" localSheetId="0" hidden="1">'P2'!$D$11</definedName>
    <definedName name="solver_opt_ob" localSheetId="0" hidden="1">1</definedName>
    <definedName name="solver_pre" localSheetId="0" hidden="1">0.000001</definedName>
    <definedName name="solver_psi" localSheetId="0" hidden="1">1</definedName>
    <definedName name="solver_rbv" localSheetId="0" hidden="1">1</definedName>
    <definedName name="solver_rdp" localSheetId="0" hidden="1">0</definedName>
    <definedName name="solver_reco1" localSheetId="0" hidden="1">0</definedName>
    <definedName name="solver_reco2" localSheetId="0" hidden="1">0</definedName>
    <definedName name="solver_reco3" localSheetId="0" hidden="1">0</definedName>
    <definedName name="solver_reco4" localSheetId="0" hidden="1">0</definedName>
    <definedName name="solver_reco5" localSheetId="0" hidden="1">0</definedName>
    <definedName name="solver_reco6" localSheetId="0" hidden="1">0</definedName>
    <definedName name="solver_reco7" localSheetId="0" hidden="1">0</definedName>
    <definedName name="solver_reco8" localSheetId="0" hidden="1">0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2</definedName>
    <definedName name="solver_rel8" localSheetId="0" hidden="1">1</definedName>
    <definedName name="solver_rep" localSheetId="0" hidden="1">0</definedName>
    <definedName name="solver_rgen" hidden="1">1</definedName>
    <definedName name="solver_rhs1" localSheetId="0" hidden="1">1</definedName>
    <definedName name="solver_rhs2" localSheetId="0" hidden="1">0</definedName>
    <definedName name="solver_rhs3" localSheetId="0" hidden="1">1</definedName>
    <definedName name="solver_rhs4" localSheetId="0" hidden="1">0</definedName>
    <definedName name="solver_rhs5" localSheetId="0" hidden="1">1</definedName>
    <definedName name="solver_rhs6" localSheetId="0" hidden="1">0</definedName>
    <definedName name="solver_rhs7" localSheetId="0" hidden="1">1</definedName>
    <definedName name="solver_rhs8" localSheetId="0" hidden="1">0.05</definedName>
    <definedName name="solver_rlx" localSheetId="0" hidden="1">0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c4" localSheetId="0" hidden="1">1</definedName>
    <definedName name="solver_rxc5" localSheetId="0" hidden="1">1</definedName>
    <definedName name="solver_rxc6" localSheetId="0" hidden="1">1</definedName>
    <definedName name="solver_rxc7" localSheetId="0" hidden="1">1</definedName>
    <definedName name="solver_rxc8" localSheetId="0" hidden="1">1</definedName>
    <definedName name="solver_rxv" localSheetId="0" hidden="1">1</definedName>
    <definedName name="solver_rxv1" localSheetId="0" hidden="1">1</definedName>
    <definedName name="solver_rxv2" localSheetId="0" hidden="1">1</definedName>
    <definedName name="solver_scl" localSheetId="0" hidden="1">0</definedName>
    <definedName name="solver_sclt" hidden="1">100</definedName>
    <definedName name="solver_scs" localSheetId="0" hidden="1">0</definedName>
    <definedName name="solver_seed" hidden="1">7536</definedName>
    <definedName name="solver_sel" localSheetId="0" hidden="1">1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ssz" localSheetId="0" hidden="1">0</definedName>
    <definedName name="solver_strm" hidden="1">0</definedName>
    <definedName name="solver_tim" localSheetId="0" hidden="1">2147483647</definedName>
    <definedName name="solver_tms" localSheetId="0" hidden="1">0</definedName>
    <definedName name="solver_tol" localSheetId="0" hidden="1">0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1000000000000</definedName>
    <definedName name="solver_typ" localSheetId="1" hidden="1">2</definedName>
    <definedName name="solver_typ" localSheetId="0" hidden="1">1</definedName>
    <definedName name="solver_ubigm" localSheetId="0" hidden="1">1000000</definedName>
    <definedName name="solver_ucens" hidden="1">1E+30</definedName>
    <definedName name="solver_ucut" hidden="1">1E+30</definedName>
    <definedName name="solver_umod" localSheetId="0" hidden="1">1</definedName>
    <definedName name="solver_urs" localSheetId="0" hidden="1">0</definedName>
    <definedName name="solver_userid" localSheetId="0" hidden="1">455226</definedName>
    <definedName name="solver_val" localSheetId="0" hidden="1">0</definedName>
    <definedName name="solver_var" localSheetId="0" hidden="1">" "</definedName>
    <definedName name="solver_var1" localSheetId="0" hidden="1">" "</definedName>
    <definedName name="solver_var2" localSheetId="0" hidden="1">" "</definedName>
    <definedName name="solver_ver" localSheetId="1" hidden="1">17</definedName>
    <definedName name="solver_ver" localSheetId="0" hidden="1">17</definedName>
    <definedName name="solver_vir" localSheetId="0" hidden="1">1</definedName>
    <definedName name="solver_vir1" localSheetId="0" hidden="1">1</definedName>
    <definedName name="solver_vir2" localSheetId="0" hidden="1">1</definedName>
    <definedName name="solver_vol" localSheetId="0" hidden="1">0</definedName>
    <definedName name="solver_vst" localSheetId="0" hidden="1">0</definedName>
    <definedName name="solver_vst1" localSheetId="0" hidden="1">0</definedName>
    <definedName name="solver_vst2" localSheetId="0" hidden="1">0</definedName>
    <definedName name="solveri_CHUPerc_E3" localSheetId="0" hidden="1">"System.Double:96.0280280046747"</definedName>
    <definedName name="solveri_ISpPars_E3" localSheetId="0" hidden="1">"RiskSolver.UI.Charts.InputDlgPars:-1000001;1;1;61;15;39;69;0;90;90;0;0;0;0;1;"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" l="1"/>
  <c r="N36" i="1" a="1"/>
  <c r="J3" i="3"/>
  <c r="N37" i="1" a="1"/>
  <c r="D3" i="3"/>
  <c r="N37" i="1" l="1"/>
  <c r="N36" i="1"/>
  <c r="D11" i="1"/>
  <c r="E11" i="1" s="1"/>
  <c r="M7" i="1" a="1"/>
  <c r="N34" i="1" a="1"/>
  <c r="N34" i="1" l="1"/>
  <c r="M7" i="1"/>
  <c r="F22" i="1" l="1"/>
  <c r="F23" i="1"/>
  <c r="F24" i="1"/>
  <c r="F25" i="1"/>
  <c r="F26" i="1"/>
  <c r="F27" i="1"/>
  <c r="F28" i="1"/>
  <c r="F29" i="1"/>
  <c r="F30" i="1"/>
  <c r="F31" i="1"/>
  <c r="F12" i="1"/>
  <c r="F13" i="1"/>
  <c r="F14" i="1"/>
  <c r="F15" i="1"/>
  <c r="F16" i="1"/>
  <c r="F17" i="1"/>
  <c r="F18" i="1"/>
  <c r="F19" i="1"/>
  <c r="F20" i="1"/>
  <c r="F21" i="1"/>
  <c r="F11" i="1"/>
  <c r="G19" i="1"/>
  <c r="H27" i="1"/>
  <c r="H24" i="1"/>
  <c r="G29" i="1"/>
  <c r="G17" i="1"/>
  <c r="H30" i="1"/>
  <c r="G12" i="1"/>
  <c r="G14" i="1"/>
  <c r="G21" i="1"/>
  <c r="H23" i="1"/>
  <c r="H13" i="1"/>
  <c r="H20" i="1"/>
  <c r="H16" i="1"/>
  <c r="H25" i="1"/>
  <c r="H14" i="1"/>
  <c r="G26" i="1"/>
  <c r="H21" i="1"/>
  <c r="G15" i="1"/>
  <c r="G27" i="1"/>
  <c r="G13" i="1"/>
  <c r="H19" i="1"/>
  <c r="H28" i="1"/>
  <c r="H18" i="1"/>
  <c r="G24" i="1"/>
  <c r="H22" i="1"/>
  <c r="H29" i="1"/>
  <c r="G28" i="1"/>
  <c r="G30" i="1"/>
  <c r="H15" i="1"/>
  <c r="H11" i="1"/>
  <c r="G23" i="1"/>
  <c r="G25" i="1"/>
  <c r="K3" i="1" a="1"/>
  <c r="H12" i="1"/>
  <c r="G20" i="1"/>
  <c r="H17" i="1"/>
  <c r="G31" i="1"/>
  <c r="H26" i="1"/>
  <c r="G18" i="1"/>
  <c r="G16" i="1"/>
  <c r="G22" i="1"/>
  <c r="H31" i="1"/>
  <c r="G11" i="1"/>
  <c r="I11" i="1" l="1"/>
  <c r="J11" i="1"/>
  <c r="D12" i="1"/>
  <c r="D13" i="1" s="1"/>
  <c r="K3" i="1"/>
  <c r="K31" i="1" s="1"/>
  <c r="B7" i="1"/>
  <c r="D14" i="1" l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K29" i="1"/>
  <c r="K30" i="1"/>
  <c r="K27" i="1"/>
  <c r="K28" i="1"/>
  <c r="K25" i="1"/>
  <c r="K26" i="1"/>
  <c r="K23" i="1"/>
  <c r="K24" i="1"/>
  <c r="K21" i="1"/>
  <c r="K22" i="1"/>
  <c r="K15" i="1"/>
  <c r="K20" i="1"/>
  <c r="K19" i="1"/>
  <c r="M19" i="1" s="1"/>
  <c r="K17" i="1"/>
  <c r="M17" i="1" s="1"/>
  <c r="K18" i="1"/>
  <c r="M18" i="1" s="1"/>
  <c r="K16" i="1"/>
  <c r="M16" i="1" s="1"/>
  <c r="K11" i="1"/>
  <c r="N11" i="1" s="1"/>
  <c r="K12" i="1"/>
  <c r="K13" i="1"/>
  <c r="K14" i="1"/>
  <c r="L16" i="1" l="1"/>
  <c r="L18" i="1"/>
  <c r="L19" i="1"/>
  <c r="L17" i="1"/>
  <c r="D25" i="1"/>
  <c r="E12" i="1"/>
  <c r="J12" i="1" s="1"/>
  <c r="I12" i="1" l="1"/>
  <c r="N12" i="1" s="1"/>
  <c r="D26" i="1"/>
  <c r="E13" i="1" l="1"/>
  <c r="J13" i="1" s="1"/>
  <c r="D27" i="1"/>
  <c r="I13" i="1" l="1"/>
  <c r="N13" i="1" s="1"/>
  <c r="E14" i="1" s="1"/>
  <c r="J14" i="1" s="1"/>
  <c r="D28" i="1"/>
  <c r="D29" i="1" s="1"/>
  <c r="D30" i="1" s="1"/>
  <c r="D31" i="1" s="1"/>
  <c r="I14" i="1" l="1"/>
  <c r="N14" i="1" s="1"/>
  <c r="E15" i="1" s="1"/>
  <c r="J15" i="1" s="1"/>
  <c r="I15" i="1" l="1"/>
  <c r="N15" i="1" s="1"/>
  <c r="E16" i="1" s="1"/>
  <c r="J16" i="1" s="1"/>
  <c r="I16" i="1" l="1"/>
  <c r="N16" i="1" s="1"/>
  <c r="E17" i="1" s="1"/>
  <c r="J17" i="1" s="1"/>
  <c r="I17" i="1" l="1"/>
  <c r="N17" i="1" s="1"/>
  <c r="E18" i="1" s="1"/>
  <c r="J18" i="1" s="1"/>
  <c r="I18" i="1" l="1"/>
  <c r="N18" i="1" s="1"/>
  <c r="E19" i="1" s="1"/>
  <c r="J19" i="1" s="1"/>
  <c r="I19" i="1" l="1"/>
  <c r="N19" i="1" s="1"/>
  <c r="E20" i="1" l="1"/>
  <c r="J20" i="1" s="1"/>
  <c r="I20" i="1" l="1"/>
  <c r="N20" i="1" s="1"/>
  <c r="E21" i="1" s="1"/>
  <c r="J21" i="1" l="1"/>
  <c r="I21" i="1"/>
  <c r="N21" i="1" l="1"/>
  <c r="E22" i="1" s="1"/>
  <c r="J22" i="1" s="1"/>
  <c r="I22" i="1" l="1"/>
  <c r="N22" i="1" s="1"/>
  <c r="E23" i="1" s="1"/>
  <c r="J23" i="1" s="1"/>
  <c r="I23" i="1" l="1"/>
  <c r="N23" i="1" s="1"/>
  <c r="E24" i="1" s="1"/>
  <c r="J24" i="1" s="1"/>
  <c r="I24" i="1" l="1"/>
  <c r="N24" i="1" s="1"/>
  <c r="E25" i="1" s="1"/>
  <c r="J25" i="1" s="1"/>
  <c r="I25" i="1" l="1"/>
  <c r="N25" i="1" s="1"/>
  <c r="E26" i="1" s="1"/>
  <c r="J26" i="1" s="1"/>
  <c r="I26" i="1" l="1"/>
  <c r="N26" i="1" s="1"/>
  <c r="E27" i="1" s="1"/>
  <c r="J27" i="1" s="1"/>
  <c r="I27" i="1" l="1"/>
  <c r="N27" i="1" s="1"/>
  <c r="E28" i="1" s="1"/>
  <c r="J28" i="1" s="1"/>
  <c r="I28" i="1" l="1"/>
  <c r="N28" i="1" s="1"/>
  <c r="E29" i="1" l="1"/>
  <c r="J29" i="1" s="1"/>
  <c r="I29" i="1" l="1"/>
  <c r="N29" i="1" s="1"/>
  <c r="E30" i="1" l="1"/>
  <c r="J30" i="1" s="1"/>
  <c r="I30" i="1" l="1"/>
  <c r="N30" i="1" s="1"/>
  <c r="E31" i="1" l="1"/>
  <c r="I31" i="1" s="1"/>
  <c r="J31" i="1" l="1"/>
  <c r="N31" i="1" s="1"/>
  <c r="N33" i="1" a="1"/>
  <c r="N3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<sst xmlns="http://schemas.openxmlformats.org/spreadsheetml/2006/main" count="56" uniqueCount="55">
  <si>
    <t>life expectancy</t>
  </si>
  <si>
    <t>mean</t>
  </si>
  <si>
    <t>std dev</t>
  </si>
  <si>
    <t>lower</t>
  </si>
  <si>
    <t>upper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</si>
  <si>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</si>
  <si>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</si>
  <si>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</si>
  <si>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</si>
  <si>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</si>
  <si>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</si>
  <si>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</si>
  <si>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</si>
  <si>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</si>
  <si>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</si>
  <si>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</si>
  <si>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</si>
  <si>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</si>
  <si>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</si>
  <si>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</si>
  <si>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</si>
  <si>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</si>
  <si>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</si>
  <si>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</si>
  <si>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</si>
  <si>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Beginning Funds</t>
  </si>
  <si>
    <t>Inflation</t>
  </si>
  <si>
    <t>AGE</t>
  </si>
  <si>
    <t>YEAR</t>
  </si>
  <si>
    <t>min</t>
  </si>
  <si>
    <t>likely</t>
  </si>
  <si>
    <t>max</t>
  </si>
  <si>
    <t>Market Cor stats</t>
  </si>
  <si>
    <t>Beg. Balance</t>
  </si>
  <si>
    <t>VTI Returns</t>
  </si>
  <si>
    <t>LQD Returns</t>
  </si>
  <si>
    <t>year 21</t>
  </si>
  <si>
    <t>LQD Dist</t>
  </si>
  <si>
    <t>VTI Dist</t>
  </si>
  <si>
    <t>VTI</t>
  </si>
  <si>
    <t>LQD</t>
  </si>
  <si>
    <t>Ending Balance</t>
  </si>
  <si>
    <t>VTI Return</t>
  </si>
  <si>
    <t>LQD Return</t>
  </si>
  <si>
    <t>Withdraw Amt</t>
  </si>
  <si>
    <t>Sustainable Withdraw %</t>
  </si>
  <si>
    <t>Market Cor Yr</t>
  </si>
  <si>
    <t>VTI G/L</t>
  </si>
  <si>
    <t>LQD G/L</t>
  </si>
  <si>
    <t>Mrk Correction</t>
  </si>
  <si>
    <t>Mrk Drop</t>
  </si>
  <si>
    <t>Bond Drop</t>
  </si>
  <si>
    <t>sim</t>
  </si>
  <si>
    <t>chance of 0</t>
  </si>
  <si>
    <t>chance of &gt;250,000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</si>
</sst>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9" fontId="0" fillId="0" borderId="0" xfId="2" applyFont="1"/>
    <xf numFmtId="165" fontId="0" fillId="0" borderId="0" xfId="2" applyNumberFormat="1" applyFont="1"/>
    <xf numFmtId="10" fontId="0" fillId="0" borderId="0" xfId="2" applyNumberFormat="1" applyFont="1"/>
    <xf numFmtId="0" fontId="0" fillId="0" borderId="0" xfId="0" applyBorder="1"/>
    <xf numFmtId="0" fontId="5" fillId="0" borderId="0" xfId="0" applyFont="1"/>
    <xf numFmtId="0" fontId="0" fillId="0" borderId="0" xfId="0" applyFill="1" applyBorder="1"/>
    <xf numFmtId="0" fontId="3" fillId="0" borderId="1" xfId="0" applyFont="1" applyBorder="1" applyAlignment="1">
      <alignment horizontal="center"/>
    </xf>
    <xf numFmtId="164" fontId="0" fillId="0" borderId="0" xfId="0" applyNumberFormat="1"/>
    <xf numFmtId="164" fontId="0" fillId="0" borderId="0" xfId="1" applyNumberFormat="1" applyFont="1" applyAlignment="1">
      <alignment horizontal="center"/>
    </xf>
    <xf numFmtId="0" fontId="3" fillId="0" borderId="0" xfId="0" applyFont="1" applyAlignment="1">
      <alignment vertical="center"/>
    </xf>
    <xf numFmtId="43" fontId="1" fillId="0" borderId="0" xfId="0" applyNumberFormat="1" applyFont="1"/>
    <xf numFmtId="0" fontId="0" fillId="0" borderId="1" xfId="0" applyBorder="1" applyAlignment="1">
      <alignment horizontal="center"/>
    </xf>
    <xf numFmtId="9" fontId="0" fillId="2" borderId="3" xfId="2" applyFont="1" applyFill="1" applyBorder="1" applyAlignment="1">
      <alignment horizontal="center"/>
    </xf>
    <xf numFmtId="43" fontId="0" fillId="0" borderId="5" xfId="0" applyNumberFormat="1" applyBorder="1"/>
    <xf numFmtId="0" fontId="0" fillId="3" borderId="2" xfId="0" applyFill="1" applyBorder="1"/>
    <xf numFmtId="0" fontId="0" fillId="3" borderId="6" xfId="0" applyFill="1" applyBorder="1"/>
    <xf numFmtId="9" fontId="0" fillId="0" borderId="0" xfId="0" applyNumberFormat="1"/>
    <xf numFmtId="0" fontId="0" fillId="0" borderId="0" xfId="0" applyAlignment="1">
      <alignment wrapText="1"/>
    </xf>
    <xf numFmtId="10" fontId="3" fillId="4" borderId="0" xfId="2" applyNumberFormat="1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164" fontId="5" fillId="0" borderId="4" xfId="1" applyNumberFormat="1" applyFont="1" applyFill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66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32</xdr:row>
          <xdr:rowOff>91440</xdr:rowOff>
        </xdr:from>
        <xdr:to>
          <xdr:col>11</xdr:col>
          <xdr:colOff>441960</xdr:colOff>
          <xdr:row>48</xdr:row>
          <xdr:rowOff>167640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13</xdr:row>
          <xdr:rowOff>91440</xdr:rowOff>
        </xdr:from>
        <xdr:to>
          <xdr:col>12</xdr:col>
          <xdr:colOff>228600</xdr:colOff>
          <xdr:row>30</xdr:row>
          <xdr:rowOff>38100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0249-BBFE-4815-A0EE-9C46B55A777E}">
  <dimension ref="A1:P37"/>
  <sheetViews>
    <sheetView tabSelected="1" workbookViewId="0">
      <selection activeCell="N42" sqref="N42"/>
    </sheetView>
  </sheetViews>
  <sheetFormatPr defaultRowHeight="14.4" x14ac:dyDescent="0.3"/>
  <cols>
    <col min="2" max="2" width="4.44140625" bestFit="1" customWidth="1"/>
    <col min="3" max="3" width="4" customWidth="1"/>
    <col min="4" max="4" width="13.44140625" bestFit="1" customWidth="1"/>
    <col min="5" max="5" width="16" customWidth="1"/>
    <col min="6" max="6" width="19.77734375" customWidth="1"/>
    <col min="7" max="7" width="15" bestFit="1" customWidth="1"/>
    <col min="8" max="8" width="13" customWidth="1"/>
    <col min="9" max="9" width="10.6640625" customWidth="1"/>
    <col min="10" max="10" width="10.21875" customWidth="1"/>
    <col min="11" max="11" width="15.21875" customWidth="1"/>
    <col min="12" max="12" width="12.6640625" bestFit="1" customWidth="1"/>
    <col min="13" max="13" width="11.44140625" customWidth="1"/>
    <col min="14" max="14" width="15.6640625" customWidth="1"/>
  </cols>
  <sheetData>
    <row r="1" spans="1:16" x14ac:dyDescent="0.3">
      <c r="A1">
        <v>7536</v>
      </c>
    </row>
    <row r="2" spans="1:16" x14ac:dyDescent="0.3">
      <c r="A2" s="27" t="s">
        <v>0</v>
      </c>
      <c r="B2" s="27"/>
      <c r="C2" s="3"/>
      <c r="D2" s="3"/>
      <c r="F2" s="3" t="s">
        <v>25</v>
      </c>
      <c r="H2" s="11" t="s">
        <v>39</v>
      </c>
      <c r="K2" s="3" t="s">
        <v>46</v>
      </c>
      <c r="L2" s="27" t="s">
        <v>32</v>
      </c>
      <c r="M2" s="27"/>
      <c r="N2" s="4"/>
    </row>
    <row r="3" spans="1:16" x14ac:dyDescent="0.3">
      <c r="A3" t="s">
        <v>1</v>
      </c>
      <c r="B3">
        <v>11</v>
      </c>
      <c r="F3" s="13">
        <v>1500000</v>
      </c>
      <c r="G3" s="1"/>
      <c r="H3" s="17">
        <v>0.7904928431231063</v>
      </c>
      <c r="K3" s="25" cm="1">
        <f t="array" aca="1" ref="K3" ca="1">_xll.PsiIntUniform(6,9)</f>
        <v>7</v>
      </c>
      <c r="L3" t="s">
        <v>29</v>
      </c>
      <c r="M3" s="5">
        <v>0.15</v>
      </c>
      <c r="N3" s="6"/>
    </row>
    <row r="4" spans="1:16" x14ac:dyDescent="0.3">
      <c r="A4" t="s">
        <v>2</v>
      </c>
      <c r="B4">
        <v>5</v>
      </c>
      <c r="H4" s="11" t="s">
        <v>40</v>
      </c>
      <c r="L4" t="s">
        <v>30</v>
      </c>
      <c r="M4" s="5">
        <v>0.25</v>
      </c>
      <c r="N4" s="6"/>
    </row>
    <row r="5" spans="1:16" x14ac:dyDescent="0.3">
      <c r="A5" t="s">
        <v>3</v>
      </c>
      <c r="B5">
        <v>0</v>
      </c>
      <c r="F5" s="14" t="s">
        <v>45</v>
      </c>
      <c r="H5" s="17">
        <v>0.2095071568768935</v>
      </c>
      <c r="L5" t="s">
        <v>31</v>
      </c>
      <c r="M5" s="5">
        <v>0.4</v>
      </c>
      <c r="N5" s="6"/>
    </row>
    <row r="6" spans="1:16" x14ac:dyDescent="0.3">
      <c r="A6" s="2" t="s">
        <v>4</v>
      </c>
      <c r="B6" s="2">
        <v>20</v>
      </c>
      <c r="C6" s="8"/>
      <c r="D6" s="8"/>
      <c r="F6" s="23">
        <v>7.1534096905398484E-2</v>
      </c>
    </row>
    <row r="7" spans="1:16" x14ac:dyDescent="0.3">
      <c r="B7" s="24">
        <f ca="1">ROUND(_xll.PsiLogNormal($B$3,$B$4,_xll.PsiTruncate($B$5, $B$6)),0)</f>
        <v>9</v>
      </c>
      <c r="C7" s="9"/>
      <c r="D7" s="9"/>
      <c r="H7" s="21">
        <f>H3+H5</f>
        <v>0.99999999999999978</v>
      </c>
      <c r="M7" s="7" cm="1">
        <f t="array" aca="1" ref="M7" ca="1">-(_xll.PsiTriangular($M$3,$M$4,$M$5))</f>
        <v>-0.35144487583325107</v>
      </c>
      <c r="N7" s="7"/>
    </row>
    <row r="10" spans="1:16" x14ac:dyDescent="0.3">
      <c r="A10" s="3" t="s">
        <v>28</v>
      </c>
      <c r="B10" s="3" t="s">
        <v>27</v>
      </c>
      <c r="C10" s="3"/>
      <c r="D10" s="11" t="s">
        <v>44</v>
      </c>
      <c r="E10" s="11" t="s">
        <v>33</v>
      </c>
      <c r="F10" s="11" t="s">
        <v>26</v>
      </c>
      <c r="G10" s="11" t="s">
        <v>42</v>
      </c>
      <c r="H10" s="11" t="s">
        <v>43</v>
      </c>
      <c r="I10" s="11" t="s">
        <v>47</v>
      </c>
      <c r="J10" s="11" t="s">
        <v>48</v>
      </c>
      <c r="K10" s="16" t="s">
        <v>49</v>
      </c>
      <c r="L10" s="16" t="s">
        <v>50</v>
      </c>
      <c r="M10" s="16" t="s">
        <v>51</v>
      </c>
      <c r="N10" s="11" t="s">
        <v>41</v>
      </c>
      <c r="O10" s="2"/>
      <c r="P10" s="2"/>
    </row>
    <row r="11" spans="1:16" x14ac:dyDescent="0.3">
      <c r="A11" s="8" t="s">
        <v>5</v>
      </c>
      <c r="B11" s="8">
        <v>65</v>
      </c>
      <c r="C11" s="20">
        <v>0</v>
      </c>
      <c r="D11" s="26">
        <f>$F$3*$F$6</f>
        <v>107301.14535809772</v>
      </c>
      <c r="E11" s="12">
        <f>F3-D11</f>
        <v>1392698.8546419023</v>
      </c>
      <c r="F11" s="7">
        <f ca="1">RAND()*0.04+0.01</f>
        <v>4.418313638104817E-2</v>
      </c>
      <c r="G11" s="7">
        <f ca="1">_xll.PsiNormal(0.14083,0.120652352235669, _xll.PsiTruncate(-1E+30,1E+30))</f>
        <v>9.0326544752910951E-2</v>
      </c>
      <c r="H11" s="7">
        <f ca="1">_xll.PsiErf(11.1848068728951, _xll.PsiTruncate(-1E+30,1E+30))</f>
        <v>-0.12648124696081742</v>
      </c>
      <c r="I11" s="12">
        <f t="shared" ref="I11:I31" ca="1" si="0">($H$3*E11)*G11</f>
        <v>99442.162101934358</v>
      </c>
      <c r="J11" s="12">
        <f ca="1">(E11*$H$5)*H11</f>
        <v>-36904.745974998463</v>
      </c>
      <c r="K11">
        <f ca="1">IF($K$3=1,1,0)</f>
        <v>0</v>
      </c>
      <c r="L11" s="7"/>
      <c r="M11" s="7"/>
      <c r="N11" s="12">
        <f t="shared" ref="N11:N31" ca="1" si="1">IF(K11=0,(E11+I11+J11),((($H$3*E11)*L11)+(($H$5*E11)*M11)+E11))</f>
        <v>1455236.2707688382</v>
      </c>
    </row>
    <row r="12" spans="1:16" x14ac:dyDescent="0.3">
      <c r="A12" s="8" t="s">
        <v>6</v>
      </c>
      <c r="B12" s="8">
        <v>66</v>
      </c>
      <c r="C12" s="19">
        <v>1</v>
      </c>
      <c r="D12" s="18">
        <f ca="1">D11*(1+F11)</f>
        <v>112042.04649729723</v>
      </c>
      <c r="E12" s="15">
        <f ca="1">N11-D12</f>
        <v>1343194.224271541</v>
      </c>
      <c r="F12" s="7">
        <f t="shared" ref="F12:F31" ca="1" si="2">RAND()*0.04+0.01</f>
        <v>3.1166752956063713E-2</v>
      </c>
      <c r="G12" s="7">
        <f ca="1">_xll.PsiNormal(0.14083,0.120652352235669, _xll.PsiTruncate(-1E+30,1E+30))</f>
        <v>-3.8532035814895338E-2</v>
      </c>
      <c r="H12" s="7">
        <f ca="1">_xll.PsiErf(11.1848068728951, _xll.PsiTruncate(-1E+30,1E+30))</f>
        <v>1.3797996102639584E-2</v>
      </c>
      <c r="I12" s="12">
        <f t="shared" ca="1" si="0"/>
        <v>-40912.753877833893</v>
      </c>
      <c r="J12" s="12">
        <f t="shared" ref="J12:J31" ca="1" si="3">(E12*$H$5)*H12</f>
        <v>3882.8775678785601</v>
      </c>
      <c r="K12">
        <f ca="1">IF($K$3=2,1,0)</f>
        <v>0</v>
      </c>
      <c r="L12" s="7"/>
      <c r="M12" s="7"/>
      <c r="N12" s="12">
        <f t="shared" ca="1" si="1"/>
        <v>1306164.3479615855</v>
      </c>
    </row>
    <row r="13" spans="1:16" x14ac:dyDescent="0.3">
      <c r="A13" s="8" t="s">
        <v>7</v>
      </c>
      <c r="B13" s="8">
        <v>67</v>
      </c>
      <c r="C13" s="19">
        <v>2</v>
      </c>
      <c r="D13" s="18">
        <f t="shared" ref="D13:D30" ca="1" si="4">D12*(1+F12)</f>
        <v>115534.0332811703</v>
      </c>
      <c r="E13" s="15">
        <f ca="1">N12-D13</f>
        <v>1190630.3146804152</v>
      </c>
      <c r="F13" s="7">
        <f t="shared" ca="1" si="2"/>
        <v>1.3053416767153898E-2</v>
      </c>
      <c r="G13" s="7">
        <f ca="1">_xll.PsiNormal(0.14083,0.120652352235669, _xll.PsiTruncate(-1E+30,1E+30))</f>
        <v>2.7563192161086658E-3</v>
      </c>
      <c r="H13" s="7">
        <f ca="1">_xll.PsiErf(11.1848068728951, _xll.PsiTruncate(-1E+30,1E+30))</f>
        <v>3.4279212145809146E-2</v>
      </c>
      <c r="I13" s="12">
        <f t="shared" ca="1" si="0"/>
        <v>2594.2055918271876</v>
      </c>
      <c r="J13" s="12">
        <f t="shared" ca="1" si="3"/>
        <v>8550.797685538837</v>
      </c>
      <c r="K13">
        <f ca="1">IF($K$3=3,1,0)</f>
        <v>0</v>
      </c>
      <c r="L13" s="7"/>
      <c r="M13" s="7"/>
      <c r="N13" s="12">
        <f t="shared" ca="1" si="1"/>
        <v>1201775.3179577813</v>
      </c>
    </row>
    <row r="14" spans="1:16" x14ac:dyDescent="0.3">
      <c r="A14" s="8" t="s">
        <v>8</v>
      </c>
      <c r="B14" s="8">
        <v>68</v>
      </c>
      <c r="C14" s="19">
        <v>3</v>
      </c>
      <c r="D14" s="18">
        <f ca="1">D13*(1+F13)</f>
        <v>117042.14716837964</v>
      </c>
      <c r="E14" s="15">
        <f t="shared" ref="E14:E31" ca="1" si="5">N13-D14</f>
        <v>1084733.1707894015</v>
      </c>
      <c r="F14" s="7">
        <f t="shared" ca="1" si="2"/>
        <v>2.659769537943385E-2</v>
      </c>
      <c r="G14" s="7">
        <f ca="1">_xll.PsiNormal(0.14083,0.120652352235669, _xll.PsiTruncate(-1E+30,1E+30))</f>
        <v>0.26589244543022017</v>
      </c>
      <c r="H14" s="7">
        <f ca="1">_xll.PsiErf(11.1848068728951, _xll.PsiTruncate(-1E+30,1E+30))</f>
        <v>-9.6296717145166813E-2</v>
      </c>
      <c r="I14" s="12">
        <f t="shared" ca="1" si="0"/>
        <v>227995.80775659089</v>
      </c>
      <c r="J14" s="12">
        <f t="shared" ca="1" si="3"/>
        <v>-21884.33055716375</v>
      </c>
      <c r="K14">
        <f ca="1">IF($K$3=4,1,0)</f>
        <v>0</v>
      </c>
      <c r="L14" s="7"/>
      <c r="M14" s="7"/>
      <c r="N14" s="12">
        <f t="shared" ca="1" si="1"/>
        <v>1290844.6479888286</v>
      </c>
    </row>
    <row r="15" spans="1:16" x14ac:dyDescent="0.3">
      <c r="A15" s="8" t="s">
        <v>9</v>
      </c>
      <c r="B15" s="8">
        <v>69</v>
      </c>
      <c r="C15" s="19">
        <v>4</v>
      </c>
      <c r="D15" s="18">
        <f t="shared" ca="1" si="4"/>
        <v>120155.19854531906</v>
      </c>
      <c r="E15" s="15">
        <f t="shared" ca="1" si="5"/>
        <v>1170689.4494435096</v>
      </c>
      <c r="F15" s="7">
        <f t="shared" ca="1" si="2"/>
        <v>4.4268299067615438E-2</v>
      </c>
      <c r="G15" s="7">
        <f ca="1">_xll.PsiNormal(0.14083,0.120652352235669, _xll.PsiTruncate(-1E+30,1E+30))</f>
        <v>-4.9143453819112504E-2</v>
      </c>
      <c r="H15" s="7">
        <f ca="1">_xll.PsiErf(11.1848068728951, _xll.PsiTruncate(-1E+30,1E+30))</f>
        <v>8.278120751131586E-2</v>
      </c>
      <c r="I15" s="12">
        <f t="shared" ca="1" si="0"/>
        <v>-45478.41520123637</v>
      </c>
      <c r="J15" s="12">
        <f t="shared" ca="1" si="3"/>
        <v>20303.566149186201</v>
      </c>
      <c r="K15">
        <f ca="1">IF($K$3=5,1,0)</f>
        <v>0</v>
      </c>
      <c r="L15" s="7"/>
      <c r="M15" s="7"/>
      <c r="N15" s="12">
        <f t="shared" ca="1" si="1"/>
        <v>1145514.6003914594</v>
      </c>
    </row>
    <row r="16" spans="1:16" x14ac:dyDescent="0.3">
      <c r="A16" s="8" t="s">
        <v>10</v>
      </c>
      <c r="B16" s="8">
        <v>70</v>
      </c>
      <c r="C16" s="19">
        <v>5</v>
      </c>
      <c r="D16" s="18">
        <f t="shared" ca="1" si="4"/>
        <v>125474.26480905197</v>
      </c>
      <c r="E16" s="15">
        <f t="shared" ca="1" si="5"/>
        <v>1020040.3355824074</v>
      </c>
      <c r="F16" s="7">
        <f t="shared" ca="1" si="2"/>
        <v>3.4819534934025967E-2</v>
      </c>
      <c r="G16" s="7">
        <f ca="1">_xll.PsiNormal(0.14083,0.120652352235669, _xll.PsiTruncate(-1E+30,1E+30))</f>
        <v>0.29132885970919153</v>
      </c>
      <c r="H16" s="7">
        <f ca="1">_xll.PsiErf(11.1848068728951, _xll.PsiTruncate(-1E+30,1E+30))</f>
        <v>1.626405627346704E-2</v>
      </c>
      <c r="I16" s="12">
        <f t="shared" ca="1" si="0"/>
        <v>234908.53518478826</v>
      </c>
      <c r="J16" s="12">
        <f t="shared" ca="1" si="3"/>
        <v>3475.7223538458857</v>
      </c>
      <c r="K16">
        <f ca="1">IF($K$3=6,1,0)</f>
        <v>0</v>
      </c>
      <c r="L16" s="7" t="str">
        <f ca="1">IF(K16=1,$M$7,"-")</f>
        <v>-</v>
      </c>
      <c r="M16" s="7" t="str">
        <f ca="1">IF(K16=1,$M$7/2,"-")</f>
        <v>-</v>
      </c>
      <c r="N16" s="12">
        <f t="shared" ca="1" si="1"/>
        <v>1258424.5931210415</v>
      </c>
    </row>
    <row r="17" spans="1:14" x14ac:dyDescent="0.3">
      <c r="A17" s="8" t="s">
        <v>11</v>
      </c>
      <c r="B17" s="8">
        <v>71</v>
      </c>
      <c r="C17" s="19">
        <v>6</v>
      </c>
      <c r="D17" s="18">
        <f t="shared" ca="1" si="4"/>
        <v>129843.22035589197</v>
      </c>
      <c r="E17" s="15">
        <f t="shared" ca="1" si="5"/>
        <v>1128581.3727651495</v>
      </c>
      <c r="F17" s="7">
        <f t="shared" ca="1" si="2"/>
        <v>2.5544620545696749E-2</v>
      </c>
      <c r="G17" s="7">
        <f ca="1">_xll.PsiNormal(0.14083,0.120652352235669, _xll.PsiTruncate(-1E+30,1E+30))</f>
        <v>0.2492222915049192</v>
      </c>
      <c r="H17" s="7">
        <f ca="1">_xll.PsiErf(11.1848068728951, _xll.PsiTruncate(-1E+30,1E+30))</f>
        <v>3.1241811615775307E-2</v>
      </c>
      <c r="I17" s="12">
        <f t="shared" ca="1" si="0"/>
        <v>222340.05315762642</v>
      </c>
      <c r="J17" s="12">
        <f t="shared" ca="1" si="3"/>
        <v>7386.9974750872616</v>
      </c>
      <c r="K17">
        <f ca="1">IF($K$3=7,1,0)</f>
        <v>1</v>
      </c>
      <c r="L17" s="7">
        <f ca="1">IF(K17=1,$M$7,"-")</f>
        <v>-0.35144487583325107</v>
      </c>
      <c r="M17" s="7">
        <f t="shared" ref="M17:M19" ca="1" si="6">IF(K17=1,$M$7/2,"-")</f>
        <v>-0.17572243791662553</v>
      </c>
      <c r="N17" s="12">
        <f t="shared" ca="1" si="1"/>
        <v>773496.07788574672</v>
      </c>
    </row>
    <row r="18" spans="1:14" x14ac:dyDescent="0.3">
      <c r="A18" s="8" t="s">
        <v>12</v>
      </c>
      <c r="B18" s="8">
        <v>72</v>
      </c>
      <c r="C18" s="19">
        <v>7</v>
      </c>
      <c r="D18" s="18">
        <f t="shared" ca="1" si="4"/>
        <v>133160.01615031454</v>
      </c>
      <c r="E18" s="15">
        <f t="shared" ca="1" si="5"/>
        <v>640336.06173543213</v>
      </c>
      <c r="F18" s="7">
        <f t="shared" ca="1" si="2"/>
        <v>1.6610966190846975E-2</v>
      </c>
      <c r="G18" s="7">
        <f ca="1">_xll.PsiNormal(0.14083,0.120652352235669, _xll.PsiTruncate(-1E+30,1E+30))</f>
        <v>0.19476477193204542</v>
      </c>
      <c r="H18" s="7">
        <f ca="1">_xll.PsiErf(11.1848068728951, _xll.PsiTruncate(-1E+30,1E+30))</f>
        <v>-4.282532195908724E-2</v>
      </c>
      <c r="I18" s="12">
        <f t="shared" ca="1" si="0"/>
        <v>98586.241433050323</v>
      </c>
      <c r="J18" s="12">
        <f t="shared" ca="1" si="3"/>
        <v>-5745.2305423802181</v>
      </c>
      <c r="K18">
        <f ca="1">IF($K$3=8,1,0)</f>
        <v>0</v>
      </c>
      <c r="L18" s="7" t="str">
        <f ca="1">IF(K18=1,$M$7,"-")</f>
        <v>-</v>
      </c>
      <c r="M18" s="7" t="str">
        <f t="shared" ca="1" si="6"/>
        <v>-</v>
      </c>
      <c r="N18" s="12">
        <f t="shared" ca="1" si="1"/>
        <v>733177.07262610225</v>
      </c>
    </row>
    <row r="19" spans="1:14" x14ac:dyDescent="0.3">
      <c r="A19" s="8" t="s">
        <v>13</v>
      </c>
      <c r="B19" s="8">
        <v>73</v>
      </c>
      <c r="C19" s="19">
        <v>8</v>
      </c>
      <c r="D19" s="18">
        <f t="shared" ca="1" si="4"/>
        <v>135371.93267656004</v>
      </c>
      <c r="E19" s="15">
        <f t="shared" ca="1" si="5"/>
        <v>597805.13994954224</v>
      </c>
      <c r="F19" s="7">
        <f t="shared" ca="1" si="2"/>
        <v>2.8006582935951478E-2</v>
      </c>
      <c r="G19" s="7">
        <f ca="1">_xll.PsiNormal(0.14083,0.120652352235669, _xll.PsiTruncate(-1E+30,1E+30))</f>
        <v>0.16404485975325631</v>
      </c>
      <c r="H19" s="7">
        <f ca="1">_xll.PsiErf(11.1848068728951, _xll.PsiTruncate(-1E+30,1E+30))</f>
        <v>9.7872641255196999E-2</v>
      </c>
      <c r="I19" s="12">
        <f t="shared" ca="1" si="0"/>
        <v>77521.151248535316</v>
      </c>
      <c r="J19" s="12">
        <f t="shared" ca="1" si="3"/>
        <v>12258.005636635209</v>
      </c>
      <c r="K19">
        <f ca="1">IF($K$3=9,1,0)</f>
        <v>0</v>
      </c>
      <c r="L19" s="7" t="str">
        <f ca="1">IF(K19=1,$M$7,"-")</f>
        <v>-</v>
      </c>
      <c r="M19" s="7" t="str">
        <f t="shared" ca="1" si="6"/>
        <v>-</v>
      </c>
      <c r="N19" s="12">
        <f t="shared" ca="1" si="1"/>
        <v>687584.29683471285</v>
      </c>
    </row>
    <row r="20" spans="1:14" x14ac:dyDescent="0.3">
      <c r="A20" s="8" t="s">
        <v>14</v>
      </c>
      <c r="B20" s="8">
        <v>74</v>
      </c>
      <c r="C20" s="19">
        <v>9</v>
      </c>
      <c r="D20" s="18">
        <f t="shared" ca="1" si="4"/>
        <v>139163.23793626617</v>
      </c>
      <c r="E20" s="15">
        <f t="shared" ca="1" si="5"/>
        <v>548421.05889844662</v>
      </c>
      <c r="F20" s="7">
        <f t="shared" ca="1" si="2"/>
        <v>2.5752797044359205E-2</v>
      </c>
      <c r="G20" s="7">
        <f ca="1">_xll.PsiNormal(0.14083,0.120652352235669, _xll.PsiTruncate(-1E+30,1E+30))</f>
        <v>0.21349716324698198</v>
      </c>
      <c r="H20" s="7">
        <f ca="1">_xll.PsiErf(11.1848068728951, _xll.PsiTruncate(-1E+30,1E+30))</f>
        <v>2.6399522782867311E-2</v>
      </c>
      <c r="I20" s="12">
        <f t="shared" ca="1" si="0"/>
        <v>92555.914066028374</v>
      </c>
      <c r="J20" s="12">
        <f t="shared" ca="1" si="3"/>
        <v>3033.2559807210382</v>
      </c>
      <c r="K20">
        <f ca="1">IF($K$3=10,1,0)</f>
        <v>0</v>
      </c>
      <c r="L20" s="7"/>
      <c r="M20" s="7"/>
      <c r="N20" s="12">
        <f t="shared" ca="1" si="1"/>
        <v>644010.22894519602</v>
      </c>
    </row>
    <row r="21" spans="1:14" x14ac:dyDescent="0.3">
      <c r="A21" s="8" t="s">
        <v>15</v>
      </c>
      <c r="B21" s="8">
        <v>75</v>
      </c>
      <c r="C21" s="19">
        <v>10</v>
      </c>
      <c r="D21" s="18">
        <f t="shared" ca="1" si="4"/>
        <v>142747.0805588747</v>
      </c>
      <c r="E21" s="15">
        <f t="shared" ca="1" si="5"/>
        <v>501263.14838632132</v>
      </c>
      <c r="F21" s="7">
        <f t="shared" ca="1" si="2"/>
        <v>3.8866484234332435E-2</v>
      </c>
      <c r="G21" s="7">
        <f ca="1">_xll.PsiNormal(0.14083,0.120652352235669, _xll.PsiTruncate(-1E+30,1E+30))</f>
        <v>0.39784931662116152</v>
      </c>
      <c r="H21" s="7">
        <f ca="1">_xll.PsiErf(11.1848068728951, _xll.PsiTruncate(-1E+30,1E+30))</f>
        <v>-8.1546371189316E-2</v>
      </c>
      <c r="I21" s="12">
        <f t="shared" ca="1" si="0"/>
        <v>157645.77514055654</v>
      </c>
      <c r="J21" s="12">
        <f t="shared" ca="1" si="3"/>
        <v>-8563.8545104698296</v>
      </c>
      <c r="K21">
        <f ca="1">IF($K$3=11,1,0)</f>
        <v>0</v>
      </c>
      <c r="L21" s="7"/>
      <c r="M21" s="7"/>
      <c r="N21" s="12">
        <f t="shared" ca="1" si="1"/>
        <v>650345.06901640806</v>
      </c>
    </row>
    <row r="22" spans="1:14" x14ac:dyDescent="0.3">
      <c r="A22" s="8" t="s">
        <v>16</v>
      </c>
      <c r="B22" s="8">
        <v>76</v>
      </c>
      <c r="C22" s="19">
        <v>11</v>
      </c>
      <c r="D22" s="18">
        <f t="shared" ca="1" si="4"/>
        <v>148295.15771491319</v>
      </c>
      <c r="E22" s="15">
        <f t="shared" ca="1" si="5"/>
        <v>502049.91130149487</v>
      </c>
      <c r="F22" s="7">
        <f ca="1">RAND()*0.04+0.01</f>
        <v>1.528984727605185E-2</v>
      </c>
      <c r="G22" s="7">
        <f ca="1">_xll.PsiNormal(0.14083,0.120652352235669, _xll.PsiTruncate(-1E+30,1E+30))</f>
        <v>3.050151620743731E-2</v>
      </c>
      <c r="H22" s="7">
        <f ca="1">_xll.PsiErf(11.1848068728951, _xll.PsiTruncate(-1E+30,1E+30))</f>
        <v>-3.0822872918269142E-2</v>
      </c>
      <c r="I22" s="12">
        <f t="shared" ca="1" si="0"/>
        <v>12105.041016607314</v>
      </c>
      <c r="J22" s="12">
        <f t="shared" ca="1" si="3"/>
        <v>-3242.0437687289727</v>
      </c>
      <c r="K22">
        <f ca="1">IF($K$3=12,1,0)</f>
        <v>0</v>
      </c>
      <c r="L22" s="7"/>
      <c r="M22" s="7"/>
      <c r="N22" s="12">
        <f t="shared" ca="1" si="1"/>
        <v>510912.90854937321</v>
      </c>
    </row>
    <row r="23" spans="1:14" x14ac:dyDescent="0.3">
      <c r="A23" s="8" t="s">
        <v>17</v>
      </c>
      <c r="B23" s="8">
        <v>77</v>
      </c>
      <c r="C23" s="19">
        <v>12</v>
      </c>
      <c r="D23" s="18">
        <f t="shared" ca="1" si="4"/>
        <v>150562.56802815225</v>
      </c>
      <c r="E23" s="15">
        <f t="shared" ca="1" si="5"/>
        <v>360350.34052122093</v>
      </c>
      <c r="F23" s="7">
        <f t="shared" ca="1" si="2"/>
        <v>3.6939908951518566E-2</v>
      </c>
      <c r="G23" s="7">
        <f ca="1">_xll.PsiNormal(0.14083,0.120652352235669, _xll.PsiTruncate(-1E+30,1E+30))</f>
        <v>0.21708275410294059</v>
      </c>
      <c r="H23" s="7">
        <f ca="1">_xll.PsiErf(11.1848068728951, _xll.PsiTruncate(-1E+30,1E+30))</f>
        <v>5.6937794152968887E-2</v>
      </c>
      <c r="I23" s="12">
        <f t="shared" ca="1" si="0"/>
        <v>61836.970115643628</v>
      </c>
      <c r="J23" s="12">
        <f t="shared" ca="1" si="3"/>
        <v>4298.5743022742618</v>
      </c>
      <c r="K23">
        <f ca="1">IF($K$3=13,1,0)</f>
        <v>0</v>
      </c>
      <c r="L23" s="7"/>
      <c r="M23" s="7"/>
      <c r="N23" s="12">
        <f t="shared" ca="1" si="1"/>
        <v>426485.88493913884</v>
      </c>
    </row>
    <row r="24" spans="1:14" x14ac:dyDescent="0.3">
      <c r="A24" s="8" t="s">
        <v>18</v>
      </c>
      <c r="B24" s="8">
        <v>78</v>
      </c>
      <c r="C24" s="19">
        <v>13</v>
      </c>
      <c r="D24" s="18">
        <f t="shared" ca="1" si="4"/>
        <v>156124.33558261901</v>
      </c>
      <c r="E24" s="15">
        <f t="shared" ca="1" si="5"/>
        <v>270361.54935651983</v>
      </c>
      <c r="F24" s="7">
        <f t="shared" ca="1" si="2"/>
        <v>4.8976796045707843E-2</v>
      </c>
      <c r="G24" s="7">
        <f ca="1">_xll.PsiNormal(0.14083,0.120652352235669, _xll.PsiTruncate(-1E+30,1E+30))</f>
        <v>0.1397021851116676</v>
      </c>
      <c r="H24" s="7">
        <f ca="1">_xll.PsiErf(11.1848068728951, _xll.PsiTruncate(-1E+30,1E+30))</f>
        <v>8.7884505336073768E-3</v>
      </c>
      <c r="I24" s="12">
        <f t="shared" ca="1" si="0"/>
        <v>29856.993113729906</v>
      </c>
      <c r="J24" s="12">
        <f t="shared" ca="1" si="3"/>
        <v>497.80138718007214</v>
      </c>
      <c r="K24">
        <f ca="1">IF($K$3=14,1,0)</f>
        <v>0</v>
      </c>
      <c r="L24" s="7"/>
      <c r="M24" s="7"/>
      <c r="N24" s="12">
        <f t="shared" ca="1" si="1"/>
        <v>300716.34385742981</v>
      </c>
    </row>
    <row r="25" spans="1:14" x14ac:dyDescent="0.3">
      <c r="A25" s="8" t="s">
        <v>19</v>
      </c>
      <c r="B25" s="8">
        <v>79</v>
      </c>
      <c r="C25" s="19">
        <v>14</v>
      </c>
      <c r="D25" s="18">
        <f t="shared" ca="1" si="4"/>
        <v>163770.80532422059</v>
      </c>
      <c r="E25" s="15">
        <f t="shared" ca="1" si="5"/>
        <v>136945.53853320921</v>
      </c>
      <c r="F25" s="7">
        <f t="shared" ca="1" si="2"/>
        <v>4.9293289470206204E-2</v>
      </c>
      <c r="G25" s="7">
        <f ca="1">_xll.PsiNormal(0.14083,0.120652352235669, _xll.PsiTruncate(-1E+30,1E+30))</f>
        <v>-6.3956173309206998E-2</v>
      </c>
      <c r="H25" s="7">
        <f ca="1">_xll.PsiErf(11.1848068728951, _xll.PsiTruncate(-1E+30,1E+30))</f>
        <v>-8.0866714591671565E-2</v>
      </c>
      <c r="I25" s="12">
        <f t="shared" ca="1" si="0"/>
        <v>-6923.5415238203168</v>
      </c>
      <c r="J25" s="12">
        <f t="shared" ca="1" si="3"/>
        <v>-2320.1526033935006</v>
      </c>
      <c r="K25">
        <f ca="1">IF($K$3=15,1,0)</f>
        <v>0</v>
      </c>
      <c r="L25" s="7"/>
      <c r="M25" s="7"/>
      <c r="N25" s="12">
        <f t="shared" ca="1" si="1"/>
        <v>127701.84440599539</v>
      </c>
    </row>
    <row r="26" spans="1:14" x14ac:dyDescent="0.3">
      <c r="A26" s="8" t="s">
        <v>20</v>
      </c>
      <c r="B26" s="8">
        <v>80</v>
      </c>
      <c r="C26" s="19">
        <v>15</v>
      </c>
      <c r="D26" s="18">
        <f t="shared" ca="1" si="4"/>
        <v>171843.60703783619</v>
      </c>
      <c r="E26" s="15">
        <f t="shared" ca="1" si="5"/>
        <v>-44141.7626318408</v>
      </c>
      <c r="F26" s="7">
        <f t="shared" ca="1" si="2"/>
        <v>3.9162394439018242E-2</v>
      </c>
      <c r="G26" s="7">
        <f ca="1">_xll.PsiNormal(0.14083,0.120652352235669, _xll.PsiTruncate(-1E+30,1E+30))</f>
        <v>-3.2645331935063415E-2</v>
      </c>
      <c r="H26" s="7">
        <f ca="1">_xll.PsiErf(11.1848068728951, _xll.PsiTruncate(-1E+30,1E+30))</f>
        <v>8.4382839888829889E-3</v>
      </c>
      <c r="I26" s="12">
        <f t="shared" ca="1" si="0"/>
        <v>1139.1179677450968</v>
      </c>
      <c r="J26" s="12">
        <f t="shared" ca="1" si="3"/>
        <v>-78.037378494333453</v>
      </c>
      <c r="K26">
        <f ca="1">IF($K$3=16,1,0)</f>
        <v>0</v>
      </c>
      <c r="L26" s="7"/>
      <c r="M26" s="7"/>
      <c r="N26" s="12">
        <f t="shared" ca="1" si="1"/>
        <v>-43080.682042590037</v>
      </c>
    </row>
    <row r="27" spans="1:14" x14ac:dyDescent="0.3">
      <c r="A27" s="8" t="s">
        <v>21</v>
      </c>
      <c r="B27" s="8">
        <v>81</v>
      </c>
      <c r="C27" s="19">
        <v>16</v>
      </c>
      <c r="D27" s="18">
        <f t="shared" ca="1" si="4"/>
        <v>178573.41415847559</v>
      </c>
      <c r="E27" s="15">
        <f t="shared" ca="1" si="5"/>
        <v>-221654.09620106564</v>
      </c>
      <c r="F27" s="7">
        <f t="shared" ca="1" si="2"/>
        <v>2.7764390484534468E-2</v>
      </c>
      <c r="G27" s="7">
        <f ca="1">_xll.PsiNormal(0.14083,0.120652352235669, _xll.PsiTruncate(-1E+30,1E+30))</f>
        <v>8.3635423856391264E-2</v>
      </c>
      <c r="H27" s="7">
        <f ca="1">_xll.PsiErf(11.1848068728951, _xll.PsiTruncate(-1E+30,1E+30))</f>
        <v>-4.4968156602794962E-2</v>
      </c>
      <c r="I27" s="12">
        <f t="shared" ca="1" si="0"/>
        <v>-14654.262477370066</v>
      </c>
      <c r="J27" s="12">
        <f t="shared" ca="1" si="3"/>
        <v>2088.2366302492624</v>
      </c>
      <c r="K27">
        <f ca="1">IF($K$3=17,1,0)</f>
        <v>0</v>
      </c>
      <c r="L27" s="7"/>
      <c r="M27" s="7"/>
      <c r="N27" s="12">
        <f t="shared" ca="1" si="1"/>
        <v>-234220.12204818643</v>
      </c>
    </row>
    <row r="28" spans="1:14" x14ac:dyDescent="0.3">
      <c r="A28" s="8" t="s">
        <v>22</v>
      </c>
      <c r="B28" s="8">
        <v>82</v>
      </c>
      <c r="C28" s="19">
        <v>17</v>
      </c>
      <c r="D28" s="18">
        <f t="shared" ca="1" si="4"/>
        <v>183531.396159328</v>
      </c>
      <c r="E28" s="15">
        <f t="shared" ca="1" si="5"/>
        <v>-417751.51820751443</v>
      </c>
      <c r="F28" s="7">
        <f t="shared" ca="1" si="2"/>
        <v>1.3428095901423968E-2</v>
      </c>
      <c r="G28" s="7">
        <f ca="1">_xll.PsiNormal(0.14083,0.120652352235669, _xll.PsiTruncate(-1E+30,1E+30))</f>
        <v>-2.6487377508700255E-2</v>
      </c>
      <c r="H28" s="7">
        <f ca="1">_xll.PsiErf(11.1848068728951, _xll.PsiTruncate(-1E+30,1E+30))</f>
        <v>2.9892767916311559E-2</v>
      </c>
      <c r="I28" s="12">
        <f t="shared" ca="1" si="0"/>
        <v>8746.9156916236243</v>
      </c>
      <c r="J28" s="12">
        <f t="shared" ca="1" si="3"/>
        <v>-2616.2728265907758</v>
      </c>
      <c r="K28">
        <f ca="1">IF($K$3=18,1,0)</f>
        <v>0</v>
      </c>
      <c r="L28" s="7"/>
      <c r="M28" s="7"/>
      <c r="N28" s="12">
        <f t="shared" ca="1" si="1"/>
        <v>-411620.87534248154</v>
      </c>
    </row>
    <row r="29" spans="1:14" x14ac:dyDescent="0.3">
      <c r="A29" s="8" t="s">
        <v>23</v>
      </c>
      <c r="B29" s="8">
        <v>83</v>
      </c>
      <c r="C29" s="19">
        <v>18</v>
      </c>
      <c r="D29" s="18">
        <f t="shared" ca="1" si="4"/>
        <v>185995.87334787767</v>
      </c>
      <c r="E29" s="15">
        <f t="shared" ca="1" si="5"/>
        <v>-597616.74869035918</v>
      </c>
      <c r="F29" s="7">
        <f t="shared" ca="1" si="2"/>
        <v>4.3037708633953474E-2</v>
      </c>
      <c r="G29" s="7">
        <f ca="1">_xll.PsiNormal(0.14083,0.120652352235669, _xll.PsiTruncate(-1E+30,1E+30))</f>
        <v>0.13315504223853544</v>
      </c>
      <c r="H29" s="7">
        <f ca="1">_xll.PsiErf(11.1848068728951, _xll.PsiTruncate(-1E+30,1E+30))</f>
        <v>1.3342099194871625E-2</v>
      </c>
      <c r="I29" s="12">
        <f t="shared" ca="1" si="0"/>
        <v>-62904.008225650825</v>
      </c>
      <c r="J29" s="12">
        <f t="shared" ca="1" si="3"/>
        <v>-1670.4973418388813</v>
      </c>
      <c r="K29">
        <f ca="1">IF($K$3=19,1,0)</f>
        <v>0</v>
      </c>
      <c r="L29" s="7"/>
      <c r="M29" s="7"/>
      <c r="N29" s="12">
        <f t="shared" ca="1" si="1"/>
        <v>-662191.25425784895</v>
      </c>
    </row>
    <row r="30" spans="1:14" x14ac:dyDescent="0.3">
      <c r="A30" s="8" t="s">
        <v>24</v>
      </c>
      <c r="B30" s="8">
        <v>84</v>
      </c>
      <c r="C30" s="19">
        <v>19</v>
      </c>
      <c r="D30" s="18">
        <f t="shared" ca="1" si="4"/>
        <v>194000.70955214134</v>
      </c>
      <c r="E30" s="15">
        <f t="shared" ca="1" si="5"/>
        <v>-856191.96380999032</v>
      </c>
      <c r="F30" s="7">
        <f t="shared" ca="1" si="2"/>
        <v>4.5583609775827413E-2</v>
      </c>
      <c r="G30" s="7">
        <f ca="1">_xll.PsiNormal(0.14083,0.120652352235669, _xll.PsiTruncate(-1E+30,1E+30))</f>
        <v>7.3271421623902433E-2</v>
      </c>
      <c r="H30" s="7">
        <f ca="1">_xll.PsiErf(11.1848068728951, _xll.PsiTruncate(-1E+30,1E+30))</f>
        <v>-4.2569691042624825E-3</v>
      </c>
      <c r="I30" s="12">
        <f t="shared" ca="1" si="0"/>
        <v>-49591.09609213275</v>
      </c>
      <c r="J30" s="12">
        <f t="shared" ca="1" si="3"/>
        <v>763.60806871668524</v>
      </c>
      <c r="K30">
        <f ca="1">IF($K$3=20,1,0)</f>
        <v>0</v>
      </c>
      <c r="L30" s="7"/>
      <c r="M30" s="7"/>
      <c r="N30" s="12">
        <f t="shared" ca="1" si="1"/>
        <v>-905019.45183340635</v>
      </c>
    </row>
    <row r="31" spans="1:14" x14ac:dyDescent="0.3">
      <c r="A31" s="10" t="s">
        <v>36</v>
      </c>
      <c r="B31" s="8">
        <v>85</v>
      </c>
      <c r="C31" s="19">
        <v>20</v>
      </c>
      <c r="D31" s="18">
        <f ca="1">D30*(1+F30)</f>
        <v>202843.96219259978</v>
      </c>
      <c r="E31" s="15">
        <f t="shared" ca="1" si="5"/>
        <v>-1107863.4140260061</v>
      </c>
      <c r="F31" s="7">
        <f t="shared" ca="1" si="2"/>
        <v>1.5381875872138663E-2</v>
      </c>
      <c r="G31" s="7">
        <f ca="1">_xll.PsiNormal(0.14083,0.120652352235669, _xll.PsiTruncate(-1E+30,1E+30))</f>
        <v>0.2808265690842191</v>
      </c>
      <c r="H31" s="7">
        <f ca="1">_xll.PsiErf(11.1848068728951, _xll.PsiTruncate(-1E+30,1E+30))</f>
        <v>5.9921147749078161E-4</v>
      </c>
      <c r="I31" s="12">
        <f t="shared" ca="1" si="0"/>
        <v>-245936.14255540623</v>
      </c>
      <c r="J31" s="12">
        <f t="shared" ca="1" si="3"/>
        <v>-139.08016818364868</v>
      </c>
      <c r="K31">
        <f ca="1">IF($K$3=21,1,0)</f>
        <v>0</v>
      </c>
      <c r="L31" s="7"/>
      <c r="M31" s="7"/>
      <c r="N31" s="12">
        <f t="shared" ca="1" si="1"/>
        <v>-1353938.6367495961</v>
      </c>
    </row>
    <row r="33" spans="13:14" x14ac:dyDescent="0.3">
      <c r="M33" t="s">
        <v>52</v>
      </c>
      <c r="N33" cm="1">
        <f t="array" aca="1" ref="N33" ca="1">VLOOKUP($B$7,$C$11:$N$31,12)+ _xll.PsiOutput()</f>
        <v>644010.22894519602</v>
      </c>
    </row>
    <row r="34" spans="13:14" x14ac:dyDescent="0.3">
      <c r="M34" t="s">
        <v>1</v>
      </c>
      <c r="N34" t="e" cm="1">
        <f t="array" aca="1" ref="N34" ca="1">_xll.PsiMean(N33)</f>
        <v>#N/A</v>
      </c>
    </row>
    <row r="36" spans="13:14" x14ac:dyDescent="0.3">
      <c r="M36" s="22" t="s">
        <v>53</v>
      </c>
      <c r="N36" t="e" cm="1">
        <f t="array" aca="1" ref="N36" ca="1">_xll.PsiTarget(N33,0)</f>
        <v>#N/A</v>
      </c>
    </row>
    <row r="37" spans="13:14" ht="28.8" x14ac:dyDescent="0.3">
      <c r="M37" s="22" t="s">
        <v>54</v>
      </c>
      <c r="N37" t="e" cm="1">
        <f t="array" aca="1" ref="N37" ca="1">1-_xll.PsiTarget(N33,250000)</f>
        <v>#N/A</v>
      </c>
    </row>
  </sheetData>
  <mergeCells count="2">
    <mergeCell ref="A2:B2"/>
    <mergeCell ref="L2:M2"/>
  </mergeCells>
  <phoneticPr fontId="4" type="noConversion"/>
  <pageMargins left="0.7" right="0.7" top="0.75" bottom="0.75" header="0.3" footer="0.3"/>
  <pageSetup orientation="portrait" r:id="rId1"/>
  <ignoredErrors>
    <ignoredError sqref="K12" formula="1"/>
  </ignoredErrors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r:id="rId5">
            <anchor moveWithCells="1">
              <from>
                <xdr:col>5</xdr:col>
                <xdr:colOff>228600</xdr:colOff>
                <xdr:row>32</xdr:row>
                <xdr:rowOff>91440</xdr:rowOff>
              </from>
              <to>
                <xdr:col>11</xdr:col>
                <xdr:colOff>441960</xdr:colOff>
                <xdr:row>48</xdr:row>
                <xdr:rowOff>167640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A99A-45B8-4A2B-93BE-D0EB96415FEC}">
  <dimension ref="A2:J12"/>
  <sheetViews>
    <sheetView workbookViewId="0">
      <selection activeCell="J3" sqref="J3"/>
    </sheetView>
  </sheetViews>
  <sheetFormatPr defaultRowHeight="14.4" x14ac:dyDescent="0.3"/>
  <cols>
    <col min="1" max="1" width="6.44140625" customWidth="1"/>
    <col min="4" max="4" width="11.77734375" bestFit="1" customWidth="1"/>
  </cols>
  <sheetData>
    <row r="2" spans="1:10" x14ac:dyDescent="0.3">
      <c r="A2" s="28" t="s">
        <v>34</v>
      </c>
      <c r="B2" s="28"/>
      <c r="D2" t="s">
        <v>38</v>
      </c>
      <c r="G2" s="28" t="s">
        <v>35</v>
      </c>
      <c r="H2" s="28"/>
      <c r="J2" t="s">
        <v>37</v>
      </c>
    </row>
    <row r="3" spans="1:10" x14ac:dyDescent="0.3">
      <c r="A3">
        <v>2019</v>
      </c>
      <c r="B3" s="7">
        <v>0.30840000000000001</v>
      </c>
      <c r="D3" s="7">
        <f ca="1">_xll.PsiNormal(0.14083,0.120652352235669, _xll.PsiTruncate(-1E+30,1E+30))</f>
        <v>-0.12525583969032794</v>
      </c>
      <c r="G3">
        <v>2019</v>
      </c>
      <c r="H3" s="7">
        <v>0.17130000000000001</v>
      </c>
      <c r="J3" s="7">
        <f ca="1">_xll.PsiErf(11.1848068728951, _xll.PsiTruncate(-1E+30,1E+30))</f>
        <v>-8.3742813384309486E-2</v>
      </c>
    </row>
    <row r="4" spans="1:10" x14ac:dyDescent="0.3">
      <c r="A4">
        <v>2018</v>
      </c>
      <c r="B4" s="7">
        <v>-5.1700000000000003E-2</v>
      </c>
      <c r="G4">
        <v>2018</v>
      </c>
      <c r="H4" s="7">
        <v>-3.7600000000000001E-2</v>
      </c>
    </row>
    <row r="5" spans="1:10" x14ac:dyDescent="0.3">
      <c r="A5">
        <v>2017</v>
      </c>
      <c r="B5" s="7">
        <v>0.21190000000000001</v>
      </c>
      <c r="G5">
        <v>2017</v>
      </c>
      <c r="H5" s="7">
        <v>7.1599999999999997E-2</v>
      </c>
    </row>
    <row r="6" spans="1:10" x14ac:dyDescent="0.3">
      <c r="A6">
        <v>2016</v>
      </c>
      <c r="B6" s="7">
        <v>0.1268</v>
      </c>
      <c r="G6">
        <v>2016</v>
      </c>
      <c r="H6" s="7">
        <v>5.9700000000000003E-2</v>
      </c>
    </row>
    <row r="7" spans="1:10" x14ac:dyDescent="0.3">
      <c r="A7">
        <v>2015</v>
      </c>
      <c r="B7" s="7">
        <v>4.0000000000000001E-3</v>
      </c>
      <c r="G7">
        <v>2015</v>
      </c>
      <c r="H7" s="7">
        <v>-1.0800000000000001E-2</v>
      </c>
    </row>
    <row r="8" spans="1:10" x14ac:dyDescent="0.3">
      <c r="A8">
        <v>2014</v>
      </c>
      <c r="B8" s="7">
        <v>0.1258</v>
      </c>
      <c r="G8">
        <v>2014</v>
      </c>
      <c r="H8" s="7">
        <v>8.5699999999999998E-2</v>
      </c>
    </row>
    <row r="9" spans="1:10" x14ac:dyDescent="0.3">
      <c r="A9">
        <v>2013</v>
      </c>
      <c r="B9" s="7">
        <v>0.33510000000000001</v>
      </c>
      <c r="G9">
        <v>2013</v>
      </c>
      <c r="H9" s="7">
        <v>-2.4899999999999999E-2</v>
      </c>
    </row>
    <row r="10" spans="1:10" x14ac:dyDescent="0.3">
      <c r="A10">
        <v>2012</v>
      </c>
      <c r="B10" s="7">
        <v>0.16439999999999999</v>
      </c>
      <c r="G10">
        <v>2012</v>
      </c>
      <c r="H10" s="7">
        <v>0.1168</v>
      </c>
    </row>
    <row r="11" spans="1:10" x14ac:dyDescent="0.3">
      <c r="A11">
        <v>2011</v>
      </c>
      <c r="B11" s="7">
        <v>1.0800000000000001E-2</v>
      </c>
      <c r="G11">
        <v>2011</v>
      </c>
      <c r="H11" s="7">
        <v>8.8900000000000007E-2</v>
      </c>
    </row>
    <row r="12" spans="1:10" x14ac:dyDescent="0.3">
      <c r="A12">
        <v>2010</v>
      </c>
      <c r="B12" s="7">
        <v>0.17280000000000001</v>
      </c>
      <c r="G12">
        <v>2010</v>
      </c>
      <c r="H12" s="7">
        <v>9.1499999999999998E-2</v>
      </c>
    </row>
  </sheetData>
  <mergeCells count="2">
    <mergeCell ref="A2:B2"/>
    <mergeCell ref="G2:H2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2049" r:id="rId4">
          <objectPr defaultSize="0" autoPict="0" r:id="rId5">
            <anchor moveWithCells="1">
              <from>
                <xdr:col>1</xdr:col>
                <xdr:colOff>175260</xdr:colOff>
                <xdr:row>13</xdr:row>
                <xdr:rowOff>91440</xdr:rowOff>
              </from>
              <to>
                <xdr:col>12</xdr:col>
                <xdr:colOff>228600</xdr:colOff>
                <xdr:row>30</xdr:row>
                <xdr:rowOff>38100</xdr:rowOff>
              </to>
            </anchor>
          </objectPr>
        </oleObject>
      </mc:Choice>
      <mc:Fallback>
        <oleObject progId="Document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P2</vt:lpstr>
      <vt:lpstr>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Barton</dc:creator>
  <cp:lastModifiedBy>Ron Barton</cp:lastModifiedBy>
  <dcterms:created xsi:type="dcterms:W3CDTF">2020-04-12T21:39:12Z</dcterms:created>
  <dcterms:modified xsi:type="dcterms:W3CDTF">2020-05-28T22:05:33Z</dcterms:modified>
</cp:coreProperties>
</file>