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t\Google Drive\Spreadsheet\Test 3\"/>
    </mc:Choice>
  </mc:AlternateContent>
  <xr:revisionPtr revIDLastSave="0" documentId="13_ncr:1_{C2F3B8C2-90AA-4D33-A573-147B08BBEC53}" xr6:coauthVersionLast="45" xr6:coauthVersionMax="45" xr10:uidLastSave="{00000000-0000-0000-0000-000000000000}"/>
  <bookViews>
    <workbookView xWindow="2544" yWindow="2544" windowWidth="23040" windowHeight="12204" xr2:uid="{27107545-652E-47EC-BDBE-01761C24D19D}"/>
  </bookViews>
  <sheets>
    <sheet name="P1b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psi" localSheetId="0" hidden="1">0</definedName>
    <definedName name="solver_rgen" hidden="1">1</definedName>
    <definedName name="solver_rsmp" hidden="1">2</definedName>
    <definedName name="solver_sclt" hidden="1">100</definedName>
    <definedName name="solver_scs" localSheetId="0" hidden="1">0</definedName>
    <definedName name="solver_seed" hidden="1">7536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17</definedName>
    <definedName name="solver_vol" localSheetId="0" hidden="1">0</definedName>
    <definedName name="solvero_CRMax_N24" localSheetId="0" hidden="1">"System.Double:NaN"</definedName>
    <definedName name="solvero_CRMin_N24" localSheetId="0" hidden="1">"System.Double:0"</definedName>
    <definedName name="solvero_OSpPars_N24" localSheetId="0" hidden="1">"RiskSolver.UI.Charts.OutDlgPars:-1000001;162;17;70;55;0;1;90;80;0;0;0;0;1;"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C13" i="1" a="1"/>
  <c r="C15" i="1" a="1"/>
  <c r="C16" i="1" a="1"/>
  <c r="C18" i="1" a="1"/>
  <c r="O30" i="1" a="1"/>
  <c r="C11" i="1" a="1"/>
  <c r="C2" i="1" a="1"/>
  <c r="C19" i="1" a="1"/>
  <c r="C14" i="1" a="1"/>
  <c r="O27" i="1" a="1"/>
  <c r="O28" i="1" a="1"/>
  <c r="M23" i="1" a="1"/>
  <c r="C17" i="1" a="1"/>
  <c r="C12" i="1" a="1"/>
  <c r="O26" i="1" a="1"/>
  <c r="C10" i="1" a="1"/>
  <c r="O30" i="1" l="1"/>
  <c r="C2" i="1"/>
  <c r="O26" i="1"/>
  <c r="O28" i="1"/>
  <c r="O27" i="1"/>
  <c r="M23" i="1"/>
  <c r="C10" i="1"/>
  <c r="C14" i="1"/>
  <c r="C18" i="1"/>
  <c r="C13" i="1"/>
  <c r="C17" i="1"/>
  <c r="C15" i="1"/>
  <c r="C16" i="1"/>
  <c r="C12" i="1"/>
  <c r="I13" i="1" s="1"/>
  <c r="C19" i="1"/>
  <c r="C11" i="1"/>
  <c r="H10" i="1" a="1"/>
  <c r="O32" i="1" l="1"/>
  <c r="O33" i="1"/>
  <c r="I14" i="1"/>
  <c r="I15" i="1" s="1"/>
  <c r="I16" i="1" s="1"/>
  <c r="I17" i="1" s="1"/>
  <c r="I18" i="1" s="1"/>
  <c r="I19" i="1" s="1"/>
  <c r="D11" i="1"/>
  <c r="D12" i="1" s="1"/>
  <c r="D13" i="1" s="1"/>
  <c r="D14" i="1" s="1"/>
  <c r="D15" i="1" s="1"/>
  <c r="D16" i="1" s="1"/>
  <c r="D17" i="1" s="1"/>
  <c r="D18" i="1" s="1"/>
  <c r="D19" i="1" s="1"/>
  <c r="H10" i="1"/>
  <c r="K10" i="1" s="1"/>
  <c r="H11" i="1" a="1"/>
  <c r="J10" i="1" l="1"/>
  <c r="L10" i="1" s="1"/>
  <c r="M10" i="1" s="1"/>
  <c r="H11" i="1"/>
  <c r="K11" i="1" s="1"/>
  <c r="H12" i="1" a="1"/>
  <c r="B11" i="1" l="1"/>
  <c r="H12" i="1"/>
  <c r="H13" i="1" a="1"/>
  <c r="K12" i="1" l="1"/>
  <c r="E11" i="1"/>
  <c r="J11" i="1"/>
  <c r="L11" i="1" s="1"/>
  <c r="H13" i="1"/>
  <c r="F11" i="1" a="1"/>
  <c r="H14" i="1" a="1"/>
  <c r="K13" i="1" l="1"/>
  <c r="F11" i="1"/>
  <c r="M11" i="1" s="1"/>
  <c r="B12" i="1"/>
  <c r="G12" i="1" s="1"/>
  <c r="H14" i="1"/>
  <c r="K14" i="1" s="1"/>
  <c r="H15" i="1" a="1"/>
  <c r="F12" i="1" a="1"/>
  <c r="F12" i="1" l="1"/>
  <c r="E12" i="1"/>
  <c r="J12" i="1"/>
  <c r="L12" i="1" s="1"/>
  <c r="H15" i="1"/>
  <c r="K15" i="1" s="1"/>
  <c r="H16" i="1" a="1"/>
  <c r="M12" i="1" l="1"/>
  <c r="B13" i="1"/>
  <c r="H16" i="1"/>
  <c r="K16" i="1" s="1"/>
  <c r="H17" i="1" a="1"/>
  <c r="E13" i="1" l="1"/>
  <c r="G13" i="1"/>
  <c r="J13" i="1"/>
  <c r="H17" i="1"/>
  <c r="K17" i="1" s="1"/>
  <c r="H18" i="1" a="1"/>
  <c r="B14" i="1" l="1"/>
  <c r="L13" i="1"/>
  <c r="M13" i="1" s="1"/>
  <c r="H18" i="1"/>
  <c r="K18" i="1" s="1"/>
  <c r="H19" i="1" a="1"/>
  <c r="J14" i="1" l="1"/>
  <c r="E14" i="1"/>
  <c r="H19" i="1"/>
  <c r="K19" i="1" s="1"/>
  <c r="B15" i="1" l="1"/>
  <c r="L14" i="1"/>
  <c r="M14" i="1" s="1"/>
  <c r="E15" i="1" l="1"/>
  <c r="J15" i="1"/>
  <c r="B16" i="1" l="1"/>
  <c r="L15" i="1"/>
  <c r="M15" i="1" s="1"/>
  <c r="E16" i="1" l="1"/>
  <c r="J16" i="1"/>
  <c r="L16" i="1" l="1"/>
  <c r="M16" i="1" s="1"/>
  <c r="B17" i="1"/>
  <c r="E17" i="1" l="1"/>
  <c r="J17" i="1"/>
  <c r="B18" i="1" l="1"/>
  <c r="L17" i="1"/>
  <c r="M17" i="1" s="1"/>
  <c r="J18" i="1" l="1"/>
  <c r="E18" i="1"/>
  <c r="B19" i="1" l="1"/>
  <c r="L18" i="1"/>
  <c r="M18" i="1" s="1"/>
  <c r="J19" i="1" l="1"/>
  <c r="L19" i="1" s="1"/>
  <c r="E19" i="1"/>
  <c r="M19" i="1" l="1"/>
  <c r="M21" i="1" l="1"/>
  <c r="O21" i="1"/>
  <c r="O24" i="1" a="1"/>
  <c r="O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<sst xmlns="http://schemas.openxmlformats.org/spreadsheetml/2006/main" count="58" uniqueCount="43">
  <si>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</si>
  <si>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</si>
  <si>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</si>
  <si>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</si>
  <si>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</si>
  <si>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</si>
  <si>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</si>
  <si>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</si>
  <si>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</si>
  <si>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</si>
  <si>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Production</t>
  </si>
  <si>
    <t>Demand</t>
  </si>
  <si>
    <t>mean</t>
  </si>
  <si>
    <t>std dev</t>
  </si>
  <si>
    <t>min</t>
  </si>
  <si>
    <t>max</t>
  </si>
  <si>
    <t>demand yr1</t>
  </si>
  <si>
    <t>demand yr2-10</t>
  </si>
  <si>
    <t>previous yr</t>
  </si>
  <si>
    <t>Cost/car</t>
  </si>
  <si>
    <t>inflation</t>
  </si>
  <si>
    <t>Inflation</t>
  </si>
  <si>
    <t>Price</t>
  </si>
  <si>
    <t>Variable Cost</t>
  </si>
  <si>
    <t>Revenue</t>
  </si>
  <si>
    <t>Shortage/Surplus</t>
  </si>
  <si>
    <t>No. cars</t>
  </si>
  <si>
    <t>Discount</t>
  </si>
  <si>
    <t>Surplus Revenue</t>
  </si>
  <si>
    <t>PROFIT</t>
  </si>
  <si>
    <t>likely</t>
  </si>
  <si>
    <t>Total Profit</t>
  </si>
  <si>
    <t>Startup Cost</t>
  </si>
  <si>
    <t>NPV of Profits</t>
  </si>
  <si>
    <t>Start Up Costs</t>
  </si>
  <si>
    <t>NPV Project</t>
  </si>
  <si>
    <t>Positive NPV</t>
  </si>
  <si>
    <t>lower</t>
  </si>
  <si>
    <t>upper</t>
  </si>
  <si>
    <t>Recall Yr</t>
  </si>
  <si>
    <t>Recall Costs</t>
  </si>
  <si>
    <t>Recall Cost</t>
  </si>
  <si>
    <t>Rebate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</si>
</sst>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1" xfId="0" applyBorder="1"/>
    <xf numFmtId="165" fontId="0" fillId="0" borderId="0" xfId="3" applyNumberFormat="1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0" fillId="0" borderId="0" xfId="0" applyNumberForma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8" fontId="0" fillId="0" borderId="0" xfId="0" applyNumberFormat="1"/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2" fillId="0" borderId="0" xfId="1" applyNumberFormat="1" applyFont="1"/>
    <xf numFmtId="6" fontId="2" fillId="0" borderId="0" xfId="0" applyNumberFormat="1" applyFont="1"/>
    <xf numFmtId="0" fontId="5" fillId="0" borderId="0" xfId="0" applyFont="1" applyAlignment="1">
      <alignment horizontal="center"/>
    </xf>
    <xf numFmtId="6" fontId="0" fillId="2" borderId="2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166" fontId="0" fillId="0" borderId="5" xfId="2" applyNumberFormat="1" applyFont="1" applyBorder="1"/>
    <xf numFmtId="0" fontId="0" fillId="0" borderId="6" xfId="0" applyBorder="1"/>
    <xf numFmtId="166" fontId="0" fillId="0" borderId="7" xfId="2" applyNumberFormat="1" applyFont="1" applyBorder="1"/>
    <xf numFmtId="0" fontId="0" fillId="0" borderId="7" xfId="0" applyBorder="1"/>
    <xf numFmtId="0" fontId="0" fillId="0" borderId="8" xfId="0" applyBorder="1" applyAlignment="1">
      <alignment horizontal="center" wrapText="1"/>
    </xf>
    <xf numFmtId="165" fontId="0" fillId="0" borderId="9" xfId="3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530225</xdr:colOff>
      <xdr:row>34</xdr:row>
      <xdr:rowOff>47625</xdr:rowOff>
    </xdr:from>
    <xdr:to>
      <xdr:col>14</xdr:col>
      <xdr:colOff>1370890</xdr:colOff>
      <xdr:row>52</xdr:row>
      <xdr:rowOff>132932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7750" y="6448425"/>
          <a:ext cx="5679365" cy="33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92069</xdr:colOff>
          <xdr:row>28</xdr:row>
          <xdr:rowOff>146038</xdr:rowOff>
        </xdr:from>
        <xdr:to>
          <xdr:col>12</xdr:col>
          <xdr:colOff>833027</xdr:colOff>
          <xdr:row>32</xdr:row>
          <xdr:rowOff>57115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41C0-263B-468F-886E-1AA1B1F24F5B}">
  <dimension ref="A1:S33"/>
  <sheetViews>
    <sheetView tabSelected="1" zoomScale="109" workbookViewId="0">
      <selection activeCell="G26" sqref="G26"/>
    </sheetView>
  </sheetViews>
  <sheetFormatPr defaultRowHeight="14.4" x14ac:dyDescent="0.3"/>
  <cols>
    <col min="1" max="1" width="8.109375" customWidth="1"/>
    <col min="2" max="2" width="11.109375" bestFit="1" customWidth="1"/>
    <col min="3" max="3" width="11.109375" customWidth="1"/>
    <col min="4" max="4" width="10.109375" bestFit="1" customWidth="1"/>
    <col min="5" max="5" width="13.6640625" bestFit="1" customWidth="1"/>
    <col min="6" max="7" width="12.44140625" customWidth="1"/>
    <col min="8" max="8" width="9.88671875" customWidth="1"/>
    <col min="9" max="9" width="9.77734375" customWidth="1"/>
    <col min="10" max="10" width="15.6640625" bestFit="1" customWidth="1"/>
    <col min="11" max="11" width="13.6640625" bestFit="1" customWidth="1"/>
    <col min="12" max="12" width="14.77734375" customWidth="1"/>
    <col min="13" max="13" width="16.33203125" customWidth="1"/>
    <col min="15" max="15" width="20" bestFit="1" customWidth="1"/>
    <col min="18" max="18" width="10.109375" bestFit="1" customWidth="1"/>
  </cols>
  <sheetData>
    <row r="1" spans="1:19" x14ac:dyDescent="0.3">
      <c r="C1" s="21" t="s">
        <v>39</v>
      </c>
      <c r="D1" s="33" t="s">
        <v>40</v>
      </c>
      <c r="E1" s="33"/>
      <c r="G1" s="32" t="s">
        <v>42</v>
      </c>
      <c r="I1" s="33" t="s">
        <v>16</v>
      </c>
      <c r="J1" s="33"/>
      <c r="L1" s="33" t="s">
        <v>17</v>
      </c>
      <c r="M1" s="33"/>
      <c r="O1" s="33" t="s">
        <v>20</v>
      </c>
      <c r="P1" s="33"/>
      <c r="R1" s="2" t="s">
        <v>26</v>
      </c>
      <c r="S1" s="2" t="s">
        <v>27</v>
      </c>
    </row>
    <row r="2" spans="1:19" x14ac:dyDescent="0.3">
      <c r="C2" s="22" cm="1">
        <f t="array" aca="1" ref="C2" ca="1">_xll.PsiIntUniform(2,3)</f>
        <v>2</v>
      </c>
      <c r="D2" t="s">
        <v>14</v>
      </c>
      <c r="E2" s="1">
        <v>500</v>
      </c>
      <c r="G2">
        <v>2000</v>
      </c>
      <c r="I2" t="s">
        <v>12</v>
      </c>
      <c r="J2" s="1">
        <v>95000</v>
      </c>
      <c r="L2" t="s">
        <v>12</v>
      </c>
      <c r="M2" s="1" t="s">
        <v>18</v>
      </c>
      <c r="O2" t="s">
        <v>14</v>
      </c>
      <c r="P2" s="4">
        <v>2.3E-2</v>
      </c>
      <c r="R2">
        <v>1</v>
      </c>
      <c r="S2" s="11">
        <v>0.18</v>
      </c>
    </row>
    <row r="3" spans="1:19" x14ac:dyDescent="0.3">
      <c r="D3" t="s">
        <v>30</v>
      </c>
      <c r="E3" s="1">
        <v>700</v>
      </c>
      <c r="I3" t="s">
        <v>13</v>
      </c>
      <c r="J3" s="1">
        <v>7000</v>
      </c>
      <c r="L3" t="s">
        <v>13</v>
      </c>
      <c r="M3" s="1">
        <v>7000</v>
      </c>
      <c r="O3" t="s">
        <v>15</v>
      </c>
      <c r="P3" s="4">
        <v>6.9000000000000006E-2</v>
      </c>
      <c r="R3" s="1">
        <v>1000</v>
      </c>
      <c r="S3" s="11">
        <v>0.22</v>
      </c>
    </row>
    <row r="4" spans="1:19" x14ac:dyDescent="0.3">
      <c r="D4" t="s">
        <v>15</v>
      </c>
      <c r="E4" s="1">
        <v>1000</v>
      </c>
      <c r="I4" t="s">
        <v>14</v>
      </c>
      <c r="J4">
        <v>72000</v>
      </c>
      <c r="L4" t="s">
        <v>14</v>
      </c>
      <c r="M4">
        <v>75000</v>
      </c>
      <c r="R4" s="1">
        <v>10000</v>
      </c>
      <c r="S4" s="11">
        <v>0.27</v>
      </c>
    </row>
    <row r="5" spans="1:19" x14ac:dyDescent="0.3">
      <c r="I5" t="s">
        <v>15</v>
      </c>
      <c r="J5">
        <v>109000</v>
      </c>
      <c r="L5" t="s">
        <v>15</v>
      </c>
      <c r="M5">
        <v>112000</v>
      </c>
    </row>
    <row r="9" spans="1:19" ht="15.6" x14ac:dyDescent="0.3">
      <c r="A9" s="24"/>
      <c r="B9" s="6" t="s">
        <v>10</v>
      </c>
      <c r="C9" s="6" t="s">
        <v>21</v>
      </c>
      <c r="D9" s="6" t="s">
        <v>19</v>
      </c>
      <c r="E9" s="7" t="s">
        <v>23</v>
      </c>
      <c r="F9" s="7" t="s">
        <v>41</v>
      </c>
      <c r="G9" s="7" t="s">
        <v>42</v>
      </c>
      <c r="H9" s="6" t="s">
        <v>11</v>
      </c>
      <c r="I9" s="8" t="s">
        <v>22</v>
      </c>
      <c r="J9" s="8" t="s">
        <v>25</v>
      </c>
      <c r="K9" s="10" t="s">
        <v>24</v>
      </c>
      <c r="L9" s="12" t="s">
        <v>28</v>
      </c>
      <c r="M9" s="13" t="s">
        <v>29</v>
      </c>
      <c r="N9" s="3"/>
    </row>
    <row r="10" spans="1:19" x14ac:dyDescent="0.3">
      <c r="A10" s="23" t="s">
        <v>0</v>
      </c>
      <c r="B10" s="1">
        <v>100000</v>
      </c>
      <c r="C10" s="4" cm="1">
        <f t="array" aca="1" ref="C10" ca="1">_xll.PsiUniform($P$2,$P$3)</f>
        <v>5.5077288178744715E-2</v>
      </c>
      <c r="D10" s="1">
        <v>24000</v>
      </c>
      <c r="E10" s="1">
        <f>B10*D10</f>
        <v>2400000000</v>
      </c>
      <c r="H10" s="1" cm="1">
        <f t="array" aca="1" ref="H10" ca="1">ROUND(_xll.PsiNormal($J$2,$J$3,_xll.PsiTruncate($J$4,$J$5)),0)</f>
        <v>96038</v>
      </c>
      <c r="I10" s="1">
        <v>30000</v>
      </c>
      <c r="J10" s="9">
        <f ca="1">B10-H10</f>
        <v>3962</v>
      </c>
      <c r="K10" s="1">
        <f ca="1">H10*I10</f>
        <v>2881140000</v>
      </c>
      <c r="L10" s="5">
        <f ca="1">J10*(I10*IF(J10&gt;0,LOOKUP(J10,$R$2:$R$4,$S$2:$S$4),0))</f>
        <v>26149200</v>
      </c>
      <c r="M10" s="5">
        <f ca="1">(K10+L10)-(E10+F10+G10)</f>
        <v>507289200</v>
      </c>
    </row>
    <row r="11" spans="1:19" x14ac:dyDescent="0.3">
      <c r="A11" s="23" t="s">
        <v>1</v>
      </c>
      <c r="B11">
        <f ca="1">ROUND(IF(J10&gt;0,B10*97%,B10*105%),0)</f>
        <v>97000</v>
      </c>
      <c r="C11" s="4" cm="1">
        <f t="array" aca="1" ref="C11" ca="1">_xll.PsiUniform($P$2,$P$3)</f>
        <v>3.985832614836559E-2</v>
      </c>
      <c r="D11" s="5">
        <f ca="1">D10+D10*C10</f>
        <v>25321.854916289874</v>
      </c>
      <c r="E11" s="1">
        <f t="shared" ref="E11:E19" ca="1" si="0">B11*D11</f>
        <v>2456219926.8801179</v>
      </c>
      <c r="F11" s="1" cm="1">
        <f t="array" aca="1" ref="F11" ca="1">IF($C$2=2,(B10+B11)*(_xll.PsiTriangular($E$2,$E$3,$E$4)),0)</f>
        <v>122184527.23590718</v>
      </c>
      <c r="G11" s="1"/>
      <c r="H11" s="1" cm="1">
        <f t="array" aca="1" ref="H11" ca="1">ROUND(_xll.PsiNormal(H10,$M$3,_xll.PsiTruncate($M$4,$M$5)),0)</f>
        <v>82976</v>
      </c>
      <c r="I11" s="1">
        <v>30000</v>
      </c>
      <c r="J11" s="9">
        <f t="shared" ref="J11:J19" ca="1" si="1">B11-H11</f>
        <v>14024</v>
      </c>
      <c r="K11" s="1">
        <f t="shared" ref="K11:K19" ca="1" si="2">H11*I11</f>
        <v>2489280000</v>
      </c>
      <c r="L11" s="5">
        <f t="shared" ref="L11:L19" ca="1" si="3">J11*(I11*IF(J11&gt;0,LOOKUP(J11,$R$2:$R$4,$S$2:$S$4),0))</f>
        <v>113594400.00000001</v>
      </c>
      <c r="M11" s="5">
        <f ca="1">(K11+L11)-(E11+F11+G11)</f>
        <v>24469945.883975029</v>
      </c>
    </row>
    <row r="12" spans="1:19" x14ac:dyDescent="0.3">
      <c r="A12" s="23" t="s">
        <v>2</v>
      </c>
      <c r="B12">
        <f t="shared" ref="B12:B19" ca="1" si="4">ROUND(IF(J11&gt;0,B11*97%,B11*105%),0)</f>
        <v>94090</v>
      </c>
      <c r="C12" s="4" cm="1">
        <f t="array" aca="1" ref="C12" ca="1">_xll.PsiUniform($P$2,$P$3)</f>
        <v>3.6793968958581225E-2</v>
      </c>
      <c r="D12" s="5">
        <f ca="1">D11+D11*C11</f>
        <v>26331.141668224951</v>
      </c>
      <c r="E12" s="1">
        <f t="shared" ca="1" si="0"/>
        <v>2477497119.5632858</v>
      </c>
      <c r="F12" s="1" cm="1">
        <f t="array" aca="1" ref="F12" ca="1">IF($C$2=3,(B10+B11+B12)*(_xll.PsiTriangular($E$2,$E$3,$E$4)),0)</f>
        <v>0</v>
      </c>
      <c r="G12" s="1">
        <f ca="1">IF($C$2=2, IF(H12&gt;B12,B12,H12)*$G$2,0)</f>
        <v>184990000</v>
      </c>
      <c r="H12" s="1" cm="1">
        <f t="array" aca="1" ref="H12" ca="1">ROUND(_xll.PsiNormal(H11,$M$3,_xll.PsiTruncate($M$4,$M$5)),0)</f>
        <v>92495</v>
      </c>
      <c r="I12" s="1">
        <v>30000</v>
      </c>
      <c r="J12" s="9">
        <f t="shared" ca="1" si="1"/>
        <v>1595</v>
      </c>
      <c r="K12" s="1">
        <f t="shared" ca="1" si="2"/>
        <v>2774850000</v>
      </c>
      <c r="L12" s="5">
        <f t="shared" ca="1" si="3"/>
        <v>10527000</v>
      </c>
      <c r="M12" s="5">
        <f ca="1">(K12+L12)-(E12+F12+G12)</f>
        <v>122889880.43671417</v>
      </c>
    </row>
    <row r="13" spans="1:19" x14ac:dyDescent="0.3">
      <c r="A13" s="23" t="s">
        <v>3</v>
      </c>
      <c r="B13">
        <f t="shared" ca="1" si="4"/>
        <v>91267</v>
      </c>
      <c r="C13" s="4" cm="1">
        <f t="array" aca="1" ref="C13" ca="1">_xll.PsiUniform($P$2,$P$3)</f>
        <v>6.1489235168267264E-2</v>
      </c>
      <c r="D13" s="5">
        <f t="shared" ref="D13:D19" ca="1" si="5">D12+D12*C12</f>
        <v>27299.968877409625</v>
      </c>
      <c r="E13" s="1">
        <f t="shared" ca="1" si="0"/>
        <v>2491586259.5345445</v>
      </c>
      <c r="G13" s="1">
        <f ca="1">IF($C$2=3, IF(H13&gt;B13,B13,H13)*$G$2,0)</f>
        <v>0</v>
      </c>
      <c r="H13" s="1" cm="1">
        <f t="array" aca="1" ref="H13" ca="1">ROUND(_xll.PsiNormal(H12,$M$3,_xll.PsiTruncate($M$4,$M$5)),0)</f>
        <v>98886</v>
      </c>
      <c r="I13" s="1">
        <f ca="1">I12+ IF(I12*C12 &gt;1500,1500,ROUND(I12*C12,-2))</f>
        <v>31100</v>
      </c>
      <c r="J13" s="9">
        <f t="shared" ca="1" si="1"/>
        <v>-7619</v>
      </c>
      <c r="K13" s="1">
        <f t="shared" ca="1" si="2"/>
        <v>3075354600</v>
      </c>
      <c r="L13" s="5">
        <f t="shared" ca="1" si="3"/>
        <v>0</v>
      </c>
      <c r="M13" s="5">
        <f t="shared" ref="M13:M19" ca="1" si="6">(K13+L13)-(E13+F13+G13)</f>
        <v>583768340.46545553</v>
      </c>
    </row>
    <row r="14" spans="1:19" x14ac:dyDescent="0.3">
      <c r="A14" s="23" t="s">
        <v>4</v>
      </c>
      <c r="B14">
        <f t="shared" ca="1" si="4"/>
        <v>95830</v>
      </c>
      <c r="C14" s="4" cm="1">
        <f t="array" aca="1" ref="C14" ca="1">_xll.PsiUniform($P$2,$P$3)</f>
        <v>6.120736919183583E-2</v>
      </c>
      <c r="D14" s="5">
        <f t="shared" ca="1" si="5"/>
        <v>28978.623083799044</v>
      </c>
      <c r="E14" s="1">
        <f t="shared" ca="1" si="0"/>
        <v>2777021450.1204624</v>
      </c>
      <c r="H14" s="1" cm="1">
        <f t="array" aca="1" ref="H14" ca="1">ROUND(_xll.PsiNormal(H13,$M$3,_xll.PsiTruncate($M$4,$M$5)),0)</f>
        <v>102390</v>
      </c>
      <c r="I14" s="1">
        <f ca="1">I13+ IF(I13*C13 &gt;1500,1500,ROUND(I13*C13,-2))</f>
        <v>32600</v>
      </c>
      <c r="J14" s="9">
        <f t="shared" ca="1" si="1"/>
        <v>-6560</v>
      </c>
      <c r="K14" s="1">
        <f t="shared" ca="1" si="2"/>
        <v>3337914000</v>
      </c>
      <c r="L14" s="5">
        <f t="shared" ca="1" si="3"/>
        <v>0</v>
      </c>
      <c r="M14" s="5">
        <f t="shared" ca="1" si="6"/>
        <v>560892549.87953758</v>
      </c>
    </row>
    <row r="15" spans="1:19" x14ac:dyDescent="0.3">
      <c r="A15" s="23" t="s">
        <v>5</v>
      </c>
      <c r="B15">
        <f t="shared" ca="1" si="4"/>
        <v>100622</v>
      </c>
      <c r="C15" s="4" cm="1">
        <f t="array" aca="1" ref="C15" ca="1">_xll.PsiUniform($P$2,$P$3)</f>
        <v>6.7421852572761787E-2</v>
      </c>
      <c r="D15" s="5">
        <f t="shared" ca="1" si="5"/>
        <v>30752.328365560188</v>
      </c>
      <c r="E15" s="1">
        <f t="shared" ca="1" si="0"/>
        <v>3094360784.7993975</v>
      </c>
      <c r="H15" s="1" cm="1">
        <f t="array" aca="1" ref="H15" ca="1">ROUND(_xll.PsiNormal(H14,$M$3,_xll.PsiTruncate($M$4,$M$5)),0)</f>
        <v>101521</v>
      </c>
      <c r="I15" s="1">
        <f t="shared" ref="I15:I16" ca="1" si="7">I14+ IF(I14*C14 &gt;1500,1500,ROUND(I14*C14,-2))</f>
        <v>34100</v>
      </c>
      <c r="J15" s="9">
        <f t="shared" ca="1" si="1"/>
        <v>-899</v>
      </c>
      <c r="K15" s="1">
        <f t="shared" ca="1" si="2"/>
        <v>3461866100</v>
      </c>
      <c r="L15" s="5">
        <f t="shared" ca="1" si="3"/>
        <v>0</v>
      </c>
      <c r="M15" s="5">
        <f t="shared" ca="1" si="6"/>
        <v>367505315.20060253</v>
      </c>
    </row>
    <row r="16" spans="1:19" x14ac:dyDescent="0.3">
      <c r="A16" s="23" t="s">
        <v>6</v>
      </c>
      <c r="B16">
        <f t="shared" ca="1" si="4"/>
        <v>105653</v>
      </c>
      <c r="C16" s="4" cm="1">
        <f t="array" aca="1" ref="C16" ca="1">_xll.PsiUniform($P$2,$P$3)</f>
        <v>2.3455383365210084E-2</v>
      </c>
      <c r="D16" s="5">
        <f t="shared" ca="1" si="5"/>
        <v>32825.707314892148</v>
      </c>
      <c r="E16" s="1">
        <f t="shared" ca="1" si="0"/>
        <v>3468134454.9403</v>
      </c>
      <c r="H16" s="1" cm="1">
        <f t="array" aca="1" ref="H16" ca="1">ROUND(_xll.PsiNormal(H15,$M$3,_xll.PsiTruncate($M$4,$M$5)),0)</f>
        <v>107508</v>
      </c>
      <c r="I16" s="1">
        <f t="shared" ca="1" si="7"/>
        <v>35600</v>
      </c>
      <c r="J16" s="9">
        <f t="shared" ca="1" si="1"/>
        <v>-1855</v>
      </c>
      <c r="K16" s="1">
        <f t="shared" ca="1" si="2"/>
        <v>3827284800</v>
      </c>
      <c r="L16" s="5">
        <f t="shared" ca="1" si="3"/>
        <v>0</v>
      </c>
      <c r="M16" s="5">
        <f t="shared" ca="1" si="6"/>
        <v>359150345.05970001</v>
      </c>
    </row>
    <row r="17" spans="1:15" x14ac:dyDescent="0.3">
      <c r="A17" s="23" t="s">
        <v>7</v>
      </c>
      <c r="B17">
        <f t="shared" ca="1" si="4"/>
        <v>110936</v>
      </c>
      <c r="C17" s="4" cm="1">
        <f t="array" aca="1" ref="C17" ca="1">_xll.PsiUniform($P$2,$P$3)</f>
        <v>3.3315587904220983E-2</v>
      </c>
      <c r="D17" s="5">
        <f t="shared" ca="1" si="5"/>
        <v>33595.646864197122</v>
      </c>
      <c r="E17" s="1">
        <f t="shared" ca="1" si="0"/>
        <v>3726966680.5265718</v>
      </c>
      <c r="H17" s="1" cm="1">
        <f t="array" aca="1" ref="H17" ca="1">ROUND(_xll.PsiNormal(H16,$M$3,_xll.PsiTruncate($M$4,$M$5)),0)</f>
        <v>96589</v>
      </c>
      <c r="I17" s="1">
        <f ca="1">I16+ IF(I16*C16 &gt;1500,1500,ROUND(I16*C16,-2))</f>
        <v>36400</v>
      </c>
      <c r="J17" s="9">
        <f t="shared" ca="1" si="1"/>
        <v>14347</v>
      </c>
      <c r="K17" s="1">
        <f t="shared" ca="1" si="2"/>
        <v>3515839600</v>
      </c>
      <c r="L17" s="5">
        <f t="shared" ca="1" si="3"/>
        <v>141002316</v>
      </c>
      <c r="M17" s="5">
        <f t="shared" ca="1" si="6"/>
        <v>-70124764.526571751</v>
      </c>
    </row>
    <row r="18" spans="1:15" x14ac:dyDescent="0.3">
      <c r="A18" s="23" t="s">
        <v>8</v>
      </c>
      <c r="B18">
        <f t="shared" ca="1" si="4"/>
        <v>107608</v>
      </c>
      <c r="C18" s="4" cm="1">
        <f t="array" aca="1" ref="C18" ca="1">_xll.PsiUniform($P$2,$P$3)</f>
        <v>2.6240296606901498E-2</v>
      </c>
      <c r="D18" s="5">
        <f t="shared" ca="1" si="5"/>
        <v>34714.90559050045</v>
      </c>
      <c r="E18" s="1">
        <f t="shared" ca="1" si="0"/>
        <v>3735601560.7825723</v>
      </c>
      <c r="H18" s="1" cm="1">
        <f t="array" aca="1" ref="H18" ca="1">ROUND(_xll.PsiNormal(H17,$M$3,_xll.PsiTruncate($M$4,$M$5)),0)</f>
        <v>90773</v>
      </c>
      <c r="I18" s="1">
        <f ca="1">I17+ IF(I17*C17 &gt;1500,1500,ROUND(I17*C17,-2))</f>
        <v>37600</v>
      </c>
      <c r="J18" s="9">
        <f t="shared" ca="1" si="1"/>
        <v>16835</v>
      </c>
      <c r="K18" s="1">
        <f t="shared" ca="1" si="2"/>
        <v>3413064800</v>
      </c>
      <c r="L18" s="5">
        <f t="shared" ca="1" si="3"/>
        <v>170908920</v>
      </c>
      <c r="M18" s="5">
        <f t="shared" ca="1" si="6"/>
        <v>-151627840.78257227</v>
      </c>
    </row>
    <row r="19" spans="1:15" x14ac:dyDescent="0.3">
      <c r="A19" s="23" t="s">
        <v>9</v>
      </c>
      <c r="B19">
        <f t="shared" ca="1" si="4"/>
        <v>104380</v>
      </c>
      <c r="C19" s="4" cm="1">
        <f t="array" aca="1" ref="C19" ca="1">_xll.PsiUniform($P$2,$P$3)</f>
        <v>5.8023089265172044E-2</v>
      </c>
      <c r="D19" s="5">
        <f t="shared" ca="1" si="5"/>
        <v>35625.835009875766</v>
      </c>
      <c r="E19" s="1">
        <f t="shared" ca="1" si="0"/>
        <v>3718624658.3308325</v>
      </c>
      <c r="H19" s="1" cm="1">
        <f t="array" aca="1" ref="H19" ca="1">ROUND(_xll.PsiNormal(H18,$M$3,_xll.PsiTruncate($M$4,$M$5)),0)</f>
        <v>90253</v>
      </c>
      <c r="I19" s="1">
        <f ca="1">I18+ IF(I18*C18 &gt;1500,1500,ROUND(I18*C18,-2))</f>
        <v>38600</v>
      </c>
      <c r="J19" s="9">
        <f t="shared" ca="1" si="1"/>
        <v>14127</v>
      </c>
      <c r="K19" s="1">
        <f t="shared" ca="1" si="2"/>
        <v>3483765800</v>
      </c>
      <c r="L19" s="5">
        <f t="shared" ca="1" si="3"/>
        <v>147231594</v>
      </c>
      <c r="M19" s="5">
        <f t="shared" ca="1" si="6"/>
        <v>-87627264.330832481</v>
      </c>
    </row>
    <row r="20" spans="1:15" x14ac:dyDescent="0.3">
      <c r="O20" s="2" t="s">
        <v>33</v>
      </c>
    </row>
    <row r="21" spans="1:15" x14ac:dyDescent="0.3">
      <c r="L21" s="15" t="s">
        <v>31</v>
      </c>
      <c r="M21" s="16">
        <f ca="1">SUM(M10:M19)</f>
        <v>2216585707.2860084</v>
      </c>
      <c r="O21" s="18">
        <f ca="1">NPV(9%,M10,M11,M12,M13,M14,M15,M16,M17,M18,M19)</f>
        <v>1632567539.0628426</v>
      </c>
    </row>
    <row r="23" spans="1:15" ht="16.2" thickBot="1" x14ac:dyDescent="0.35">
      <c r="J23" s="34" t="s">
        <v>34</v>
      </c>
      <c r="K23" s="34"/>
      <c r="L23" s="15" t="s">
        <v>32</v>
      </c>
      <c r="M23" s="17" cm="1">
        <f t="array" aca="1" ref="M23" ca="1">_xll.PsiTriangular(K24,K25,K26)</f>
        <v>2079412659.7875099</v>
      </c>
      <c r="O23" s="19" t="s">
        <v>35</v>
      </c>
    </row>
    <row r="24" spans="1:15" ht="15" thickBot="1" x14ac:dyDescent="0.35">
      <c r="J24" t="s">
        <v>14</v>
      </c>
      <c r="K24" s="1">
        <v>1400000000</v>
      </c>
      <c r="O24" s="20" cm="1">
        <f t="array" aca="1" ref="O24" ca="1">(O21-M23) +_xll.PsiOutput()</f>
        <v>-446845120.72466731</v>
      </c>
    </row>
    <row r="25" spans="1:15" ht="15" thickBot="1" x14ac:dyDescent="0.35">
      <c r="J25" t="s">
        <v>30</v>
      </c>
      <c r="K25" s="1">
        <v>2200000000</v>
      </c>
    </row>
    <row r="26" spans="1:15" x14ac:dyDescent="0.3">
      <c r="J26" t="s">
        <v>15</v>
      </c>
      <c r="K26" s="1">
        <v>2600000000</v>
      </c>
      <c r="N26" s="25" t="s">
        <v>14</v>
      </c>
      <c r="O26" s="26" t="e" cm="1">
        <f t="array" aca="1" ref="O26" ca="1">_xll.PsiMin(O24)</f>
        <v>#N/A</v>
      </c>
    </row>
    <row r="27" spans="1:15" x14ac:dyDescent="0.3">
      <c r="N27" s="27" t="s">
        <v>12</v>
      </c>
      <c r="O27" s="28" t="e" cm="1">
        <f t="array" aca="1" ref="O27" ca="1">_xll.PsiMean(O24)</f>
        <v>#N/A</v>
      </c>
    </row>
    <row r="28" spans="1:15" x14ac:dyDescent="0.3">
      <c r="N28" s="27" t="s">
        <v>15</v>
      </c>
      <c r="O28" s="28" t="e" cm="1">
        <f t="array" aca="1" ref="O28" ca="1">_xll.PsiMax(O24)</f>
        <v>#N/A</v>
      </c>
    </row>
    <row r="29" spans="1:15" x14ac:dyDescent="0.3">
      <c r="N29" s="27"/>
      <c r="O29" s="29"/>
    </row>
    <row r="30" spans="1:15" ht="29.4" thickBot="1" x14ac:dyDescent="0.35">
      <c r="M30" s="14"/>
      <c r="N30" s="30" t="s">
        <v>36</v>
      </c>
      <c r="O30" s="31" t="e" cm="1">
        <f t="array" aca="1" ref="O30" ca="1">1-_xll.PsiTarget(O24,0)</f>
        <v>#N/A</v>
      </c>
    </row>
    <row r="32" spans="1:15" x14ac:dyDescent="0.3">
      <c r="N32" t="s">
        <v>37</v>
      </c>
      <c r="O32" s="11" t="e">
        <f ca="1">$O$30 - 1.96*SQRT($O$30*(1-$O$30)/1000)</f>
        <v>#N/A</v>
      </c>
    </row>
    <row r="33" spans="14:15" x14ac:dyDescent="0.3">
      <c r="N33" t="s">
        <v>38</v>
      </c>
      <c r="O33" s="11" t="e">
        <f ca="1">$O$30 + 1.96*SQRT($O$30*(1-$O$30)/1000)</f>
        <v>#N/A</v>
      </c>
    </row>
  </sheetData>
  <mergeCells count="5">
    <mergeCell ref="I1:J1"/>
    <mergeCell ref="L1:M1"/>
    <mergeCell ref="O1:P1"/>
    <mergeCell ref="J23:K23"/>
    <mergeCell ref="D1:E1"/>
  </mergeCells>
  <phoneticPr fontId="3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6</xdr:col>
                <xdr:colOff>91440</xdr:colOff>
                <xdr:row>29</xdr:row>
                <xdr:rowOff>0</xdr:rowOff>
              </from>
              <to>
                <xdr:col>12</xdr:col>
                <xdr:colOff>830580</xdr:colOff>
                <xdr:row>32</xdr:row>
                <xdr:rowOff>99060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Barton</dc:creator>
  <cp:lastModifiedBy>Ron Barton</cp:lastModifiedBy>
  <dcterms:created xsi:type="dcterms:W3CDTF">2020-04-12T16:53:37Z</dcterms:created>
  <dcterms:modified xsi:type="dcterms:W3CDTF">2020-05-28T22:07:55Z</dcterms:modified>
</cp:coreProperties>
</file>