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346A4573-78C0-4987-A5FF-ADD42EB18A93}" xr6:coauthVersionLast="47" xr6:coauthVersionMax="47" xr10:uidLastSave="{00000000-0000-0000-0000-000000000000}"/>
  <bookViews>
    <workbookView xWindow="-108" yWindow="-108" windowWidth="23256" windowHeight="12576" activeTab="5" xr2:uid="{31E7A3A7-C421-4ADA-97DB-3D19B307E9E3}"/>
  </bookViews>
  <sheets>
    <sheet name="Bokföring" sheetId="1" r:id="rId1"/>
    <sheet name="Affärshänd." sheetId="6" r:id="rId2"/>
    <sheet name="Analys" sheetId="7" r:id="rId3"/>
    <sheet name="Formler" sheetId="5" r:id="rId4"/>
    <sheet name="Resultatbudget" sheetId="10" r:id="rId5"/>
    <sheet name="Självkos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 s="1"/>
  <c r="R9" i="1" s="1"/>
  <c r="R27" i="1"/>
  <c r="R26" i="1"/>
  <c r="R25" i="1"/>
  <c r="R24" i="1"/>
  <c r="R23" i="1"/>
  <c r="R8" i="1"/>
  <c r="R20" i="1"/>
  <c r="R15" i="1"/>
  <c r="Q15" i="1"/>
  <c r="P5" i="1"/>
  <c r="D25" i="1"/>
  <c r="L11" i="1" s="1"/>
  <c r="H19" i="1"/>
  <c r="D6" i="1"/>
  <c r="L10" i="1" s="1"/>
  <c r="R11" i="1"/>
  <c r="R12" i="1" s="1"/>
  <c r="H11" i="1"/>
  <c r="L9" i="1"/>
  <c r="L8" i="1"/>
  <c r="L7" i="1"/>
  <c r="H18" i="1"/>
  <c r="P4" i="1"/>
  <c r="H17" i="1"/>
  <c r="H16" i="1"/>
  <c r="L5" i="1" s="1"/>
  <c r="L4" i="1"/>
  <c r="H15" i="1"/>
  <c r="H14" i="1"/>
  <c r="H10" i="1"/>
  <c r="H5" i="1"/>
  <c r="D17" i="1"/>
  <c r="D15" i="1"/>
  <c r="L6" i="1" s="1"/>
  <c r="D16" i="1"/>
  <c r="C6" i="11"/>
  <c r="C8" i="11" s="1"/>
  <c r="C24" i="11"/>
  <c r="C23" i="11"/>
  <c r="C22" i="11"/>
  <c r="C20" i="11"/>
  <c r="C7" i="11"/>
  <c r="C4" i="11"/>
  <c r="P25" i="1" l="1"/>
  <c r="L25" i="1"/>
  <c r="C9" i="11"/>
  <c r="C10" i="11" s="1"/>
  <c r="C8" i="10"/>
  <c r="G13" i="10"/>
  <c r="F16" i="10"/>
  <c r="F20" i="10" s="1"/>
  <c r="G21" i="10" s="1"/>
  <c r="C17" i="10"/>
  <c r="C9" i="10"/>
  <c r="C5" i="11"/>
  <c r="C19" i="10"/>
  <c r="F18" i="10"/>
  <c r="C11" i="10"/>
  <c r="F19" i="10"/>
  <c r="I18" i="10"/>
  <c r="H27" i="1"/>
  <c r="D7" i="1"/>
  <c r="D27" i="1"/>
  <c r="R5" i="1" s="1"/>
  <c r="H12" i="1"/>
  <c r="L27" i="1" l="1"/>
  <c r="H6" i="1" s="1"/>
  <c r="H8" i="1" s="1"/>
  <c r="H28" i="1" s="1"/>
  <c r="C11" i="11"/>
  <c r="C12" i="11" s="1"/>
  <c r="C5" i="10"/>
  <c r="C4" i="10"/>
  <c r="C15" i="10"/>
  <c r="F17" i="10" s="1"/>
  <c r="D28" i="1"/>
  <c r="C6" i="10" l="1"/>
  <c r="C16" i="10" s="1"/>
  <c r="C18" i="10" s="1"/>
  <c r="C20" i="10" l="1"/>
  <c r="G12" i="10"/>
</calcChain>
</file>

<file path=xl/sharedStrings.xml><?xml version="1.0" encoding="utf-8"?>
<sst xmlns="http://schemas.openxmlformats.org/spreadsheetml/2006/main" count="230" uniqueCount="160">
  <si>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</si>
  <si>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</si>
  <si>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</si>
  <si>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</si>
  <si>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</si>
  <si>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</si>
  <si>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</si>
  <si>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</si>
  <si>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</si>
  <si>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</si>
  <si>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</si>
  <si>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</si>
  <si>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 xml:space="preserve"> </t>
  </si>
  <si>
    <t>Balansomslutning</t>
  </si>
  <si>
    <t>Tillgångar</t>
  </si>
  <si>
    <t>Summa kostnader</t>
  </si>
  <si>
    <t>Summa intäkter</t>
  </si>
  <si>
    <t>Summa anläggning</t>
  </si>
  <si>
    <t>Summa omsättningstillgångar</t>
  </si>
  <si>
    <t>Summa långfristig skuld</t>
  </si>
  <si>
    <t>Summa kortfristig skuld</t>
  </si>
  <si>
    <t>Summa Eget kapital</t>
  </si>
  <si>
    <t>Nyckeltalen</t>
  </si>
  <si>
    <t>Företaget köper ett laserskrivare för 18 000 på 30 dagars kredit.</t>
  </si>
  <si>
    <t>Företaget tar ett mobilabonnemang med mobil som kostar 19 000 kr. Den har 30 dagar kredit.</t>
  </si>
  <si>
    <t>Företaget importerar 100 bord för 300 000 och får 60 dagars kredit. De ställs i lager.</t>
  </si>
  <si>
    <t>Företaget säljer 90 bord för 630 000 på 20 dagars kredit.</t>
  </si>
  <si>
    <t>Kunden som köpte de 90 borden betalar dem efter 20 dagar.</t>
  </si>
  <si>
    <t>Företaget betalar de 100 bord man köpte in.</t>
  </si>
  <si>
    <t>Företaget betalar hyra på 25 000 kontant.</t>
  </si>
  <si>
    <t>Företaget betalar ut lön på 290 000 kontant.</t>
  </si>
  <si>
    <t>Företaget importerar 50 bord för 150 000 och får 60 dagars kredit. De ställs i lager.</t>
  </si>
  <si>
    <t>Företaget säljer 10 bord för 70 000 på 20 dagars kredit.</t>
  </si>
  <si>
    <t xml:space="preserve">Gör bokslut och boka upp årets resultat. </t>
  </si>
  <si>
    <t>Företaget betalar ränta på lånet med 26 000 och amorterar 30 000.</t>
  </si>
  <si>
    <t>Affärshändelser Mannes Glasbord AB</t>
  </si>
  <si>
    <t>Ni startar bolaget  och sätter in 80 000 i aktiekapital.</t>
  </si>
  <si>
    <t>Bolaget tar ett banklån på 320 000 som ska betalas tillbaka på 10 år.</t>
  </si>
  <si>
    <t xml:space="preserve">Företaget köper en kopiator för 75 000 på 30 dagars kredit. </t>
  </si>
  <si>
    <t>Företaget betalar kopiatorn efter 30 dagar.</t>
  </si>
  <si>
    <t>Företaget skriver av kopiatorn med 15 000 kr som har en ekonomisk livslängd på 5 år.</t>
  </si>
  <si>
    <t>Analys Mannes Glasbord.</t>
  </si>
  <si>
    <t>RESULTATBUDGET (Tkr)</t>
  </si>
  <si>
    <t>Budget år 1</t>
  </si>
  <si>
    <t>Schablon /Uppskattn</t>
  </si>
  <si>
    <t>Försäljning                            +</t>
  </si>
  <si>
    <t>Personalkostnader</t>
  </si>
  <si>
    <t>lön x plus 40 % sociala och pension</t>
  </si>
  <si>
    <t>Inköp                                     -</t>
  </si>
  <si>
    <t>Konsultkostnader</t>
  </si>
  <si>
    <t xml:space="preserve">1 000 kr timme </t>
  </si>
  <si>
    <t>Bruttovinst                           =</t>
  </si>
  <si>
    <t>Avskrivningar</t>
  </si>
  <si>
    <t>Kostnadsränta</t>
  </si>
  <si>
    <t>5 procent</t>
  </si>
  <si>
    <t>Löner inkl. sociala och pension</t>
  </si>
  <si>
    <t>Hotell &amp; traktamente</t>
  </si>
  <si>
    <t>1 500 kronor per natt</t>
  </si>
  <si>
    <t>Lokaler inkl el, värme VA mm.</t>
  </si>
  <si>
    <t>Bil inkl. allt exkl leasing</t>
  </si>
  <si>
    <t>30 kr milen</t>
  </si>
  <si>
    <t>Resebiljetter och hotell</t>
  </si>
  <si>
    <t>Bilar inkl. drivmedel</t>
  </si>
  <si>
    <t>Nyckeltal</t>
  </si>
  <si>
    <t>Budget</t>
  </si>
  <si>
    <t>Data Mobil Kommunikation</t>
  </si>
  <si>
    <t>Vinstmarginal</t>
  </si>
  <si>
    <t>Marknadsföring</t>
  </si>
  <si>
    <t>Täckningsgrad</t>
  </si>
  <si>
    <t>Övriga kostnader</t>
  </si>
  <si>
    <t>Summa kostnader (A)</t>
  </si>
  <si>
    <t>Önskad vinst nedan i rött:</t>
  </si>
  <si>
    <t>Resultat före avskrivningar             =</t>
  </si>
  <si>
    <t>Pris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</si>
  <si>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</si>
  <si>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t>A</t>
  </si>
  <si>
    <t>Inköp</t>
  </si>
  <si>
    <t>Resultat före finansnetto                =</t>
  </si>
  <si>
    <t>B</t>
  </si>
  <si>
    <t>TB</t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</si>
  <si>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</si>
  <si>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C</t>
  </si>
  <si>
    <t>Resultat före skatt                           =</t>
  </si>
  <si>
    <t xml:space="preserve"> =</t>
  </si>
  <si>
    <t>Antal för break-even --&gt;</t>
  </si>
  <si>
    <t>5 år på möbler, fordon mm</t>
  </si>
  <si>
    <t>Marknadsföring 50 000 kr per år.</t>
  </si>
  <si>
    <t>Övriga kostnader 25000 kr om året.</t>
  </si>
  <si>
    <t>Lön 50 000 kr/månad</t>
  </si>
  <si>
    <t>Glasbord</t>
  </si>
  <si>
    <t>Inköpspris 4000 kr styck</t>
  </si>
  <si>
    <t>Försäljningspris 9000 kr styck</t>
  </si>
  <si>
    <t>Lokal 7000 kr/månad</t>
  </si>
  <si>
    <t>Mobil och IT kostnader 25000 kr per år.</t>
  </si>
  <si>
    <t>Kör egen bil och ar milersättning 30 kr/mil. Kör 1800 mil</t>
  </si>
  <si>
    <t>Inköp en skåpbil som kostar 250 000 kr</t>
  </si>
  <si>
    <t>Lån till lastbil 200 000 kr</t>
  </si>
  <si>
    <t>Vinstkrav 100 000 kr</t>
  </si>
  <si>
    <t>Belopp i kronor</t>
  </si>
  <si>
    <t>Belopp</t>
  </si>
  <si>
    <t>Direkt material</t>
  </si>
  <si>
    <t>Materialomkostnadspålägg MO</t>
  </si>
  <si>
    <t>Direkt lön</t>
  </si>
  <si>
    <t>Direkt tillverkningskostnad</t>
  </si>
  <si>
    <t>Tillverkningsomkostnadspålägg TO</t>
  </si>
  <si>
    <t>Tillverkningskostnad =</t>
  </si>
  <si>
    <t>AFFO påslag</t>
  </si>
  <si>
    <t>Självkostnad =</t>
  </si>
  <si>
    <t>Vinstpåslag</t>
  </si>
  <si>
    <t>Anbudspris =</t>
  </si>
  <si>
    <t>Förutsättningar (Täckningsgrad)</t>
  </si>
  <si>
    <t>Ange procent</t>
  </si>
  <si>
    <t>Maskinens årskostnad</t>
  </si>
  <si>
    <t>Antal produktionstimmar</t>
  </si>
  <si>
    <t>Summa maskinkostnad/tim</t>
  </si>
  <si>
    <t>Antalet arbetade timmar</t>
  </si>
  <si>
    <t>Självkostnadskalkyl 30 Glasbord</t>
  </si>
  <si>
    <t>Tenta AB Mannes glasbord</t>
  </si>
  <si>
    <t xml:space="preserve">Tenta AB Glasbord </t>
  </si>
  <si>
    <t>Har ni tid, glöm inte nyckeltalen samt att analysera företaget.</t>
  </si>
  <si>
    <t xml:space="preserve">Soliditet </t>
  </si>
  <si>
    <t>Kassalikviditet</t>
  </si>
  <si>
    <t>Lager</t>
  </si>
  <si>
    <t>Omsättningstillgångar - lager</t>
  </si>
  <si>
    <t>TG</t>
  </si>
  <si>
    <t xml:space="preserve">Bruttovinst </t>
  </si>
  <si>
    <t>Genomsnittlager</t>
  </si>
  <si>
    <t>Mätpunkt 1</t>
  </si>
  <si>
    <t>Mätpunkt  2</t>
  </si>
  <si>
    <t>Mätpunkt  3</t>
  </si>
  <si>
    <t>Mätpunkt  4</t>
  </si>
  <si>
    <t>Bankränta</t>
  </si>
  <si>
    <t>Aktiekapital</t>
  </si>
  <si>
    <t>Banklån</t>
  </si>
  <si>
    <t>Kopiatorn</t>
  </si>
  <si>
    <t>Betalar kopiatorn</t>
  </si>
  <si>
    <t>Amortering</t>
  </si>
  <si>
    <t>Laserskrivare</t>
  </si>
  <si>
    <t xml:space="preserve">Mobilabonnemang </t>
  </si>
  <si>
    <t>Importerar 100 bord</t>
  </si>
  <si>
    <t>Betalar 100 bord man köpte in</t>
  </si>
  <si>
    <t>Kund betalar 90 bord</t>
  </si>
  <si>
    <t>Köp laserskrivare</t>
  </si>
  <si>
    <t>KSV 90 bord</t>
  </si>
  <si>
    <t>FSG 90 bord</t>
  </si>
  <si>
    <t>Kundford 90 bord</t>
  </si>
  <si>
    <t>Kundford bort 90 bord</t>
  </si>
  <si>
    <t>Hyra</t>
  </si>
  <si>
    <t>Betalar hyra</t>
  </si>
  <si>
    <t>Betalar ut lön</t>
  </si>
  <si>
    <t>Lön</t>
  </si>
  <si>
    <t>Betalar ränta på lån</t>
  </si>
  <si>
    <t>Ränta på lån</t>
  </si>
  <si>
    <t>Betalar amortering</t>
  </si>
  <si>
    <t>Avsrivning</t>
  </si>
  <si>
    <t>Importerar 50 bord</t>
  </si>
  <si>
    <t>Exporterar 90 bord</t>
  </si>
  <si>
    <t>Kundford 10 bord</t>
  </si>
  <si>
    <t>KSV 10 bord</t>
  </si>
  <si>
    <t>FSG 10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</si>
</sst>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9A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rgb="FF9A000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5" borderId="0" xfId="0" applyFont="1" applyFill="1"/>
    <xf numFmtId="0" fontId="1" fillId="4" borderId="0" xfId="0" applyFont="1" applyFill="1" applyAlignment="1">
      <alignment horizontal="center"/>
    </xf>
    <xf numFmtId="0" fontId="5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6" fillId="9" borderId="0" xfId="0" applyFont="1" applyFill="1"/>
    <xf numFmtId="3" fontId="2" fillId="0" borderId="2" xfId="0" applyNumberFormat="1" applyFont="1" applyBorder="1"/>
    <xf numFmtId="3" fontId="2" fillId="0" borderId="3" xfId="0" applyNumberFormat="1" applyFont="1" applyBorder="1"/>
    <xf numFmtId="3" fontId="4" fillId="0" borderId="2" xfId="0" applyNumberFormat="1" applyFont="1" applyBorder="1"/>
    <xf numFmtId="3" fontId="3" fillId="0" borderId="2" xfId="0" applyNumberFormat="1" applyFont="1" applyBorder="1"/>
    <xf numFmtId="3" fontId="2" fillId="0" borderId="6" xfId="0" applyNumberFormat="1" applyFont="1" applyBorder="1"/>
    <xf numFmtId="0" fontId="0" fillId="5" borderId="0" xfId="0" applyFill="1"/>
    <xf numFmtId="3" fontId="9" fillId="0" borderId="6" xfId="0" applyNumberFormat="1" applyFont="1" applyBorder="1"/>
    <xf numFmtId="3" fontId="9" fillId="0" borderId="2" xfId="0" applyNumberFormat="1" applyFont="1" applyBorder="1"/>
    <xf numFmtId="0" fontId="2" fillId="5" borderId="0" xfId="0" applyFont="1" applyFill="1"/>
    <xf numFmtId="0" fontId="10" fillId="0" borderId="0" xfId="0" applyFont="1"/>
    <xf numFmtId="0" fontId="11" fillId="0" borderId="0" xfId="0" applyFont="1"/>
    <xf numFmtId="0" fontId="11" fillId="12" borderId="0" xfId="0" applyFont="1" applyFill="1" applyAlignment="1">
      <alignment wrapText="1"/>
    </xf>
    <xf numFmtId="0" fontId="11" fillId="12" borderId="0" xfId="0" applyFont="1" applyFill="1" applyAlignment="1">
      <alignment horizontal="center" wrapText="1"/>
    </xf>
    <xf numFmtId="0" fontId="10" fillId="0" borderId="0" xfId="0" applyFont="1" applyAlignment="1">
      <alignment wrapText="1"/>
    </xf>
    <xf numFmtId="0" fontId="10" fillId="12" borderId="0" xfId="0" applyFont="1" applyFill="1" applyAlignment="1">
      <alignment wrapText="1"/>
    </xf>
    <xf numFmtId="3" fontId="10" fillId="0" borderId="14" xfId="0" applyNumberFormat="1" applyFont="1" applyBorder="1"/>
    <xf numFmtId="3" fontId="10" fillId="0" borderId="0" xfId="0" applyNumberFormat="1" applyFont="1"/>
    <xf numFmtId="0" fontId="11" fillId="13" borderId="0" xfId="0" applyFont="1" applyFill="1"/>
    <xf numFmtId="3" fontId="11" fillId="4" borderId="14" xfId="0" applyNumberFormat="1" applyFont="1" applyFill="1" applyBorder="1"/>
    <xf numFmtId="3" fontId="11" fillId="4" borderId="0" xfId="0" applyNumberFormat="1" applyFont="1" applyFill="1"/>
    <xf numFmtId="0" fontId="11" fillId="4" borderId="7" xfId="0" applyFont="1" applyFill="1" applyBorder="1"/>
    <xf numFmtId="0" fontId="11" fillId="4" borderId="8" xfId="0" applyFont="1" applyFill="1" applyBorder="1" applyAlignment="1">
      <alignment horizontal="right"/>
    </xf>
    <xf numFmtId="0" fontId="10" fillId="0" borderId="9" xfId="0" applyFont="1" applyBorder="1"/>
    <xf numFmtId="10" fontId="10" fillId="0" borderId="15" xfId="0" applyNumberFormat="1" applyFont="1" applyBorder="1"/>
    <xf numFmtId="0" fontId="10" fillId="0" borderId="11" xfId="0" applyFont="1" applyBorder="1"/>
    <xf numFmtId="10" fontId="10" fillId="0" borderId="12" xfId="0" applyNumberFormat="1" applyFont="1" applyBorder="1"/>
    <xf numFmtId="0" fontId="12" fillId="0" borderId="0" xfId="0" applyFont="1"/>
    <xf numFmtId="0" fontId="11" fillId="14" borderId="0" xfId="0" applyFont="1" applyFill="1"/>
    <xf numFmtId="0" fontId="10" fillId="0" borderId="7" xfId="0" applyFont="1" applyBorder="1"/>
    <xf numFmtId="0" fontId="11" fillId="0" borderId="8" xfId="0" applyFont="1" applyBorder="1" applyAlignment="1">
      <alignment horizontal="right"/>
    </xf>
    <xf numFmtId="164" fontId="10" fillId="0" borderId="0" xfId="0" applyNumberFormat="1" applyFont="1"/>
    <xf numFmtId="3" fontId="13" fillId="0" borderId="10" xfId="0" applyNumberFormat="1" applyFont="1" applyBorder="1" applyAlignment="1">
      <alignment horizontal="right"/>
    </xf>
    <xf numFmtId="0" fontId="10" fillId="0" borderId="8" xfId="0" applyFont="1" applyBorder="1"/>
    <xf numFmtId="0" fontId="11" fillId="0" borderId="9" xfId="0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0" fontId="12" fillId="0" borderId="10" xfId="0" applyFont="1" applyBorder="1"/>
    <xf numFmtId="0" fontId="10" fillId="0" borderId="12" xfId="0" applyFont="1" applyBorder="1"/>
    <xf numFmtId="0" fontId="11" fillId="12" borderId="0" xfId="0" applyFont="1" applyFill="1"/>
    <xf numFmtId="0" fontId="11" fillId="0" borderId="11" xfId="0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1" fontId="11" fillId="11" borderId="0" xfId="0" applyNumberFormat="1" applyFont="1" applyFill="1"/>
    <xf numFmtId="0" fontId="1" fillId="10" borderId="16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7" fillId="0" borderId="0" xfId="0" applyFont="1"/>
    <xf numFmtId="0" fontId="1" fillId="0" borderId="19" xfId="0" applyFont="1" applyBorder="1"/>
    <xf numFmtId="0" fontId="1" fillId="0" borderId="20" xfId="0" applyFont="1" applyBorder="1" applyAlignment="1">
      <alignment horizontal="right"/>
    </xf>
    <xf numFmtId="0" fontId="0" fillId="12" borderId="21" xfId="0" applyFill="1" applyBorder="1"/>
    <xf numFmtId="3" fontId="0" fillId="8" borderId="22" xfId="0" applyNumberFormat="1" applyFill="1" applyBorder="1"/>
    <xf numFmtId="3" fontId="0" fillId="0" borderId="22" xfId="0" applyNumberFormat="1" applyBorder="1"/>
    <xf numFmtId="0" fontId="1" fillId="12" borderId="21" xfId="0" applyFont="1" applyFill="1" applyBorder="1"/>
    <xf numFmtId="3" fontId="1" fillId="0" borderId="22" xfId="0" applyNumberFormat="1" applyFont="1" applyBorder="1"/>
    <xf numFmtId="0" fontId="1" fillId="12" borderId="23" xfId="0" applyFont="1" applyFill="1" applyBorder="1"/>
    <xf numFmtId="3" fontId="1" fillId="0" borderId="24" xfId="0" applyNumberFormat="1" applyFont="1" applyBorder="1"/>
    <xf numFmtId="0" fontId="1" fillId="12" borderId="7" xfId="0" applyFont="1" applyFill="1" applyBorder="1"/>
    <xf numFmtId="0" fontId="1" fillId="0" borderId="8" xfId="0" applyFont="1" applyBorder="1" applyAlignment="1">
      <alignment horizontal="right"/>
    </xf>
    <xf numFmtId="0" fontId="0" fillId="12" borderId="9" xfId="0" applyFill="1" applyBorder="1"/>
    <xf numFmtId="164" fontId="0" fillId="8" borderId="10" xfId="0" applyNumberFormat="1" applyFill="1" applyBorder="1"/>
    <xf numFmtId="0" fontId="0" fillId="12" borderId="11" xfId="0" applyFill="1" applyBorder="1"/>
    <xf numFmtId="164" fontId="0" fillId="8" borderId="12" xfId="0" applyNumberFormat="1" applyFill="1" applyBorder="1"/>
    <xf numFmtId="0" fontId="0" fillId="16" borderId="7" xfId="0" applyFill="1" applyBorder="1"/>
    <xf numFmtId="3" fontId="0" fillId="8" borderId="8" xfId="0" applyNumberFormat="1" applyFill="1" applyBorder="1"/>
    <xf numFmtId="0" fontId="0" fillId="16" borderId="9" xfId="0" applyFill="1" applyBorder="1"/>
    <xf numFmtId="3" fontId="0" fillId="8" borderId="10" xfId="0" applyNumberFormat="1" applyFill="1" applyBorder="1"/>
    <xf numFmtId="0" fontId="1" fillId="16" borderId="9" xfId="0" applyFont="1" applyFill="1" applyBorder="1"/>
    <xf numFmtId="165" fontId="1" fillId="0" borderId="10" xfId="0" applyNumberFormat="1" applyFont="1" applyBorder="1"/>
    <xf numFmtId="0" fontId="1" fillId="16" borderId="11" xfId="0" applyFont="1" applyFill="1" applyBorder="1"/>
    <xf numFmtId="3" fontId="1" fillId="0" borderId="12" xfId="0" applyNumberFormat="1" applyFont="1" applyBorder="1"/>
    <xf numFmtId="3" fontId="11" fillId="15" borderId="13" xfId="0" applyNumberFormat="1" applyFont="1" applyFill="1" applyBorder="1" applyAlignment="1">
      <alignment horizontal="right"/>
    </xf>
    <xf numFmtId="0" fontId="0" fillId="15" borderId="13" xfId="0" applyFill="1" applyBorder="1" applyAlignment="1">
      <alignment horizontal="right"/>
    </xf>
    <xf numFmtId="0" fontId="1" fillId="0" borderId="0" xfId="0" applyFont="1"/>
    <xf numFmtId="3" fontId="8" fillId="0" borderId="2" xfId="0" applyNumberFormat="1" applyFont="1" applyBorder="1"/>
    <xf numFmtId="3" fontId="2" fillId="0" borderId="6" xfId="0" applyNumberFormat="1" applyFont="1" applyFill="1" applyBorder="1"/>
    <xf numFmtId="0" fontId="2" fillId="0" borderId="0" xfId="0" applyFont="1"/>
    <xf numFmtId="0" fontId="8" fillId="5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/>
    <xf numFmtId="0" fontId="8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6" borderId="0" xfId="0" applyFont="1" applyFill="1"/>
    <xf numFmtId="0" fontId="8" fillId="7" borderId="0" xfId="0" applyFont="1" applyFill="1"/>
    <xf numFmtId="3" fontId="2" fillId="0" borderId="0" xfId="0" applyNumberFormat="1" applyFont="1"/>
    <xf numFmtId="3" fontId="15" fillId="6" borderId="0" xfId="0" applyNumberFormat="1" applyFont="1" applyFill="1"/>
    <xf numFmtId="3" fontId="8" fillId="0" borderId="3" xfId="0" applyNumberFormat="1" applyFont="1" applyBorder="1"/>
    <xf numFmtId="0" fontId="4" fillId="0" borderId="25" xfId="0" applyFont="1" applyBorder="1"/>
    <xf numFmtId="9" fontId="18" fillId="0" borderId="26" xfId="0" applyNumberFormat="1" applyFont="1" applyBorder="1"/>
    <xf numFmtId="3" fontId="2" fillId="3" borderId="3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3" fontId="2" fillId="0" borderId="10" xfId="0" applyNumberFormat="1" applyFont="1" applyBorder="1"/>
    <xf numFmtId="3" fontId="8" fillId="0" borderId="2" xfId="0" applyNumberFormat="1" applyFont="1" applyBorder="1" applyAlignment="1">
      <alignment horizontal="center"/>
    </xf>
    <xf numFmtId="9" fontId="18" fillId="0" borderId="12" xfId="0" applyNumberFormat="1" applyFont="1" applyBorder="1"/>
    <xf numFmtId="0" fontId="18" fillId="0" borderId="8" xfId="0" applyFont="1" applyBorder="1"/>
    <xf numFmtId="3" fontId="2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right"/>
    </xf>
    <xf numFmtId="9" fontId="18" fillId="0" borderId="0" xfId="0" applyNumberFormat="1" applyFont="1"/>
    <xf numFmtId="3" fontId="2" fillId="0" borderId="9" xfId="0" applyNumberFormat="1" applyFont="1" applyBorder="1"/>
    <xf numFmtId="3" fontId="18" fillId="0" borderId="10" xfId="0" applyNumberFormat="1" applyFont="1" applyBorder="1"/>
    <xf numFmtId="3" fontId="18" fillId="0" borderId="8" xfId="0" applyNumberFormat="1" applyFont="1" applyBorder="1"/>
    <xf numFmtId="0" fontId="18" fillId="0" borderId="11" xfId="0" applyFont="1" applyBorder="1"/>
    <xf numFmtId="3" fontId="18" fillId="0" borderId="12" xfId="0" applyNumberFormat="1" applyFont="1" applyBorder="1"/>
    <xf numFmtId="0" fontId="2" fillId="0" borderId="11" xfId="0" applyFont="1" applyBorder="1"/>
    <xf numFmtId="10" fontId="18" fillId="0" borderId="12" xfId="0" applyNumberFormat="1" applyFont="1" applyBorder="1"/>
    <xf numFmtId="3" fontId="2" fillId="0" borderId="8" xfId="0" applyNumberFormat="1" applyFont="1" applyBorder="1"/>
    <xf numFmtId="3" fontId="8" fillId="0" borderId="0" xfId="0" applyNumberFormat="1" applyFont="1"/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8" fillId="0" borderId="11" xfId="0" applyFont="1" applyBorder="1"/>
    <xf numFmtId="3" fontId="8" fillId="2" borderId="3" xfId="0" applyNumberFormat="1" applyFont="1" applyFill="1" applyBorder="1"/>
    <xf numFmtId="3" fontId="8" fillId="2" borderId="5" xfId="0" applyNumberFormat="1" applyFont="1" applyFill="1" applyBorder="1"/>
    <xf numFmtId="3" fontId="8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88900</xdr:colOff>
      <xdr:row>28</xdr:row>
      <xdr:rowOff>72028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CC4E34E-80B7-4051-BB82-A7AB834A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75300" cy="5228228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28</xdr:row>
      <xdr:rowOff>131872</xdr:rowOff>
    </xdr:from>
    <xdr:to>
      <xdr:col>8</xdr:col>
      <xdr:colOff>165101</xdr:colOff>
      <xdr:row>49</xdr:row>
      <xdr:rowOff>37352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4B983F37-1683-418C-B482-1A86BC93A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1" y="5288072"/>
          <a:ext cx="5010150" cy="377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287718</xdr:colOff>
      <xdr:row>0</xdr:row>
      <xdr:rowOff>203199</xdr:rowOff>
    </xdr:from>
    <xdr:to>
      <xdr:col>11</xdr:col>
      <xdr:colOff>215900</xdr:colOff>
      <xdr:row>23</xdr:row>
      <xdr:rowOff>32516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8D5A9E5-BB96-9B13-3524-189D1083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2968" y="203199"/>
          <a:ext cx="4804982" cy="4160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dimension ref="B1:AE34"/>
  <sheetViews>
    <sheetView topLeftCell="B1" zoomScale="78" zoomScaleNormal="55" workbookViewId="0">
      <selection activeCell="T24" sqref="T24"/>
    </sheetView>
  </sheetViews>
  <sheetFormatPr defaultRowHeight="14.4" x14ac:dyDescent="0.3"/>
  <cols>
    <col min="1" max="1" width="2" customWidth="1"/>
    <col min="2" max="2" width="3.21875" customWidth="1"/>
    <col min="3" max="3" width="30.5546875" customWidth="1"/>
    <col min="4" max="4" width="9.5546875" customWidth="1"/>
    <col min="5" max="5" width="1.5546875" customWidth="1"/>
    <col min="6" max="6" width="3.44140625" customWidth="1"/>
    <col min="7" max="7" width="27.77734375" customWidth="1"/>
    <col min="8" max="8" width="9.88671875" customWidth="1"/>
    <col min="9" max="9" width="0.77734375" customWidth="1"/>
    <col min="10" max="10" width="3.77734375" customWidth="1"/>
    <col min="11" max="11" width="25.21875" customWidth="1"/>
    <col min="12" max="12" width="14.88671875" customWidth="1"/>
    <col min="13" max="13" width="1.5546875" customWidth="1"/>
    <col min="14" max="14" width="3.44140625" customWidth="1"/>
    <col min="15" max="15" width="16.33203125" customWidth="1"/>
    <col min="16" max="16" width="11.6640625" customWidth="1"/>
    <col min="17" max="17" width="26.5546875" customWidth="1"/>
    <col min="18" max="18" width="9.88671875" customWidth="1"/>
  </cols>
  <sheetData>
    <row r="1" spans="2:31" ht="16.2" thickBot="1" x14ac:dyDescent="0.35">
      <c r="B1" s="82"/>
      <c r="C1" s="83" t="s">
        <v>117</v>
      </c>
      <c r="D1" s="17"/>
      <c r="E1" s="82"/>
      <c r="F1" s="82"/>
      <c r="G1" s="84"/>
      <c r="H1" s="85"/>
      <c r="I1" s="85"/>
      <c r="J1" s="82"/>
      <c r="K1" s="82"/>
      <c r="L1" s="86"/>
      <c r="M1" s="86"/>
      <c r="N1" s="86"/>
      <c r="O1" s="87"/>
      <c r="P1" s="88"/>
      <c r="Q1" s="88"/>
      <c r="R1" s="82"/>
    </row>
    <row r="2" spans="2:31" ht="16.8" thickTop="1" thickBot="1" x14ac:dyDescent="0.35">
      <c r="B2" s="89" t="s">
        <v>14</v>
      </c>
      <c r="C2" s="89"/>
      <c r="D2" s="89"/>
      <c r="E2" s="82"/>
      <c r="F2" s="90" t="s">
        <v>0</v>
      </c>
      <c r="G2" s="90"/>
      <c r="H2" s="90"/>
      <c r="I2" s="91"/>
      <c r="J2" s="90" t="s">
        <v>1</v>
      </c>
      <c r="K2" s="90"/>
      <c r="L2" s="90"/>
      <c r="M2" s="82"/>
      <c r="N2" s="90" t="s">
        <v>2</v>
      </c>
      <c r="O2" s="90"/>
      <c r="P2" s="90"/>
      <c r="Q2" s="92" t="s">
        <v>22</v>
      </c>
      <c r="R2" s="82"/>
      <c r="T2" s="2" t="s">
        <v>3</v>
      </c>
      <c r="U2" s="4" t="s">
        <v>35</v>
      </c>
      <c r="AE2" s="50" t="s">
        <v>89</v>
      </c>
    </row>
    <row r="3" spans="2:31" ht="16.2" thickBot="1" x14ac:dyDescent="0.35">
      <c r="B3" s="80" t="s">
        <v>3</v>
      </c>
      <c r="C3" s="80" t="s">
        <v>4</v>
      </c>
      <c r="D3" s="80" t="s">
        <v>5</v>
      </c>
      <c r="E3" s="93"/>
      <c r="F3" s="80" t="s">
        <v>3</v>
      </c>
      <c r="G3" s="80" t="s">
        <v>4</v>
      </c>
      <c r="H3" s="80" t="s">
        <v>5</v>
      </c>
      <c r="I3" s="94"/>
      <c r="J3" s="80" t="s">
        <v>3</v>
      </c>
      <c r="K3" s="80" t="s">
        <v>4</v>
      </c>
      <c r="L3" s="80" t="s">
        <v>5</v>
      </c>
      <c r="M3" s="93"/>
      <c r="N3" s="80" t="s">
        <v>3</v>
      </c>
      <c r="O3" s="80" t="s">
        <v>4</v>
      </c>
      <c r="P3" s="95" t="s">
        <v>5</v>
      </c>
      <c r="Q3" s="96" t="s">
        <v>120</v>
      </c>
      <c r="R3" s="97" t="s">
        <v>12</v>
      </c>
      <c r="S3" s="6"/>
      <c r="T3" s="5">
        <v>1</v>
      </c>
      <c r="U3" s="6" t="s">
        <v>36</v>
      </c>
      <c r="AE3" s="51" t="s">
        <v>90</v>
      </c>
    </row>
    <row r="4" spans="2:31" ht="16.2" thickBot="1" x14ac:dyDescent="0.35">
      <c r="B4" s="98" t="s">
        <v>6</v>
      </c>
      <c r="C4" s="99"/>
      <c r="D4" s="100"/>
      <c r="E4" s="93"/>
      <c r="F4" s="98" t="s">
        <v>7</v>
      </c>
      <c r="G4" s="99"/>
      <c r="H4" s="100"/>
      <c r="I4" s="94"/>
      <c r="J4" s="9">
        <v>5</v>
      </c>
      <c r="K4" s="9" t="s">
        <v>137</v>
      </c>
      <c r="L4" s="9">
        <f>-D12</f>
        <v>18000</v>
      </c>
      <c r="M4" s="93"/>
      <c r="N4" s="9">
        <v>8</v>
      </c>
      <c r="O4" s="9" t="s">
        <v>144</v>
      </c>
      <c r="P4" s="10">
        <f>D14</f>
        <v>630000</v>
      </c>
      <c r="Q4" s="96" t="s">
        <v>121</v>
      </c>
      <c r="R4" s="101"/>
      <c r="S4" s="6"/>
      <c r="T4" s="5">
        <v>2</v>
      </c>
      <c r="U4" s="6" t="s">
        <v>37</v>
      </c>
      <c r="AE4" s="51" t="s">
        <v>91</v>
      </c>
    </row>
    <row r="5" spans="2:31" ht="15.6" x14ac:dyDescent="0.3">
      <c r="B5" s="9">
        <v>3</v>
      </c>
      <c r="C5" s="9" t="s">
        <v>134</v>
      </c>
      <c r="D5" s="9">
        <v>75000</v>
      </c>
      <c r="E5" s="93"/>
      <c r="F5" s="9">
        <v>1</v>
      </c>
      <c r="G5" s="9" t="s">
        <v>132</v>
      </c>
      <c r="H5" s="9">
        <f>-D9</f>
        <v>-80000</v>
      </c>
      <c r="I5" s="94"/>
      <c r="J5" s="9">
        <v>6</v>
      </c>
      <c r="K5" s="9" t="s">
        <v>138</v>
      </c>
      <c r="L5" s="9">
        <f>-H16</f>
        <v>19000</v>
      </c>
      <c r="M5" s="93"/>
      <c r="N5" s="9">
        <v>16</v>
      </c>
      <c r="O5" s="9" t="s">
        <v>159</v>
      </c>
      <c r="P5" s="10">
        <f>D24</f>
        <v>70000</v>
      </c>
      <c r="Q5" s="102" t="s">
        <v>9</v>
      </c>
      <c r="R5" s="103">
        <f>D27</f>
        <v>536000</v>
      </c>
      <c r="S5" s="6"/>
      <c r="T5" s="5">
        <v>3</v>
      </c>
      <c r="U5" s="6" t="s">
        <v>38</v>
      </c>
      <c r="AE5" s="51"/>
    </row>
    <row r="6" spans="2:31" ht="15.6" x14ac:dyDescent="0.3">
      <c r="B6" s="9">
        <v>14</v>
      </c>
      <c r="C6" s="9" t="s">
        <v>154</v>
      </c>
      <c r="D6" s="9">
        <f>-(D5-15000)/5</f>
        <v>-12000</v>
      </c>
      <c r="E6" s="93"/>
      <c r="F6" s="9">
        <v>17</v>
      </c>
      <c r="G6" s="11" t="s">
        <v>8</v>
      </c>
      <c r="H6" s="12">
        <f>-L27</f>
        <v>-60000</v>
      </c>
      <c r="I6" s="94"/>
      <c r="J6" s="9">
        <v>8</v>
      </c>
      <c r="K6" s="9" t="s">
        <v>143</v>
      </c>
      <c r="L6" s="9">
        <f>-D15</f>
        <v>330000</v>
      </c>
      <c r="M6" s="93"/>
      <c r="N6" s="9"/>
      <c r="O6" s="9"/>
      <c r="P6" s="10"/>
      <c r="Q6" s="102" t="s">
        <v>122</v>
      </c>
      <c r="R6" s="103">
        <f>SUM(R23:R26)</f>
        <v>200000</v>
      </c>
      <c r="S6" s="6"/>
      <c r="T6" s="5">
        <v>4</v>
      </c>
      <c r="U6" s="6" t="s">
        <v>39</v>
      </c>
      <c r="AE6" s="51" t="s">
        <v>92</v>
      </c>
    </row>
    <row r="7" spans="2:31" ht="15.6" x14ac:dyDescent="0.3">
      <c r="B7" s="9"/>
      <c r="C7" s="104" t="s">
        <v>17</v>
      </c>
      <c r="D7" s="80">
        <f>SUM(D5:D6)</f>
        <v>63000</v>
      </c>
      <c r="E7" s="93"/>
      <c r="F7" s="9"/>
      <c r="G7" s="80"/>
      <c r="H7" s="12"/>
      <c r="I7" s="94"/>
      <c r="J7" s="9">
        <v>11</v>
      </c>
      <c r="K7" s="9" t="s">
        <v>147</v>
      </c>
      <c r="L7" s="9">
        <f>-D19</f>
        <v>25000</v>
      </c>
      <c r="M7" s="93"/>
      <c r="N7" s="9"/>
      <c r="O7" s="9"/>
      <c r="P7" s="10"/>
      <c r="Q7" s="102" t="s">
        <v>123</v>
      </c>
      <c r="R7" s="103">
        <f>R5-R6</f>
        <v>336000</v>
      </c>
      <c r="S7" s="6"/>
      <c r="T7" s="5">
        <v>5</v>
      </c>
      <c r="U7" s="6" t="s">
        <v>23</v>
      </c>
      <c r="AE7" s="51" t="s">
        <v>93</v>
      </c>
    </row>
    <row r="8" spans="2:31" ht="16.2" thickBot="1" x14ac:dyDescent="0.35">
      <c r="B8" s="98" t="s">
        <v>9</v>
      </c>
      <c r="C8" s="99"/>
      <c r="D8" s="100"/>
      <c r="E8" s="93"/>
      <c r="F8" s="9"/>
      <c r="G8" s="104" t="s">
        <v>21</v>
      </c>
      <c r="H8" s="80">
        <f>SUM(H5:H7)</f>
        <v>-140000</v>
      </c>
      <c r="I8" s="94"/>
      <c r="J8" s="9">
        <v>12</v>
      </c>
      <c r="K8" s="9" t="s">
        <v>150</v>
      </c>
      <c r="L8" s="9">
        <f>-D20</f>
        <v>290000</v>
      </c>
      <c r="M8" s="93"/>
      <c r="N8" s="9"/>
      <c r="O8" s="9"/>
      <c r="P8" s="10"/>
      <c r="Q8" s="102" t="s">
        <v>11</v>
      </c>
      <c r="R8" s="103">
        <f>-H27</f>
        <v>169000</v>
      </c>
      <c r="S8" s="6"/>
      <c r="T8" s="5">
        <v>6</v>
      </c>
      <c r="U8" s="6" t="s">
        <v>24</v>
      </c>
      <c r="AE8" s="51" t="s">
        <v>94</v>
      </c>
    </row>
    <row r="9" spans="2:31" ht="16.2" thickBot="1" x14ac:dyDescent="0.35">
      <c r="B9" s="9">
        <v>1</v>
      </c>
      <c r="C9" s="9" t="s">
        <v>132</v>
      </c>
      <c r="D9" s="9">
        <v>80000</v>
      </c>
      <c r="E9" s="93"/>
      <c r="F9" s="98" t="s">
        <v>10</v>
      </c>
      <c r="G9" s="99"/>
      <c r="H9" s="100"/>
      <c r="I9" s="94"/>
      <c r="J9" s="9">
        <v>13</v>
      </c>
      <c r="K9" s="9" t="s">
        <v>152</v>
      </c>
      <c r="L9" s="9">
        <f>-D21</f>
        <v>26000</v>
      </c>
      <c r="M9" s="93"/>
      <c r="N9" s="9"/>
      <c r="O9" s="9"/>
      <c r="P9" s="10"/>
      <c r="Q9" s="96" t="s">
        <v>121</v>
      </c>
      <c r="R9" s="105">
        <f>R7/R8</f>
        <v>1.9881656804733727</v>
      </c>
      <c r="S9" s="6"/>
      <c r="T9" s="5">
        <v>7</v>
      </c>
      <c r="U9" s="6" t="s">
        <v>25</v>
      </c>
      <c r="AE9" s="51" t="s">
        <v>86</v>
      </c>
    </row>
    <row r="10" spans="2:31" ht="16.2" thickBot="1" x14ac:dyDescent="0.35">
      <c r="B10" s="9">
        <v>2</v>
      </c>
      <c r="C10" s="9" t="s">
        <v>133</v>
      </c>
      <c r="D10" s="9">
        <v>320000</v>
      </c>
      <c r="E10" s="93"/>
      <c r="F10" s="9">
        <v>2</v>
      </c>
      <c r="G10" s="9" t="s">
        <v>133</v>
      </c>
      <c r="H10" s="9">
        <f>-D10</f>
        <v>-320000</v>
      </c>
      <c r="I10" s="94"/>
      <c r="J10" s="9">
        <v>14</v>
      </c>
      <c r="K10" s="9" t="s">
        <v>154</v>
      </c>
      <c r="L10" s="9">
        <f>-D6</f>
        <v>12000</v>
      </c>
      <c r="M10" s="93"/>
      <c r="N10" s="9"/>
      <c r="O10" s="9"/>
      <c r="P10" s="10"/>
      <c r="Q10" s="82"/>
      <c r="R10" s="82"/>
      <c r="S10" s="6"/>
      <c r="T10" s="5">
        <v>8</v>
      </c>
      <c r="U10" s="6" t="s">
        <v>26</v>
      </c>
      <c r="AE10" s="51"/>
    </row>
    <row r="11" spans="2:31" ht="16.2" thickBot="1" x14ac:dyDescent="0.35">
      <c r="B11" s="13">
        <v>4</v>
      </c>
      <c r="C11" s="9" t="s">
        <v>135</v>
      </c>
      <c r="D11" s="15">
        <v>-75000</v>
      </c>
      <c r="E11" s="93"/>
      <c r="F11" s="9">
        <v>13</v>
      </c>
      <c r="G11" s="9" t="s">
        <v>136</v>
      </c>
      <c r="H11" s="9">
        <f>-D22</f>
        <v>30000</v>
      </c>
      <c r="I11" s="94"/>
      <c r="J11" s="9">
        <v>16</v>
      </c>
      <c r="K11" s="9" t="s">
        <v>158</v>
      </c>
      <c r="L11" s="9">
        <f>-D25</f>
        <v>-80000</v>
      </c>
      <c r="M11" s="93"/>
      <c r="N11" s="9"/>
      <c r="O11" s="9"/>
      <c r="P11" s="10"/>
      <c r="Q11" s="96" t="s">
        <v>79</v>
      </c>
      <c r="R11" s="106">
        <f>9000-4000</f>
        <v>5000</v>
      </c>
      <c r="S11" s="6"/>
      <c r="T11" s="5">
        <v>9</v>
      </c>
      <c r="U11" s="6" t="s">
        <v>27</v>
      </c>
      <c r="AE11" s="51" t="s">
        <v>87</v>
      </c>
    </row>
    <row r="12" spans="2:31" ht="16.2" thickBot="1" x14ac:dyDescent="0.35">
      <c r="B12" s="9">
        <v>5</v>
      </c>
      <c r="C12" s="9" t="s">
        <v>142</v>
      </c>
      <c r="D12" s="16">
        <v>-18000</v>
      </c>
      <c r="E12" s="93"/>
      <c r="F12" s="107"/>
      <c r="G12" s="104" t="s">
        <v>19</v>
      </c>
      <c r="H12" s="108">
        <f>SUM(H10:H11)</f>
        <v>-290000</v>
      </c>
      <c r="I12" s="94"/>
      <c r="J12" s="9"/>
      <c r="K12" s="9"/>
      <c r="L12" s="9"/>
      <c r="M12" s="93"/>
      <c r="N12" s="9"/>
      <c r="O12" s="9"/>
      <c r="P12" s="10"/>
      <c r="Q12" s="96" t="s">
        <v>124</v>
      </c>
      <c r="R12" s="105">
        <f>R11/9000*100%</f>
        <v>0.55555555555555558</v>
      </c>
      <c r="S12" s="6"/>
      <c r="T12" s="5">
        <v>10</v>
      </c>
      <c r="U12" s="6" t="s">
        <v>28</v>
      </c>
      <c r="AE12" s="51"/>
    </row>
    <row r="13" spans="2:31" ht="16.2" thickBot="1" x14ac:dyDescent="0.35">
      <c r="B13" s="9">
        <v>7</v>
      </c>
      <c r="C13" s="9" t="s">
        <v>139</v>
      </c>
      <c r="D13" s="16">
        <v>300000</v>
      </c>
      <c r="E13" s="93"/>
      <c r="F13" s="98" t="s">
        <v>11</v>
      </c>
      <c r="G13" s="99"/>
      <c r="H13" s="100"/>
      <c r="I13" s="94"/>
      <c r="J13" s="9"/>
      <c r="K13" s="9"/>
      <c r="L13" s="9"/>
      <c r="M13" s="93"/>
      <c r="N13" s="9"/>
      <c r="O13" s="9"/>
      <c r="P13" s="10"/>
      <c r="Q13" s="82"/>
      <c r="R13" s="109"/>
      <c r="S13" s="6"/>
      <c r="T13" s="5">
        <v>11</v>
      </c>
      <c r="U13" s="6" t="s">
        <v>29</v>
      </c>
      <c r="AE13" s="51" t="s">
        <v>95</v>
      </c>
    </row>
    <row r="14" spans="2:31" ht="16.2" thickBot="1" x14ac:dyDescent="0.35">
      <c r="B14" s="9">
        <v>8</v>
      </c>
      <c r="C14" s="9" t="s">
        <v>145</v>
      </c>
      <c r="D14" s="16">
        <v>630000</v>
      </c>
      <c r="E14" s="93"/>
      <c r="F14" s="9">
        <v>3</v>
      </c>
      <c r="G14" s="9" t="s">
        <v>134</v>
      </c>
      <c r="H14" s="9">
        <f>-D5</f>
        <v>-75000</v>
      </c>
      <c r="I14" s="94"/>
      <c r="J14" s="9"/>
      <c r="K14" s="9"/>
      <c r="L14" s="9"/>
      <c r="M14" s="93"/>
      <c r="N14" s="9"/>
      <c r="O14" s="9"/>
      <c r="P14" s="10"/>
      <c r="Q14" s="96" t="s">
        <v>125</v>
      </c>
      <c r="R14" s="117"/>
      <c r="S14" s="6"/>
      <c r="T14" s="5">
        <v>12</v>
      </c>
      <c r="U14" s="6" t="s">
        <v>30</v>
      </c>
      <c r="AE14" s="51" t="s">
        <v>96</v>
      </c>
    </row>
    <row r="15" spans="2:31" ht="16.2" thickBot="1" x14ac:dyDescent="0.35">
      <c r="B15" s="81">
        <v>8</v>
      </c>
      <c r="C15" s="81" t="s">
        <v>156</v>
      </c>
      <c r="D15" s="16">
        <f>D13-D14</f>
        <v>-330000</v>
      </c>
      <c r="E15" s="93"/>
      <c r="F15" s="9">
        <v>4</v>
      </c>
      <c r="G15" s="9" t="s">
        <v>135</v>
      </c>
      <c r="H15" s="9">
        <f>-D11</f>
        <v>75000</v>
      </c>
      <c r="I15" s="94"/>
      <c r="J15" s="9"/>
      <c r="K15" s="9"/>
      <c r="L15" s="9"/>
      <c r="M15" s="93"/>
      <c r="N15" s="9"/>
      <c r="O15" s="9"/>
      <c r="P15" s="10"/>
      <c r="Q15" s="110">
        <f>L6+L11</f>
        <v>250000</v>
      </c>
      <c r="R15" s="111">
        <f>P25-Q15</f>
        <v>450000</v>
      </c>
      <c r="S15" s="6"/>
      <c r="T15" s="5">
        <v>13</v>
      </c>
      <c r="U15" s="6" t="s">
        <v>34</v>
      </c>
      <c r="AE15" s="51" t="s">
        <v>97</v>
      </c>
    </row>
    <row r="16" spans="2:31" ht="16.2" thickBot="1" x14ac:dyDescent="0.35">
      <c r="B16" s="9">
        <v>9</v>
      </c>
      <c r="C16" s="9" t="s">
        <v>141</v>
      </c>
      <c r="D16" s="16">
        <f>D14</f>
        <v>630000</v>
      </c>
      <c r="E16" s="93"/>
      <c r="F16" s="9">
        <v>6</v>
      </c>
      <c r="G16" s="9" t="s">
        <v>138</v>
      </c>
      <c r="H16" s="9">
        <f>-19000</f>
        <v>-19000</v>
      </c>
      <c r="I16" s="94"/>
      <c r="J16" s="9"/>
      <c r="K16" s="9"/>
      <c r="L16" s="9"/>
      <c r="M16" s="93"/>
      <c r="N16" s="9"/>
      <c r="O16" s="9"/>
      <c r="P16" s="10"/>
      <c r="Q16" s="96" t="s">
        <v>131</v>
      </c>
      <c r="R16" s="112" t="s">
        <v>12</v>
      </c>
      <c r="S16" s="6"/>
      <c r="T16" s="5">
        <v>14</v>
      </c>
      <c r="U16" s="6" t="s">
        <v>40</v>
      </c>
      <c r="AE16" s="52" t="s">
        <v>88</v>
      </c>
    </row>
    <row r="17" spans="2:30" ht="16.2" thickBot="1" x14ac:dyDescent="0.35">
      <c r="B17" s="9">
        <v>9</v>
      </c>
      <c r="C17" s="9" t="s">
        <v>146</v>
      </c>
      <c r="D17" s="16">
        <f>-D14</f>
        <v>-630000</v>
      </c>
      <c r="E17" s="93"/>
      <c r="F17" s="9">
        <v>7</v>
      </c>
      <c r="G17" s="9" t="s">
        <v>139</v>
      </c>
      <c r="H17" s="9">
        <f>-D13</f>
        <v>-300000</v>
      </c>
      <c r="I17" s="94"/>
      <c r="J17" s="9"/>
      <c r="K17" s="9"/>
      <c r="L17" s="9"/>
      <c r="M17" s="93"/>
      <c r="N17" s="9"/>
      <c r="O17" s="9"/>
      <c r="P17" s="10"/>
      <c r="Q17" s="113"/>
      <c r="R17" s="114"/>
      <c r="T17" s="5">
        <v>15</v>
      </c>
      <c r="U17" s="6" t="s">
        <v>31</v>
      </c>
    </row>
    <row r="18" spans="2:30" ht="16.2" thickBot="1" x14ac:dyDescent="0.35">
      <c r="B18" s="9">
        <v>10</v>
      </c>
      <c r="C18" s="9" t="s">
        <v>140</v>
      </c>
      <c r="D18" s="16">
        <v>-300000</v>
      </c>
      <c r="E18" s="93"/>
      <c r="F18" s="9">
        <v>10</v>
      </c>
      <c r="G18" s="9" t="s">
        <v>140</v>
      </c>
      <c r="H18" s="9">
        <f>-D18</f>
        <v>300000</v>
      </c>
      <c r="I18" s="94"/>
      <c r="J18" s="9"/>
      <c r="K18" s="9"/>
      <c r="L18" s="9"/>
      <c r="M18" s="93"/>
      <c r="N18" s="9"/>
      <c r="O18" s="9"/>
      <c r="P18" s="10"/>
      <c r="Q18" s="82"/>
      <c r="R18" s="82"/>
      <c r="T18" s="5">
        <v>16</v>
      </c>
      <c r="U18" s="6" t="s">
        <v>32</v>
      </c>
    </row>
    <row r="19" spans="2:30" ht="16.2" thickBot="1" x14ac:dyDescent="0.35">
      <c r="B19" s="9">
        <v>11</v>
      </c>
      <c r="C19" s="9" t="s">
        <v>148</v>
      </c>
      <c r="D19" s="16">
        <v>-25000</v>
      </c>
      <c r="E19" s="93"/>
      <c r="F19" s="9">
        <v>15</v>
      </c>
      <c r="G19" s="9" t="s">
        <v>155</v>
      </c>
      <c r="H19" s="9">
        <f>-D23</f>
        <v>-150000</v>
      </c>
      <c r="I19" s="94"/>
      <c r="J19" s="9"/>
      <c r="K19" s="9"/>
      <c r="L19" s="9"/>
      <c r="M19" s="93"/>
      <c r="N19" s="9"/>
      <c r="O19" s="9"/>
      <c r="P19" s="10"/>
      <c r="Q19" s="96" t="s">
        <v>66</v>
      </c>
      <c r="R19" s="101"/>
      <c r="T19" s="5">
        <v>17</v>
      </c>
      <c r="U19" s="6" t="s">
        <v>33</v>
      </c>
    </row>
    <row r="20" spans="2:30" ht="16.2" thickBot="1" x14ac:dyDescent="0.35">
      <c r="B20" s="9">
        <v>12</v>
      </c>
      <c r="C20" s="9" t="s">
        <v>149</v>
      </c>
      <c r="D20" s="16">
        <v>-290000</v>
      </c>
      <c r="E20" s="93"/>
      <c r="F20" s="9"/>
      <c r="G20" s="9"/>
      <c r="H20" s="9"/>
      <c r="I20" s="94"/>
      <c r="J20" s="9"/>
      <c r="K20" s="9"/>
      <c r="L20" s="9"/>
      <c r="M20" s="93"/>
      <c r="N20" s="9"/>
      <c r="O20" s="9"/>
      <c r="P20" s="10"/>
      <c r="Q20" s="115"/>
      <c r="R20" s="116">
        <f>L27/P25</f>
        <v>8.5714285714285715E-2</v>
      </c>
      <c r="T20" s="5"/>
      <c r="U20" s="7" t="s">
        <v>119</v>
      </c>
    </row>
    <row r="21" spans="2:30" ht="16.2" thickBot="1" x14ac:dyDescent="0.35">
      <c r="B21" s="9">
        <v>13</v>
      </c>
      <c r="C21" s="9" t="s">
        <v>151</v>
      </c>
      <c r="D21" s="16">
        <v>-26000</v>
      </c>
      <c r="E21" s="93"/>
      <c r="F21" s="9"/>
      <c r="G21" s="9"/>
      <c r="H21" s="9"/>
      <c r="I21" s="94"/>
      <c r="J21" s="9"/>
      <c r="K21" s="9"/>
      <c r="L21" s="9"/>
      <c r="M21" s="93"/>
      <c r="N21" s="9"/>
      <c r="O21" s="9"/>
      <c r="P21" s="10"/>
      <c r="Q21" s="82"/>
      <c r="R21" s="82"/>
    </row>
    <row r="22" spans="2:30" ht="16.2" thickBot="1" x14ac:dyDescent="0.35">
      <c r="B22" s="9">
        <v>13</v>
      </c>
      <c r="C22" s="9" t="s">
        <v>153</v>
      </c>
      <c r="D22" s="16">
        <v>-30000</v>
      </c>
      <c r="E22" s="93"/>
      <c r="F22" s="9"/>
      <c r="G22" s="9"/>
      <c r="H22" s="9"/>
      <c r="I22" s="94"/>
      <c r="J22" s="9"/>
      <c r="K22" s="9"/>
      <c r="L22" s="9"/>
      <c r="M22" s="93"/>
      <c r="N22" s="9"/>
      <c r="O22" s="9"/>
      <c r="P22" s="10"/>
      <c r="Q22" s="96" t="s">
        <v>126</v>
      </c>
      <c r="R22" s="117"/>
    </row>
    <row r="23" spans="2:30" ht="15.6" x14ac:dyDescent="0.3">
      <c r="B23" s="9">
        <v>15</v>
      </c>
      <c r="C23" s="9" t="s">
        <v>155</v>
      </c>
      <c r="D23" s="16">
        <v>150000</v>
      </c>
      <c r="E23" s="93"/>
      <c r="F23" s="9"/>
      <c r="G23" s="9"/>
      <c r="H23" s="9"/>
      <c r="I23" s="94"/>
      <c r="J23" s="9"/>
      <c r="K23" s="9"/>
      <c r="L23" s="9"/>
      <c r="M23" s="93"/>
      <c r="N23" s="9"/>
      <c r="O23" s="9"/>
      <c r="P23" s="10"/>
      <c r="Q23" s="102" t="s">
        <v>127</v>
      </c>
      <c r="R23" s="103">
        <f>D13</f>
        <v>300000</v>
      </c>
    </row>
    <row r="24" spans="2:30" ht="15.6" x14ac:dyDescent="0.3">
      <c r="B24" s="9">
        <v>16</v>
      </c>
      <c r="C24" s="9" t="s">
        <v>157</v>
      </c>
      <c r="D24" s="16">
        <v>70000</v>
      </c>
      <c r="E24" s="93"/>
      <c r="F24" s="9"/>
      <c r="G24" s="9"/>
      <c r="H24" s="9"/>
      <c r="I24" s="94"/>
      <c r="J24" s="9"/>
      <c r="K24" s="9"/>
      <c r="L24" s="9"/>
      <c r="M24" s="93"/>
      <c r="N24" s="9"/>
      <c r="O24" s="9"/>
      <c r="P24" s="10"/>
      <c r="Q24" s="102" t="s">
        <v>128</v>
      </c>
      <c r="R24" s="103">
        <f>D15</f>
        <v>-330000</v>
      </c>
    </row>
    <row r="25" spans="2:30" ht="15.6" x14ac:dyDescent="0.3">
      <c r="B25" s="9">
        <v>16</v>
      </c>
      <c r="C25" s="81" t="s">
        <v>156</v>
      </c>
      <c r="D25" s="9">
        <f>D23-D24</f>
        <v>80000</v>
      </c>
      <c r="E25" s="93"/>
      <c r="F25" s="9"/>
      <c r="G25" s="9"/>
      <c r="H25" s="9"/>
      <c r="I25" s="94"/>
      <c r="J25" s="9"/>
      <c r="K25" s="80" t="s">
        <v>15</v>
      </c>
      <c r="L25" s="80">
        <f>SUM(L4:L24)</f>
        <v>640000</v>
      </c>
      <c r="M25" s="118"/>
      <c r="N25" s="80"/>
      <c r="O25" s="80" t="s">
        <v>16</v>
      </c>
      <c r="P25" s="95">
        <f>SUM(P4:P24)</f>
        <v>700000</v>
      </c>
      <c r="Q25" s="102" t="s">
        <v>129</v>
      </c>
      <c r="R25" s="103">
        <f>D23</f>
        <v>150000</v>
      </c>
    </row>
    <row r="26" spans="2:30" ht="15.6" x14ac:dyDescent="0.3">
      <c r="B26" s="9"/>
      <c r="C26" s="9"/>
      <c r="D26" s="9"/>
      <c r="E26" s="93"/>
      <c r="F26" s="9"/>
      <c r="G26" s="9"/>
      <c r="H26" s="9"/>
      <c r="I26" s="94"/>
      <c r="J26" s="119" t="s">
        <v>12</v>
      </c>
      <c r="K26" s="120"/>
      <c r="L26" s="121"/>
      <c r="M26" s="93"/>
      <c r="N26" s="119" t="s">
        <v>12</v>
      </c>
      <c r="O26" s="120"/>
      <c r="P26" s="120"/>
      <c r="Q26" s="102" t="s">
        <v>130</v>
      </c>
      <c r="R26" s="103">
        <f>D25</f>
        <v>80000</v>
      </c>
    </row>
    <row r="27" spans="2:30" ht="16.2" thickBot="1" x14ac:dyDescent="0.35">
      <c r="B27" s="9" t="s">
        <v>12</v>
      </c>
      <c r="C27" s="104" t="s">
        <v>18</v>
      </c>
      <c r="D27" s="80">
        <f>SUM(D9:D26)</f>
        <v>536000</v>
      </c>
      <c r="E27" s="93"/>
      <c r="F27" s="9"/>
      <c r="G27" s="104" t="s">
        <v>20</v>
      </c>
      <c r="H27" s="108">
        <f>SUM(H14:H26)</f>
        <v>-169000</v>
      </c>
      <c r="I27" s="94"/>
      <c r="J27" s="9"/>
      <c r="K27" s="108" t="s">
        <v>8</v>
      </c>
      <c r="L27" s="12">
        <f>P25-L25</f>
        <v>60000</v>
      </c>
      <c r="M27" s="93"/>
      <c r="N27" s="9"/>
      <c r="O27" s="9"/>
      <c r="P27" s="10"/>
      <c r="Q27" s="122" t="s">
        <v>126</v>
      </c>
      <c r="R27" s="114">
        <f>SUM(R23:R26)/4</f>
        <v>50000</v>
      </c>
    </row>
    <row r="28" spans="2:30" ht="15.6" x14ac:dyDescent="0.3">
      <c r="B28" s="123" t="s">
        <v>13</v>
      </c>
      <c r="C28" s="124"/>
      <c r="D28" s="125">
        <f>D7+D27</f>
        <v>599000</v>
      </c>
      <c r="E28" s="93"/>
      <c r="F28" s="123" t="s">
        <v>13</v>
      </c>
      <c r="G28" s="124"/>
      <c r="H28" s="125">
        <f>H8+H12+H27</f>
        <v>-599000</v>
      </c>
      <c r="I28" s="94"/>
      <c r="J28" s="9"/>
      <c r="K28" s="9"/>
      <c r="L28" s="9"/>
      <c r="M28" s="93"/>
      <c r="N28" s="9"/>
      <c r="O28" s="9"/>
      <c r="P28" s="10"/>
      <c r="Q28" s="82"/>
      <c r="R28" s="82"/>
    </row>
    <row r="31" spans="2:30" ht="15.6" x14ac:dyDescent="0.3">
      <c r="E31" s="79"/>
      <c r="Q31" s="5"/>
      <c r="R31" s="6"/>
      <c r="AB31" s="3"/>
      <c r="AC31" s="3"/>
      <c r="AD31" s="3"/>
    </row>
    <row r="32" spans="2:30" ht="15.6" x14ac:dyDescent="0.3">
      <c r="Q32" s="5"/>
      <c r="R32" s="6"/>
      <c r="AB32" s="3"/>
    </row>
    <row r="33" spans="17:28" ht="15.6" x14ac:dyDescent="0.3">
      <c r="Q33" s="5"/>
      <c r="R33" s="6"/>
      <c r="AB33" s="3"/>
    </row>
    <row r="34" spans="17:28" ht="15.6" x14ac:dyDescent="0.3">
      <c r="Q34" s="5"/>
      <c r="R34" s="6"/>
    </row>
  </sheetData>
  <mergeCells count="13">
    <mergeCell ref="N2:P2"/>
    <mergeCell ref="B4:D4"/>
    <mergeCell ref="F4:H4"/>
    <mergeCell ref="B28:C28"/>
    <mergeCell ref="F28:G28"/>
    <mergeCell ref="B2:D2"/>
    <mergeCell ref="F2:H2"/>
    <mergeCell ref="J2:L2"/>
    <mergeCell ref="B8:D8"/>
    <mergeCell ref="F9:H9"/>
    <mergeCell ref="F13:H13"/>
    <mergeCell ref="J26:L26"/>
    <mergeCell ref="N26:P26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54FE-90EB-4DD4-8DE9-7065DA3776B0}">
  <dimension ref="A2:B20"/>
  <sheetViews>
    <sheetView workbookViewId="0">
      <selection activeCell="B22" sqref="B22"/>
    </sheetView>
  </sheetViews>
  <sheetFormatPr defaultRowHeight="14.4" x14ac:dyDescent="0.3"/>
  <cols>
    <col min="1" max="1" width="6.33203125" style="5" customWidth="1"/>
    <col min="2" max="2" width="85.33203125" customWidth="1"/>
  </cols>
  <sheetData>
    <row r="2" spans="1:2" x14ac:dyDescent="0.3">
      <c r="A2" s="2" t="s">
        <v>3</v>
      </c>
      <c r="B2" s="4" t="s">
        <v>35</v>
      </c>
    </row>
    <row r="3" spans="1:2" ht="15.6" x14ac:dyDescent="0.3">
      <c r="A3" s="5">
        <v>1</v>
      </c>
      <c r="B3" s="6" t="s">
        <v>36</v>
      </c>
    </row>
    <row r="4" spans="1:2" ht="15.6" x14ac:dyDescent="0.3">
      <c r="A4" s="5">
        <v>2</v>
      </c>
      <c r="B4" s="6" t="s">
        <v>37</v>
      </c>
    </row>
    <row r="5" spans="1:2" ht="15.6" x14ac:dyDescent="0.3">
      <c r="A5" s="5">
        <v>3</v>
      </c>
      <c r="B5" s="6" t="s">
        <v>38</v>
      </c>
    </row>
    <row r="6" spans="1:2" ht="15.6" x14ac:dyDescent="0.3">
      <c r="A6" s="5">
        <v>4</v>
      </c>
      <c r="B6" s="6" t="s">
        <v>39</v>
      </c>
    </row>
    <row r="7" spans="1:2" ht="15.6" x14ac:dyDescent="0.3">
      <c r="A7" s="5">
        <v>5</v>
      </c>
      <c r="B7" s="6" t="s">
        <v>23</v>
      </c>
    </row>
    <row r="8" spans="1:2" ht="15.6" x14ac:dyDescent="0.3">
      <c r="A8" s="5">
        <v>6</v>
      </c>
      <c r="B8" s="6" t="s">
        <v>24</v>
      </c>
    </row>
    <row r="9" spans="1:2" ht="15.6" x14ac:dyDescent="0.3">
      <c r="A9" s="5">
        <v>7</v>
      </c>
      <c r="B9" s="6" t="s">
        <v>25</v>
      </c>
    </row>
    <row r="10" spans="1:2" ht="15.6" x14ac:dyDescent="0.3">
      <c r="A10" s="5">
        <v>8</v>
      </c>
      <c r="B10" s="6" t="s">
        <v>26</v>
      </c>
    </row>
    <row r="11" spans="1:2" ht="15.6" x14ac:dyDescent="0.3">
      <c r="A11" s="5">
        <v>9</v>
      </c>
      <c r="B11" s="6" t="s">
        <v>27</v>
      </c>
    </row>
    <row r="12" spans="1:2" ht="15.6" x14ac:dyDescent="0.3">
      <c r="A12" s="5">
        <v>10</v>
      </c>
      <c r="B12" s="6" t="s">
        <v>28</v>
      </c>
    </row>
    <row r="13" spans="1:2" ht="15.6" x14ac:dyDescent="0.3">
      <c r="A13" s="5">
        <v>11</v>
      </c>
      <c r="B13" s="6" t="s">
        <v>29</v>
      </c>
    </row>
    <row r="14" spans="1:2" ht="15.6" x14ac:dyDescent="0.3">
      <c r="A14" s="5">
        <v>12</v>
      </c>
      <c r="B14" s="6" t="s">
        <v>30</v>
      </c>
    </row>
    <row r="15" spans="1:2" ht="15.6" x14ac:dyDescent="0.3">
      <c r="A15" s="5">
        <v>13</v>
      </c>
      <c r="B15" s="6" t="s">
        <v>34</v>
      </c>
    </row>
    <row r="16" spans="1:2" ht="15.6" x14ac:dyDescent="0.3">
      <c r="A16" s="5">
        <v>14</v>
      </c>
      <c r="B16" s="6" t="s">
        <v>40</v>
      </c>
    </row>
    <row r="17" spans="1:2" ht="15.6" x14ac:dyDescent="0.3">
      <c r="A17" s="5">
        <v>15</v>
      </c>
      <c r="B17" s="6" t="s">
        <v>31</v>
      </c>
    </row>
    <row r="18" spans="1:2" ht="15.6" x14ac:dyDescent="0.3">
      <c r="A18" s="5">
        <v>16</v>
      </c>
      <c r="B18" s="6" t="s">
        <v>32</v>
      </c>
    </row>
    <row r="19" spans="1:2" ht="15.6" x14ac:dyDescent="0.3">
      <c r="A19" s="5">
        <v>17</v>
      </c>
      <c r="B19" s="6" t="s">
        <v>33</v>
      </c>
    </row>
    <row r="20" spans="1:2" ht="15.6" x14ac:dyDescent="0.3">
      <c r="B20" s="7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7EDB-48A0-4BA9-8282-1D437A84B878}">
  <sheetPr>
    <tabColor rgb="FFFFC000"/>
  </sheetPr>
  <dimension ref="A2:A23"/>
  <sheetViews>
    <sheetView zoomScale="90" zoomScaleNormal="90" workbookViewId="0">
      <selection activeCell="A3" sqref="A3"/>
    </sheetView>
  </sheetViews>
  <sheetFormatPr defaultRowHeight="14.4" x14ac:dyDescent="0.3"/>
  <cols>
    <col min="1" max="1" width="131.21875" customWidth="1"/>
  </cols>
  <sheetData>
    <row r="2" spans="1:1" ht="18" x14ac:dyDescent="0.35">
      <c r="A2" s="8" t="s">
        <v>41</v>
      </c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4"/>
    </row>
    <row r="23" spans="1:1" x14ac:dyDescent="0.3">
      <c r="A2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242B-2935-4077-9364-40CCA1A3FD9C}">
  <dimension ref="A1"/>
  <sheetViews>
    <sheetView topLeftCell="A19" workbookViewId="0">
      <selection activeCell="L18" sqref="L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DA68-775C-4AFF-BD7D-F7545C3640F7}">
  <dimension ref="B1:L21"/>
  <sheetViews>
    <sheetView zoomScale="110" zoomScaleNormal="110" workbookViewId="0">
      <selection activeCell="L3" sqref="L3:L17"/>
    </sheetView>
  </sheetViews>
  <sheetFormatPr defaultColWidth="9.21875" defaultRowHeight="13.8" x14ac:dyDescent="0.3"/>
  <cols>
    <col min="1" max="1" width="4.5546875" style="18" customWidth="1"/>
    <col min="2" max="2" width="28.44140625" style="18" customWidth="1"/>
    <col min="3" max="3" width="14" style="18" customWidth="1"/>
    <col min="4" max="4" width="2.6640625" style="18" customWidth="1"/>
    <col min="5" max="5" width="3.5546875" style="18" customWidth="1"/>
    <col min="6" max="6" width="18.21875" style="18" customWidth="1"/>
    <col min="7" max="7" width="9.5546875" style="18" customWidth="1"/>
    <col min="8" max="8" width="5.77734375" style="18" customWidth="1"/>
    <col min="9" max="9" width="6.44140625" style="18" customWidth="1"/>
    <col min="10" max="10" width="8.44140625" style="18" customWidth="1"/>
    <col min="11" max="11" width="3.88671875" style="18" customWidth="1"/>
    <col min="12" max="12" width="54.6640625" style="18" customWidth="1"/>
    <col min="13" max="16384" width="9.21875" style="18"/>
  </cols>
  <sheetData>
    <row r="1" spans="2:12" ht="15.6" x14ac:dyDescent="0.3">
      <c r="B1" s="17" t="s">
        <v>118</v>
      </c>
    </row>
    <row r="2" spans="2:12" ht="14.4" thickBot="1" x14ac:dyDescent="0.35">
      <c r="B2" s="19" t="s">
        <v>42</v>
      </c>
    </row>
    <row r="3" spans="2:12" ht="15" thickTop="1" x14ac:dyDescent="0.3">
      <c r="B3" s="20"/>
      <c r="C3" s="21" t="s">
        <v>43</v>
      </c>
      <c r="D3" s="21"/>
      <c r="E3" s="22"/>
      <c r="F3" s="20" t="s">
        <v>44</v>
      </c>
      <c r="G3" s="20"/>
      <c r="H3" s="23"/>
      <c r="I3" s="23"/>
      <c r="J3" s="23"/>
      <c r="L3" s="50" t="s">
        <v>89</v>
      </c>
    </row>
    <row r="4" spans="2:12" ht="14.4" x14ac:dyDescent="0.3">
      <c r="B4" s="18" t="s">
        <v>45</v>
      </c>
      <c r="C4" s="24">
        <f>I16*G21</f>
        <v>2228400</v>
      </c>
      <c r="D4" s="25"/>
      <c r="F4" s="18" t="s">
        <v>46</v>
      </c>
      <c r="G4" s="18" t="s">
        <v>47</v>
      </c>
      <c r="L4" s="51" t="s">
        <v>90</v>
      </c>
    </row>
    <row r="5" spans="2:12" ht="14.4" x14ac:dyDescent="0.3">
      <c r="B5" s="18" t="s">
        <v>48</v>
      </c>
      <c r="C5" s="24">
        <f>I17*G21</f>
        <v>990400</v>
      </c>
      <c r="D5" s="25"/>
      <c r="F5" s="18" t="s">
        <v>49</v>
      </c>
      <c r="G5" s="18" t="s">
        <v>50</v>
      </c>
      <c r="L5" s="51" t="s">
        <v>91</v>
      </c>
    </row>
    <row r="6" spans="2:12" ht="14.4" x14ac:dyDescent="0.3">
      <c r="B6" s="26" t="s">
        <v>51</v>
      </c>
      <c r="C6" s="27">
        <f>C4-C5</f>
        <v>1238000</v>
      </c>
      <c r="D6" s="28"/>
      <c r="F6" s="18" t="s">
        <v>52</v>
      </c>
      <c r="G6" s="18" t="s">
        <v>85</v>
      </c>
      <c r="L6" s="51"/>
    </row>
    <row r="7" spans="2:12" ht="14.4" x14ac:dyDescent="0.3">
      <c r="C7" s="24"/>
      <c r="D7" s="25"/>
      <c r="F7" s="18" t="s">
        <v>53</v>
      </c>
      <c r="G7" s="18" t="s">
        <v>54</v>
      </c>
      <c r="L7" s="51" t="s">
        <v>92</v>
      </c>
    </row>
    <row r="8" spans="2:12" ht="14.4" x14ac:dyDescent="0.3">
      <c r="B8" s="18" t="s">
        <v>55</v>
      </c>
      <c r="C8" s="24">
        <f>50000*1.4*12</f>
        <v>840000</v>
      </c>
      <c r="D8" s="25"/>
      <c r="F8" s="18" t="s">
        <v>56</v>
      </c>
      <c r="G8" s="18" t="s">
        <v>57</v>
      </c>
      <c r="L8" s="51" t="s">
        <v>93</v>
      </c>
    </row>
    <row r="9" spans="2:12" ht="14.4" x14ac:dyDescent="0.3">
      <c r="B9" s="18" t="s">
        <v>58</v>
      </c>
      <c r="C9" s="24">
        <f>7000*12</f>
        <v>84000</v>
      </c>
      <c r="D9" s="25"/>
      <c r="F9" s="18" t="s">
        <v>59</v>
      </c>
      <c r="G9" s="18" t="s">
        <v>60</v>
      </c>
      <c r="L9" s="51" t="s">
        <v>94</v>
      </c>
    </row>
    <row r="10" spans="2:12" ht="15" thickBot="1" x14ac:dyDescent="0.35">
      <c r="B10" s="18" t="s">
        <v>61</v>
      </c>
      <c r="C10" s="24">
        <v>0</v>
      </c>
      <c r="D10" s="25"/>
      <c r="L10" s="51" t="s">
        <v>86</v>
      </c>
    </row>
    <row r="11" spans="2:12" ht="14.4" x14ac:dyDescent="0.3">
      <c r="B11" s="18" t="s">
        <v>62</v>
      </c>
      <c r="C11" s="24">
        <f>30*1800</f>
        <v>54000</v>
      </c>
      <c r="D11" s="25"/>
      <c r="F11" s="29" t="s">
        <v>63</v>
      </c>
      <c r="G11" s="30" t="s">
        <v>64</v>
      </c>
      <c r="L11" s="51"/>
    </row>
    <row r="12" spans="2:12" ht="14.4" x14ac:dyDescent="0.3">
      <c r="B12" s="18" t="s">
        <v>65</v>
      </c>
      <c r="C12" s="24">
        <v>25000</v>
      </c>
      <c r="D12" s="25"/>
      <c r="F12" s="31" t="s">
        <v>66</v>
      </c>
      <c r="G12" s="32">
        <f>C18/C4</f>
        <v>4.9362771495243221E-2</v>
      </c>
      <c r="L12" s="51" t="s">
        <v>87</v>
      </c>
    </row>
    <row r="13" spans="2:12" ht="15" thickBot="1" x14ac:dyDescent="0.35">
      <c r="B13" s="18" t="s">
        <v>67</v>
      </c>
      <c r="C13" s="24">
        <v>50000</v>
      </c>
      <c r="D13" s="25"/>
      <c r="F13" s="33" t="s">
        <v>68</v>
      </c>
      <c r="G13" s="34">
        <f>I18/I16</f>
        <v>0.55555555555555558</v>
      </c>
      <c r="L13" s="51"/>
    </row>
    <row r="14" spans="2:12" ht="15" thickBot="1" x14ac:dyDescent="0.35">
      <c r="B14" s="18" t="s">
        <v>69</v>
      </c>
      <c r="C14" s="24">
        <v>25000</v>
      </c>
      <c r="D14" s="25"/>
      <c r="H14" s="35"/>
      <c r="L14" s="51" t="s">
        <v>95</v>
      </c>
    </row>
    <row r="15" spans="2:12" ht="15" thickBot="1" x14ac:dyDescent="0.35">
      <c r="B15" s="36" t="s">
        <v>70</v>
      </c>
      <c r="C15" s="27">
        <f>SUM(C8:C14)</f>
        <v>1078000</v>
      </c>
      <c r="D15" s="25"/>
      <c r="E15" s="37"/>
      <c r="F15" s="38" t="s">
        <v>71</v>
      </c>
      <c r="G15" s="39"/>
      <c r="L15" s="51" t="s">
        <v>96</v>
      </c>
    </row>
    <row r="16" spans="2:12" ht="14.4" x14ac:dyDescent="0.3">
      <c r="B16" s="36" t="s">
        <v>72</v>
      </c>
      <c r="C16" s="27">
        <f>C6-C15</f>
        <v>160000</v>
      </c>
      <c r="D16" s="25"/>
      <c r="E16" s="31"/>
      <c r="F16" s="40">
        <f>100000</f>
        <v>100000</v>
      </c>
      <c r="H16" s="37" t="s">
        <v>73</v>
      </c>
      <c r="I16" s="41">
        <v>9000</v>
      </c>
      <c r="L16" s="51" t="s">
        <v>97</v>
      </c>
    </row>
    <row r="17" spans="2:12" ht="15" thickBot="1" x14ac:dyDescent="0.35">
      <c r="B17" s="18" t="s">
        <v>74</v>
      </c>
      <c r="C17" s="24">
        <f>250000/5</f>
        <v>50000</v>
      </c>
      <c r="D17" s="25"/>
      <c r="E17" s="42" t="s">
        <v>75</v>
      </c>
      <c r="F17" s="43">
        <f>C15</f>
        <v>1078000</v>
      </c>
      <c r="H17" s="31" t="s">
        <v>76</v>
      </c>
      <c r="I17" s="44">
        <v>4000</v>
      </c>
      <c r="L17" s="52" t="s">
        <v>88</v>
      </c>
    </row>
    <row r="18" spans="2:12" ht="15" thickTop="1" thickBot="1" x14ac:dyDescent="0.35">
      <c r="B18" s="26" t="s">
        <v>77</v>
      </c>
      <c r="C18" s="27">
        <f>C16-C17</f>
        <v>110000</v>
      </c>
      <c r="D18" s="25"/>
      <c r="E18" s="42" t="s">
        <v>78</v>
      </c>
      <c r="F18" s="43">
        <f>C17</f>
        <v>50000</v>
      </c>
      <c r="H18" s="33" t="s">
        <v>79</v>
      </c>
      <c r="I18" s="45">
        <f>I16-I17</f>
        <v>5000</v>
      </c>
    </row>
    <row r="19" spans="2:12" x14ac:dyDescent="0.3">
      <c r="B19" s="18" t="s">
        <v>80</v>
      </c>
      <c r="C19" s="24">
        <f>200000*0.05</f>
        <v>10000</v>
      </c>
      <c r="D19" s="25"/>
      <c r="E19" s="42" t="s">
        <v>81</v>
      </c>
      <c r="F19" s="43">
        <f>C19</f>
        <v>10000</v>
      </c>
    </row>
    <row r="20" spans="2:12" ht="14.4" thickBot="1" x14ac:dyDescent="0.35">
      <c r="B20" s="46" t="s">
        <v>82</v>
      </c>
      <c r="C20" s="27">
        <f>C18-C19</f>
        <v>100000</v>
      </c>
      <c r="D20" s="25"/>
      <c r="E20" s="47" t="s">
        <v>83</v>
      </c>
      <c r="F20" s="48">
        <f>SUM(F16:F19)</f>
        <v>1238000</v>
      </c>
    </row>
    <row r="21" spans="2:12" ht="14.4" x14ac:dyDescent="0.3">
      <c r="E21" s="77" t="s">
        <v>84</v>
      </c>
      <c r="F21" s="78"/>
      <c r="G21" s="49">
        <f>F20/I18</f>
        <v>247.6</v>
      </c>
    </row>
  </sheetData>
  <mergeCells count="1">
    <mergeCell ref="E21:F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95CF-76D7-4F25-BA8E-0B2F6B6C2D5A}">
  <dimension ref="B1:E24"/>
  <sheetViews>
    <sheetView tabSelected="1" workbookViewId="0">
      <selection activeCell="D25" sqref="D25"/>
    </sheetView>
  </sheetViews>
  <sheetFormatPr defaultRowHeight="14.4" x14ac:dyDescent="0.3"/>
  <cols>
    <col min="2" max="2" width="33.77734375" customWidth="1"/>
    <col min="3" max="3" width="13.44140625" customWidth="1"/>
  </cols>
  <sheetData>
    <row r="1" spans="2:5" ht="18.600000000000001" thickBot="1" x14ac:dyDescent="0.4">
      <c r="B1" s="53" t="s">
        <v>116</v>
      </c>
    </row>
    <row r="2" spans="2:5" ht="15" thickTop="1" x14ac:dyDescent="0.3">
      <c r="B2" s="54" t="s">
        <v>98</v>
      </c>
      <c r="C2" s="55" t="s">
        <v>99</v>
      </c>
    </row>
    <row r="3" spans="2:5" x14ac:dyDescent="0.3">
      <c r="B3" s="56" t="s">
        <v>100</v>
      </c>
      <c r="C3" s="57">
        <v>30000</v>
      </c>
      <c r="E3" t="s">
        <v>12</v>
      </c>
    </row>
    <row r="4" spans="2:5" x14ac:dyDescent="0.3">
      <c r="B4" s="56" t="s">
        <v>101</v>
      </c>
      <c r="C4" s="58">
        <f>C3*C15</f>
        <v>9000</v>
      </c>
    </row>
    <row r="5" spans="2:5" x14ac:dyDescent="0.3">
      <c r="B5" s="56" t="s">
        <v>102</v>
      </c>
      <c r="C5" s="57">
        <f>200*30</f>
        <v>6000</v>
      </c>
    </row>
    <row r="6" spans="2:5" x14ac:dyDescent="0.3">
      <c r="B6" s="56" t="s">
        <v>103</v>
      </c>
      <c r="C6" s="58">
        <f>C24</f>
        <v>2000.0000000000002</v>
      </c>
    </row>
    <row r="7" spans="2:5" x14ac:dyDescent="0.3">
      <c r="B7" s="56" t="s">
        <v>104</v>
      </c>
      <c r="C7" s="58">
        <f>C5*C16</f>
        <v>1200</v>
      </c>
    </row>
    <row r="8" spans="2:5" x14ac:dyDescent="0.3">
      <c r="B8" s="59" t="s">
        <v>105</v>
      </c>
      <c r="C8" s="60">
        <f>SUM(C3:C7)</f>
        <v>48200</v>
      </c>
    </row>
    <row r="9" spans="2:5" x14ac:dyDescent="0.3">
      <c r="B9" s="56" t="s">
        <v>106</v>
      </c>
      <c r="C9" s="58">
        <f>C8*C17</f>
        <v>14460</v>
      </c>
    </row>
    <row r="10" spans="2:5" x14ac:dyDescent="0.3">
      <c r="B10" s="59" t="s">
        <v>107</v>
      </c>
      <c r="C10" s="60">
        <f>C8+C9</f>
        <v>62660</v>
      </c>
    </row>
    <row r="11" spans="2:5" x14ac:dyDescent="0.3">
      <c r="B11" s="56" t="s">
        <v>108</v>
      </c>
      <c r="C11" s="58">
        <f>C10*C18</f>
        <v>25064</v>
      </c>
    </row>
    <row r="12" spans="2:5" ht="15" thickBot="1" x14ac:dyDescent="0.35">
      <c r="B12" s="61" t="s">
        <v>109</v>
      </c>
      <c r="C12" s="62">
        <f>C10+C11</f>
        <v>87724</v>
      </c>
    </row>
    <row r="13" spans="2:5" ht="15.6" thickTop="1" thickBot="1" x14ac:dyDescent="0.35"/>
    <row r="14" spans="2:5" x14ac:dyDescent="0.3">
      <c r="B14" s="63" t="s">
        <v>110</v>
      </c>
      <c r="C14" s="64" t="s">
        <v>111</v>
      </c>
    </row>
    <row r="15" spans="2:5" x14ac:dyDescent="0.3">
      <c r="B15" s="65" t="s">
        <v>101</v>
      </c>
      <c r="C15" s="66">
        <v>0.3</v>
      </c>
    </row>
    <row r="16" spans="2:5" x14ac:dyDescent="0.3">
      <c r="B16" s="65" t="s">
        <v>104</v>
      </c>
      <c r="C16" s="66">
        <v>0.2</v>
      </c>
    </row>
    <row r="17" spans="2:3" x14ac:dyDescent="0.3">
      <c r="B17" s="65" t="s">
        <v>106</v>
      </c>
      <c r="C17" s="66">
        <v>0.3</v>
      </c>
    </row>
    <row r="18" spans="2:3" ht="15" thickBot="1" x14ac:dyDescent="0.35">
      <c r="B18" s="67" t="s">
        <v>108</v>
      </c>
      <c r="C18" s="68">
        <v>0.4</v>
      </c>
    </row>
    <row r="19" spans="2:3" ht="15" thickBot="1" x14ac:dyDescent="0.35"/>
    <row r="20" spans="2:3" x14ac:dyDescent="0.3">
      <c r="B20" s="69" t="s">
        <v>112</v>
      </c>
      <c r="C20" s="70">
        <f>200000</f>
        <v>200000</v>
      </c>
    </row>
    <row r="21" spans="2:3" x14ac:dyDescent="0.3">
      <c r="B21" s="71" t="s">
        <v>113</v>
      </c>
      <c r="C21" s="72">
        <v>1500</v>
      </c>
    </row>
    <row r="22" spans="2:3" x14ac:dyDescent="0.3">
      <c r="B22" s="73" t="s">
        <v>114</v>
      </c>
      <c r="C22" s="74">
        <f>C20/C21</f>
        <v>133.33333333333334</v>
      </c>
    </row>
    <row r="23" spans="2:3" x14ac:dyDescent="0.3">
      <c r="B23" s="71" t="s">
        <v>115</v>
      </c>
      <c r="C23" s="72">
        <f>30*0.5</f>
        <v>15</v>
      </c>
    </row>
    <row r="24" spans="2:3" ht="15" thickBot="1" x14ac:dyDescent="0.35">
      <c r="B24" s="75" t="s">
        <v>103</v>
      </c>
      <c r="C24" s="76">
        <f>C22*C23</f>
        <v>2000.0000000000002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1CB6BDC948FE2458A73108686FB416A" ma:contentTypeVersion="22" ma:contentTypeDescription="Skapa ett nytt dokument." ma:contentTypeScope="" ma:versionID="ca544dc7db3a6202a8348bc04a24563f">
  <xsd:schema xmlns:xsd="http://www.w3.org/2001/XMLSchema" xmlns:xs="http://www.w3.org/2001/XMLSchema" xmlns:p="http://schemas.microsoft.com/office/2006/metadata/properties" xmlns:ns2="a8f457b1-e513-43d5-ba80-64bc0e79f88c" xmlns:ns3="827c8486-0069-4c8b-a72b-a057f4272d6b" targetNamespace="http://schemas.microsoft.com/office/2006/metadata/properties" ma:root="true" ma:fieldsID="a832d0c66137d712160bb7d5e80eacc3" ns2:_="" ns3:_="">
    <xsd:import namespace="a8f457b1-e513-43d5-ba80-64bc0e79f88c"/>
    <xsd:import namespace="827c8486-0069-4c8b-a72b-a057f4272d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_x00e5_lgrupp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457b1-e513-43d5-ba80-64bc0e79f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eringar" ma:readOnly="false" ma:fieldId="{5cf76f15-5ced-4ddc-b409-7134ff3c332f}" ma:taxonomyMulti="true" ma:sspId="5c710d13-4dcc-47ab-8cf0-c7c483f2e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_x00e5_lgrupp" ma:index="25" nillable="true" ma:displayName="Målgrupp" ma:format="Dropdown" ma:internalName="M_x00e5_lgrupp">
      <xsd:simpleType>
        <xsd:restriction base="dms:Choice">
          <xsd:enumeration value="Personal"/>
          <xsd:enumeration value="Studerande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c8486-0069-4c8b-a72b-a057f4272d6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6df47eb-c2ad-4939-8324-96dffea99225}" ma:internalName="TaxCatchAll" ma:showField="CatchAllData" ma:web="827c8486-0069-4c8b-a72b-a057f4272d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8568AF-CFE1-4CF2-A951-C611864BDB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7168F9-69D7-4E9C-B62E-411DE2AFD0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f457b1-e513-43d5-ba80-64bc0e79f88c"/>
    <ds:schemaRef ds:uri="827c8486-0069-4c8b-a72b-a057f4272d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Bokföring</vt:lpstr>
      <vt:lpstr>Affärshänd.</vt:lpstr>
      <vt:lpstr>Analys</vt:lpstr>
      <vt:lpstr>Formler</vt:lpstr>
      <vt:lpstr>Resultatbudget</vt:lpstr>
      <vt:lpstr>Självkost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Xingrong Zong</cp:lastModifiedBy>
  <cp:revision/>
  <cp:lastPrinted>2020-01-14T15:44:05Z</cp:lastPrinted>
  <dcterms:created xsi:type="dcterms:W3CDTF">2019-01-31T15:28:08Z</dcterms:created>
  <dcterms:modified xsi:type="dcterms:W3CDTF">2024-02-02T11:57:57Z</dcterms:modified>
  <cp:category/>
  <cp:contentStatus/>
</cp:coreProperties>
</file>