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harts" sheetId="2" r:id="rId5"/>
  </sheets>
  <definedNames/>
  <calcPr/>
</workbook>
</file>

<file path=xl/sharedStrings.xml><?xml version="1.0" encoding="utf-8"?>
<sst xmlns="http://schemas.openxmlformats.org/spreadsheetml/2006/main" count="156" uniqueCount="47">
  <si>
    <t>3pt Rating</t>
  </si>
  <si>
    <t>3pt FG%</t>
  </si>
  <si>
    <t>Total Games</t>
  </si>
  <si>
    <t>Win %</t>
  </si>
  <si>
    <t>Position</t>
  </si>
  <si>
    <t>Based on 3pt</t>
  </si>
  <si>
    <t>3pt %</t>
  </si>
  <si>
    <t>Based on 3pt%</t>
  </si>
  <si>
    <t>Total</t>
  </si>
  <si>
    <t>70-79</t>
  </si>
  <si>
    <t>0-9</t>
  </si>
  <si>
    <t>80-89</t>
  </si>
  <si>
    <t>90-99</t>
  </si>
  <si>
    <t>20-29</t>
  </si>
  <si>
    <t>30-39</t>
  </si>
  <si>
    <t>Catch &amp; Shoot Potential</t>
  </si>
  <si>
    <t>40-49</t>
  </si>
  <si>
    <t>Bronze (70-76)</t>
  </si>
  <si>
    <t>50-59</t>
  </si>
  <si>
    <t>Silver (77-83)</t>
  </si>
  <si>
    <t>60-69</t>
  </si>
  <si>
    <t>Gold (84-91)</t>
  </si>
  <si>
    <t>HOF (92-99)</t>
  </si>
  <si>
    <t>Based On GP</t>
  </si>
  <si>
    <t>500-999</t>
  </si>
  <si>
    <t>1000-1499</t>
  </si>
  <si>
    <t>1500-1999</t>
  </si>
  <si>
    <t>2000-2499</t>
  </si>
  <si>
    <t>2500-2999</t>
  </si>
  <si>
    <t>PG</t>
  </si>
  <si>
    <t>3000-3499</t>
  </si>
  <si>
    <t>3500-3999</t>
  </si>
  <si>
    <t>4000-4499</t>
  </si>
  <si>
    <t>4500-4999</t>
  </si>
  <si>
    <t>5000-5499</t>
  </si>
  <si>
    <t>SG</t>
  </si>
  <si>
    <t>5500-5999</t>
  </si>
  <si>
    <t>6000-6499</t>
  </si>
  <si>
    <t>6500-6999</t>
  </si>
  <si>
    <t>7000-7499</t>
  </si>
  <si>
    <t>7500-8000</t>
  </si>
  <si>
    <t>SF</t>
  </si>
  <si>
    <t>Based On W%</t>
  </si>
  <si>
    <t>3pt%</t>
  </si>
  <si>
    <t>GP</t>
  </si>
  <si>
    <t>PF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</si>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</sst>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>
      <b/>
      <color rgb="FFFFFFFF"/>
      <name val="Arial"/>
    </font>
    <font>
      <color rgb="FFFFFFFF"/>
      <name val="Arial"/>
    </font>
    <font>
      <b/>
      <sz val="6.0"/>
      <color theme="1"/>
      <name val="Arial"/>
    </font>
    <font>
      <sz val="11.0"/>
      <color theme="1"/>
      <name val="Arial"/>
    </font>
    <font>
      <b/>
      <i/>
      <color theme="1"/>
      <name val="Arial"/>
    </font>
    <font>
      <color rgb="FF008000"/>
      <name val="Arial"/>
    </font>
  </fonts>
  <fills count="3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0000FF"/>
        <bgColor rgb="FF0000FF"/>
      </patternFill>
    </fill>
    <fill>
      <patternFill patternType="solid">
        <fgColor rgb="FF4C1130"/>
        <bgColor rgb="FF4C113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  <fill>
      <patternFill patternType="solid">
        <fgColor rgb="FF741B47"/>
        <bgColor rgb="FF741B47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7F6000"/>
        <bgColor rgb="FF7F6000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134F5C"/>
        <bgColor rgb="FF134F5C"/>
      </patternFill>
    </fill>
    <fill>
      <patternFill patternType="solid">
        <fgColor rgb="FF9900FF"/>
        <bgColor rgb="FF9900FF"/>
      </patternFill>
    </fill>
    <fill>
      <patternFill patternType="solid">
        <fgColor rgb="FF76A5AF"/>
        <bgColor rgb="FF76A5AF"/>
      </patternFill>
    </fill>
    <fill>
      <patternFill patternType="solid">
        <fgColor rgb="FF660000"/>
        <bgColor rgb="FF660000"/>
      </patternFill>
    </fill>
    <fill>
      <patternFill patternType="solid">
        <fgColor rgb="FF990000"/>
        <bgColor rgb="FF990000"/>
      </patternFill>
    </fill>
    <fill>
      <patternFill patternType="solid">
        <fgColor rgb="FFF4CCCC"/>
        <bgColor rgb="FFF4CCCC"/>
      </patternFill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2" fontId="2" numFmtId="0" xfId="0" applyAlignment="1" applyBorder="1" applyFill="1" applyFont="1">
      <alignment horizontal="right" vertical="bottom"/>
    </xf>
    <xf borderId="1" fillId="3" fontId="4" numFmtId="0" xfId="0" applyAlignment="1" applyBorder="1" applyFill="1" applyFont="1">
      <alignment horizontal="right" vertical="bottom"/>
    </xf>
    <xf borderId="1" fillId="4" fontId="5" numFmtId="0" xfId="0" applyAlignment="1" applyBorder="1" applyFill="1" applyFont="1">
      <alignment horizontal="right" vertical="bottom"/>
    </xf>
    <xf borderId="1" fillId="5" fontId="4" numFmtId="0" xfId="0" applyAlignment="1" applyBorder="1" applyFill="1" applyFont="1">
      <alignment horizontal="right" vertical="bottom"/>
    </xf>
    <xf borderId="2" fillId="6" fontId="5" numFmtId="0" xfId="0" applyAlignment="1" applyBorder="1" applyFill="1" applyFont="1">
      <alignment horizontal="center" vertical="bottom"/>
    </xf>
    <xf borderId="3" fillId="0" fontId="2" numFmtId="0" xfId="0" applyAlignment="1" applyBorder="1" applyFont="1">
      <alignment vertical="bottom"/>
    </xf>
    <xf borderId="1" fillId="7" fontId="3" numFmtId="0" xfId="0" applyAlignment="1" applyBorder="1" applyFill="1" applyFont="1">
      <alignment horizontal="center" vertical="bottom"/>
    </xf>
    <xf borderId="1" fillId="8" fontId="2" numFmtId="2" xfId="0" applyAlignment="1" applyBorder="1" applyFill="1" applyFont="1" applyNumberFormat="1">
      <alignment horizontal="center" vertical="bottom"/>
    </xf>
    <xf borderId="1" fillId="2" fontId="2" numFmtId="2" xfId="0" applyAlignment="1" applyBorder="1" applyFont="1" applyNumberFormat="1">
      <alignment horizontal="center" vertical="bottom"/>
    </xf>
    <xf borderId="1" fillId="9" fontId="2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7" fontId="2" numFmtId="0" xfId="0" applyAlignment="1" applyBorder="1" applyFont="1">
      <alignment horizontal="right" vertical="bottom"/>
    </xf>
    <xf borderId="1" fillId="8" fontId="2" numFmtId="0" xfId="0" applyAlignment="1" applyBorder="1" applyFont="1">
      <alignment horizontal="right" vertical="bottom"/>
    </xf>
    <xf borderId="1" fillId="10" fontId="5" numFmtId="0" xfId="0" applyAlignment="1" applyBorder="1" applyFill="1" applyFont="1">
      <alignment horizontal="right" vertical="bottom"/>
    </xf>
    <xf borderId="2" fillId="11" fontId="5" numFmtId="0" xfId="0" applyAlignment="1" applyBorder="1" applyFill="1" applyFont="1">
      <alignment horizontal="center" vertical="bottom"/>
    </xf>
    <xf borderId="1" fillId="8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7" fontId="2" numFmtId="1" xfId="0" applyAlignment="1" applyBorder="1" applyFont="1" applyNumberFormat="1">
      <alignment horizontal="center" vertical="bottom"/>
    </xf>
    <xf borderId="1" fillId="12" fontId="1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horizontal="center" vertical="bottom"/>
    </xf>
    <xf borderId="5" fillId="2" fontId="2" numFmtId="2" xfId="0" applyAlignment="1" applyBorder="1" applyFont="1" applyNumberFormat="1">
      <alignment horizontal="center" vertical="bottom"/>
    </xf>
    <xf borderId="1" fillId="8" fontId="2" numFmtId="1" xfId="0" applyAlignment="1" applyBorder="1" applyFont="1" applyNumberFormat="1">
      <alignment horizontal="center" vertical="bottom"/>
    </xf>
    <xf borderId="1" fillId="13" fontId="5" numFmtId="2" xfId="0" applyAlignment="1" applyBorder="1" applyFill="1" applyFont="1" applyNumberFormat="1">
      <alignment horizontal="center" vertical="bottom"/>
    </xf>
    <xf borderId="1" fillId="14" fontId="2" numFmtId="0" xfId="0" applyAlignment="1" applyBorder="1" applyFill="1" applyFont="1">
      <alignment horizontal="right" vertical="bottom"/>
    </xf>
    <xf borderId="6" fillId="0" fontId="2" numFmtId="0" xfId="0" applyAlignment="1" applyBorder="1" applyFont="1">
      <alignment horizontal="center" vertical="bottom"/>
    </xf>
    <xf borderId="1" fillId="7" fontId="2" numFmtId="2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13" fontId="5" numFmtId="0" xfId="0" applyAlignment="1" applyBorder="1" applyFont="1">
      <alignment horizontal="right" vertical="bottom"/>
    </xf>
    <xf borderId="1" fillId="15" fontId="4" numFmtId="0" xfId="0" applyAlignment="1" applyBorder="1" applyFill="1" applyFont="1">
      <alignment horizontal="center" vertical="bottom"/>
    </xf>
    <xf borderId="1" fillId="16" fontId="7" numFmtId="2" xfId="0" applyAlignment="1" applyBorder="1" applyFill="1" applyFont="1" applyNumberFormat="1">
      <alignment horizontal="center" vertical="bottom"/>
    </xf>
    <xf borderId="1" fillId="17" fontId="4" numFmtId="0" xfId="0" applyAlignment="1" applyBorder="1" applyFill="1" applyFont="1">
      <alignment horizontal="center" vertical="bottom"/>
    </xf>
    <xf borderId="1" fillId="18" fontId="7" numFmtId="2" xfId="0" applyAlignment="1" applyBorder="1" applyFill="1" applyFont="1" applyNumberFormat="1">
      <alignment horizontal="center" vertical="bottom"/>
    </xf>
    <xf borderId="1" fillId="3" fontId="4" numFmtId="2" xfId="0" applyAlignment="1" applyBorder="1" applyFont="1" applyNumberFormat="1">
      <alignment horizontal="center" vertical="bottom"/>
    </xf>
    <xf borderId="1" fillId="19" fontId="1" numFmtId="0" xfId="0" applyAlignment="1" applyBorder="1" applyFill="1" applyFont="1">
      <alignment horizontal="center" vertical="bottom"/>
    </xf>
    <xf borderId="1" fillId="20" fontId="7" numFmtId="2" xfId="0" applyAlignment="1" applyBorder="1" applyFill="1" applyFont="1" applyNumberFormat="1">
      <alignment horizontal="center" vertical="bottom"/>
    </xf>
    <xf borderId="1" fillId="5" fontId="4" numFmtId="2" xfId="0" applyAlignment="1" applyBorder="1" applyFont="1" applyNumberFormat="1">
      <alignment horizontal="center" vertical="bottom"/>
    </xf>
    <xf borderId="2" fillId="21" fontId="5" numFmtId="0" xfId="0" applyAlignment="1" applyBorder="1" applyFill="1" applyFont="1">
      <alignment horizontal="center" vertical="bottom"/>
    </xf>
    <xf borderId="1" fillId="22" fontId="4" numFmtId="0" xfId="0" applyAlignment="1" applyBorder="1" applyFill="1" applyFont="1">
      <alignment horizontal="center" vertical="bottom"/>
    </xf>
    <xf borderId="1" fillId="23" fontId="7" numFmtId="2" xfId="0" applyAlignment="1" applyBorder="1" applyFill="1" applyFont="1" applyNumberFormat="1">
      <alignment horizontal="center" vertical="bottom"/>
    </xf>
    <xf borderId="1" fillId="24" fontId="5" numFmtId="0" xfId="0" applyAlignment="1" applyBorder="1" applyFill="1" applyFont="1">
      <alignment horizontal="right" vertical="bottom"/>
    </xf>
    <xf borderId="5" fillId="0" fontId="3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3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1" fillId="15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readingOrder="0" vertical="bottom"/>
    </xf>
    <xf borderId="1" fillId="6" fontId="4" numFmtId="0" xfId="0" applyAlignment="1" applyBorder="1" applyFont="1">
      <alignment horizontal="center" readingOrder="0" vertical="bottom"/>
    </xf>
    <xf borderId="1" fillId="2" fontId="2" numFmtId="1" xfId="0" applyAlignment="1" applyBorder="1" applyFont="1" applyNumberFormat="1">
      <alignment horizontal="center" vertical="bottom"/>
    </xf>
    <xf borderId="9" fillId="0" fontId="2" numFmtId="0" xfId="0" applyAlignment="1" applyBorder="1" applyFont="1">
      <alignment horizontal="center" vertical="bottom"/>
    </xf>
    <xf borderId="1" fillId="21" fontId="4" numFmtId="0" xfId="0" applyAlignment="1" applyBorder="1" applyFont="1">
      <alignment horizontal="center" readingOrder="0" vertical="bottom"/>
    </xf>
    <xf borderId="1" fillId="25" fontId="4" numFmtId="0" xfId="0" applyAlignment="1" applyBorder="1" applyFill="1" applyFont="1">
      <alignment horizontal="center" readingOrder="0" vertical="bottom"/>
    </xf>
    <xf borderId="1" fillId="26" fontId="2" numFmtId="0" xfId="0" applyAlignment="1" applyBorder="1" applyFill="1" applyFont="1">
      <alignment horizontal="right" vertical="bottom"/>
    </xf>
    <xf borderId="1" fillId="27" fontId="4" numFmtId="0" xfId="0" applyAlignment="1" applyBorder="1" applyFill="1" applyFont="1">
      <alignment horizontal="center" readingOrder="0" vertical="bottom"/>
    </xf>
    <xf borderId="1" fillId="11" fontId="4" numFmtId="0" xfId="0" applyAlignment="1" applyBorder="1" applyFont="1">
      <alignment horizontal="center" readingOrder="0" vertical="bottom"/>
    </xf>
    <xf borderId="2" fillId="25" fontId="5" numFmtId="0" xfId="0" applyAlignment="1" applyBorder="1" applyFont="1">
      <alignment horizontal="center" vertical="bottom"/>
    </xf>
    <xf borderId="1" fillId="6" fontId="4" numFmtId="0" xfId="0" applyAlignment="1" applyBorder="1" applyFont="1">
      <alignment horizontal="center" vertical="bottom"/>
    </xf>
    <xf borderId="1" fillId="28" fontId="8" numFmtId="0" xfId="0" applyAlignment="1" applyBorder="1" applyFill="1" applyFont="1">
      <alignment horizontal="center" vertical="bottom"/>
    </xf>
    <xf borderId="1" fillId="7" fontId="1" numFmtId="0" xfId="0" applyAlignment="1" applyBorder="1" applyFont="1">
      <alignment horizontal="center" vertical="bottom"/>
    </xf>
    <xf borderId="1" fillId="12" fontId="1" numFmtId="2" xfId="0" applyAlignment="1" applyBorder="1" applyFont="1" applyNumberFormat="1">
      <alignment horizontal="center" vertical="bottom"/>
    </xf>
    <xf borderId="1" fillId="8" fontId="1" numFmtId="0" xfId="0" applyAlignment="1" applyBorder="1" applyFont="1">
      <alignment horizontal="center" vertical="bottom"/>
    </xf>
    <xf borderId="1" fillId="28" fontId="2" numFmtId="0" xfId="0" applyAlignment="1" applyBorder="1" applyFont="1">
      <alignment horizontal="center" vertical="bottom"/>
    </xf>
    <xf borderId="2" fillId="27" fontId="5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9" fontId="4" numFmtId="0" xfId="0" applyAlignment="1" applyBorder="1" applyFill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1" fillId="25" fontId="4" numFmtId="0" xfId="0" applyAlignment="1" applyBorder="1" applyFont="1">
      <alignment horizontal="center" vertical="bottom"/>
    </xf>
    <xf borderId="7" fillId="28" fontId="2" numFmtId="0" xfId="0" applyAlignment="1" applyBorder="1" applyFont="1">
      <alignment horizontal="center" vertical="bottom"/>
    </xf>
    <xf borderId="1" fillId="9" fontId="2" numFmtId="2" xfId="0" applyAlignment="1" applyBorder="1" applyFont="1" applyNumberFormat="1">
      <alignment horizontal="center" vertical="bottom"/>
    </xf>
    <xf borderId="1" fillId="28" fontId="9" numFmtId="0" xfId="0" applyAlignment="1" applyBorder="1" applyFont="1">
      <alignment horizontal="center" vertical="bottom"/>
    </xf>
    <xf borderId="1" fillId="27" fontId="4" numFmtId="0" xfId="0" applyAlignment="1" applyBorder="1" applyFont="1">
      <alignment horizontal="center" vertical="bottom"/>
    </xf>
    <xf borderId="1" fillId="28" fontId="2" numFmtId="2" xfId="0" applyAlignment="1" applyBorder="1" applyFont="1" applyNumberFormat="1">
      <alignment horizontal="center" vertical="bottom"/>
    </xf>
    <xf borderId="1" fillId="9" fontId="2" numFmtId="1" xfId="0" applyAlignment="1" applyBorder="1" applyFont="1" applyNumberFormat="1">
      <alignment horizontal="center" vertical="bottom"/>
    </xf>
    <xf borderId="1" fillId="11" fontId="4" numFmtId="0" xfId="0" applyAlignment="1" applyBorder="1" applyFont="1">
      <alignment horizontal="center" vertical="bottom"/>
    </xf>
    <xf borderId="1" fillId="0" fontId="2" numFmtId="1" xfId="0" applyAlignment="1" applyBorder="1" applyFont="1" applyNumberFormat="1">
      <alignment horizontal="center" vertical="bottom"/>
    </xf>
    <xf borderId="1" fillId="0" fontId="2" numFmtId="2" xfId="0" applyAlignment="1" applyBorder="1" applyFont="1" applyNumberFormat="1">
      <alignment horizontal="center" vertical="bottom"/>
    </xf>
    <xf borderId="1" fillId="14" fontId="8" numFmtId="0" xfId="0" applyAlignment="1" applyBorder="1" applyFont="1">
      <alignment horizontal="right" vertical="bottom"/>
    </xf>
    <xf borderId="1" fillId="30" fontId="2" numFmtId="0" xfId="0" applyAlignment="1" applyBorder="1" applyFill="1" applyFont="1">
      <alignment horizontal="right" vertical="bottom"/>
    </xf>
    <xf borderId="1" fillId="31" fontId="2" numFmtId="0" xfId="0" applyAlignment="1" applyBorder="1" applyFill="1" applyFont="1">
      <alignment horizontal="right" vertical="bottom"/>
    </xf>
    <xf borderId="5" fillId="8" fontId="2" numFmtId="0" xfId="0" applyAlignment="1" applyBorder="1" applyFont="1">
      <alignment horizontal="right" vertical="bottom"/>
    </xf>
    <xf borderId="5" fillId="14" fontId="2" numFmtId="0" xfId="0" applyAlignment="1" applyBorder="1" applyFont="1">
      <alignment horizontal="right" vertical="bottom"/>
    </xf>
    <xf borderId="5" fillId="2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10" fillId="0" fontId="1" numFmtId="0" xfId="0" applyAlignment="1" applyBorder="1" applyFont="1">
      <alignment horizontal="center" vertical="bottom"/>
    </xf>
    <xf borderId="1" fillId="32" fontId="2" numFmtId="1" xfId="0" applyAlignment="1" applyBorder="1" applyFill="1" applyFont="1" applyNumberFormat="1">
      <alignment horizontal="center" vertical="bottom"/>
    </xf>
    <xf borderId="1" fillId="33" fontId="2" numFmtId="2" xfId="0" applyAlignment="1" applyBorder="1" applyFill="1" applyFont="1" applyNumberFormat="1">
      <alignment horizontal="center" vertical="bottom"/>
    </xf>
    <xf borderId="1" fillId="34" fontId="2" numFmtId="1" xfId="0" applyAlignment="1" applyBorder="1" applyFill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+mn-lt"/>
              </a:defRPr>
            </a:pPr>
            <a:r>
              <a:rPr b="1" sz="2400">
                <a:solidFill>
                  <a:srgbClr val="000000"/>
                </a:solidFill>
                <a:latin typeface="+mn-lt"/>
              </a:rPr>
              <a:t>Based on 3pt Rating</a:t>
            </a:r>
          </a:p>
        </c:rich>
      </c:tx>
      <c:overlay val="0"/>
    </c:title>
    <c:plotArea>
      <c:layout>
        <c:manualLayout>
          <c:xMode val="edge"/>
          <c:yMode val="edge"/>
          <c:x val="0.11168444582152971"/>
          <c:y val="0.1959847036328873"/>
          <c:w val="0.8512758941218131"/>
          <c:h val="0.7138623326959848"/>
        </c:manualLayout>
      </c:layout>
      <c:barChart>
        <c:barDir val="col"/>
        <c:ser>
          <c:idx val="0"/>
          <c:order val="0"/>
          <c:tx>
            <c:strRef>
              <c:f>'Raw Data'!$I$2</c:f>
            </c:strRef>
          </c:tx>
          <c:spPr>
            <a:solidFill>
              <a:srgbClr val="CC000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 w="19050">
                <a:solidFill>
                  <a:srgbClr val="000000"/>
                </a:solidFill>
                <a:prstDash val="solid"/>
              </a:ln>
            </c:spPr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b="1" sz="1200"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Data'!$J$1:$K$1</c:f>
            </c:strRef>
          </c:cat>
          <c:val>
            <c:numRef>
              <c:f>'Raw Data'!$J$2:$K$2</c:f>
              <c:numCache/>
            </c:numRef>
          </c:val>
        </c:ser>
        <c:ser>
          <c:idx val="1"/>
          <c:order val="1"/>
          <c:tx>
            <c:strRef>
              <c:f>'Raw Data'!$I$3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1C232"/>
              </a:solidFill>
              <a:ln cmpd="sng" w="19050">
                <a:solidFill>
                  <a:srgbClr val="000000"/>
                </a:solidFill>
              </a:ln>
            </c:spPr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b="1" sz="1200"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Data'!$J$1:$K$1</c:f>
            </c:strRef>
          </c:cat>
          <c:val>
            <c:numRef>
              <c:f>'Raw Data'!$J$3:$K$3</c:f>
              <c:numCache/>
            </c:numRef>
          </c:val>
        </c:ser>
        <c:ser>
          <c:idx val="2"/>
          <c:order val="2"/>
          <c:tx>
            <c:strRef>
              <c:f>'Raw Data'!$I$4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6AA84F"/>
              </a:solidFill>
              <a:ln cmpd="sng" w="19050">
                <a:solidFill>
                  <a:srgbClr val="000000"/>
                </a:solidFill>
              </a:ln>
            </c:spPr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b="1" sz="1200"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Data'!$J$1:$K$1</c:f>
            </c:strRef>
          </c:cat>
          <c:val>
            <c:numRef>
              <c:f>'Raw Data'!$J$4:$K$4</c:f>
              <c:numCache/>
            </c:numRef>
          </c:val>
        </c:ser>
        <c:axId val="184345397"/>
        <c:axId val="597314742"/>
      </c:barChart>
      <c:catAx>
        <c:axId val="184345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597314742"/>
      </c:catAx>
      <c:valAx>
        <c:axId val="597314742"/>
        <c:scaling>
          <c:orientation val="minMax"/>
          <c:max val="5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45397"/>
        <c:majorUnit val="5.0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3pt % Based On Catch &amp; Shoot Badge Potential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'Raw Data'!$I$7</c:f>
            </c:strRef>
          </c:tx>
          <c:spPr>
            <a:solidFill>
              <a:srgbClr val="7F600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7F6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Data'!$J$6</c:f>
            </c:strRef>
          </c:cat>
          <c:val>
            <c:numRef>
              <c:f>'Raw Data'!$J$7</c:f>
              <c:numCache/>
            </c:numRef>
          </c:val>
        </c:ser>
        <c:ser>
          <c:idx val="1"/>
          <c:order val="1"/>
          <c:tx>
            <c:strRef>
              <c:f>'Raw Data'!$I$8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000000"/>
                    </a:solidFill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Data'!$J$6</c:f>
            </c:strRef>
          </c:cat>
          <c:val>
            <c:numRef>
              <c:f>'Raw Data'!$J$8</c:f>
              <c:numCache/>
            </c:numRef>
          </c:val>
        </c:ser>
        <c:ser>
          <c:idx val="2"/>
          <c:order val="2"/>
          <c:tx>
            <c:strRef>
              <c:f>'Raw Data'!$I$9</c:f>
            </c:strRef>
          </c:tx>
          <c:spPr>
            <a:solidFill>
              <a:srgbClr val="FFFF0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000000"/>
                    </a:solidFill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Data'!$J$6</c:f>
            </c:strRef>
          </c:cat>
          <c:val>
            <c:numRef>
              <c:f>'Raw Data'!$J$9</c:f>
              <c:numCache/>
            </c:numRef>
          </c:val>
        </c:ser>
        <c:ser>
          <c:idx val="3"/>
          <c:order val="3"/>
          <c:tx>
            <c:strRef>
              <c:f>'Raw Data'!$I$10</c:f>
            </c:strRef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900FF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Data'!$J$6</c:f>
            </c:strRef>
          </c:cat>
          <c:val>
            <c:numRef>
              <c:f>'Raw Data'!$J$10</c:f>
              <c:numCache/>
            </c:numRef>
          </c:val>
        </c:ser>
        <c:axId val="1624549945"/>
        <c:axId val="440457023"/>
      </c:barChart>
      <c:catAx>
        <c:axId val="1624549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Catch &amp; Shoot Badge Potential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440457023"/>
      </c:catAx>
      <c:valAx>
        <c:axId val="440457023"/>
        <c:scaling>
          <c:orientation val="minMax"/>
          <c:max val="5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3pt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4549945"/>
        <c:majorUnit val="5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Average 3pt Rating By Position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'Raw Data'!$I$13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134F5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99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51C75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741B47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600"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Data'!$H$14:$H$18</c:f>
            </c:strRef>
          </c:cat>
          <c:val>
            <c:numRef>
              <c:f>'Raw Data'!$I$14:$I$18</c:f>
              <c:numCache/>
            </c:numRef>
          </c:val>
        </c:ser>
        <c:axId val="1847602476"/>
        <c:axId val="2087337019"/>
      </c:barChart>
      <c:catAx>
        <c:axId val="1847602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7337019"/>
      </c:catAx>
      <c:valAx>
        <c:axId val="2087337019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3pt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602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Average 3pt % and Win % By Position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'Raw Data'!$J$13</c:f>
            </c:strRef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 b="1" i="0" sz="1000"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Data'!$H$14:$H$18</c:f>
            </c:strRef>
          </c:cat>
          <c:val>
            <c:numRef>
              <c:f>'Raw Data'!$J$14:$J$18</c:f>
              <c:numCache/>
            </c:numRef>
          </c:val>
        </c:ser>
        <c:ser>
          <c:idx val="1"/>
          <c:order val="1"/>
          <c:tx>
            <c:strRef>
              <c:f>'Raw Data'!$K$13</c:f>
            </c:strRef>
          </c:tx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'Raw Data'!$H$14:$H$18</c:f>
            </c:strRef>
          </c:cat>
          <c:val>
            <c:numRef>
              <c:f>'Raw Data'!$K$14:$K$18</c:f>
              <c:numCache/>
            </c:numRef>
          </c:val>
        </c:ser>
        <c:axId val="75053743"/>
        <c:axId val="1515234597"/>
      </c:barChart>
      <c:catAx>
        <c:axId val="75053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234597"/>
      </c:catAx>
      <c:valAx>
        <c:axId val="1515234597"/>
        <c:scaling>
          <c:orientation val="minMax"/>
          <c:max val="5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053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810125" cy="3562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952500</xdr:colOff>
      <xdr:row>0</xdr:row>
      <xdr:rowOff>0</xdr:rowOff>
    </xdr:from>
    <xdr:ext cx="4810125" cy="3562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952500</xdr:colOff>
      <xdr:row>17</xdr:row>
      <xdr:rowOff>104775</xdr:rowOff>
    </xdr:from>
    <xdr:ext cx="4810125" cy="35623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17</xdr:row>
      <xdr:rowOff>104775</xdr:rowOff>
    </xdr:from>
    <xdr:ext cx="4810125" cy="35623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5"/>
      <c r="I1" s="1" t="s">
        <v>5</v>
      </c>
      <c r="J1" s="6" t="s">
        <v>6</v>
      </c>
      <c r="K1" s="6" t="s">
        <v>3</v>
      </c>
      <c r="L1" s="7"/>
      <c r="M1" s="7"/>
      <c r="N1" s="1" t="s">
        <v>7</v>
      </c>
      <c r="O1" s="6" t="s">
        <v>0</v>
      </c>
      <c r="P1" s="6" t="s">
        <v>3</v>
      </c>
      <c r="Q1" s="8" t="s">
        <v>8</v>
      </c>
    </row>
    <row r="2">
      <c r="A2" s="9">
        <v>99.0</v>
      </c>
      <c r="B2" s="10">
        <v>67.4</v>
      </c>
      <c r="C2" s="11">
        <v>597.0</v>
      </c>
      <c r="D2" s="12">
        <v>89.3</v>
      </c>
      <c r="E2" s="13">
        <v>1.0</v>
      </c>
      <c r="F2" s="14"/>
      <c r="G2" s="4"/>
      <c r="H2" s="5"/>
      <c r="I2" s="15" t="s">
        <v>9</v>
      </c>
      <c r="J2" s="16">
        <f>AVERAGEIF(A:A,"&lt;=79",B:B)</f>
        <v>48.79772727</v>
      </c>
      <c r="K2" s="17">
        <f>AVERAGEIF(A:A,"&lt;=79.9",D:D)</f>
        <v>52.05909091</v>
      </c>
      <c r="L2" s="7"/>
      <c r="M2" s="7"/>
      <c r="N2" s="6" t="s">
        <v>10</v>
      </c>
      <c r="O2" s="18" t="str">
        <f>IFERROR(AVERAGEIFS(A:A,B:B,"&lt;=9.9",B:B,"&gt;=0"), "No Data")</f>
        <v>No Data</v>
      </c>
      <c r="P2" s="18" t="str">
        <f>IFERROR(AVERAGEIFS(D:D,B:B,"&lt;=9",B:B,"&gt;=0"), "No Data")</f>
        <v>No Data</v>
      </c>
      <c r="Q2" s="19">
        <f>COUNTIF(B:B,"&lt;=9")</f>
        <v>0</v>
      </c>
    </row>
    <row r="3">
      <c r="A3" s="20">
        <v>79.0</v>
      </c>
      <c r="B3" s="21">
        <v>47.6</v>
      </c>
      <c r="C3" s="22">
        <v>1841.0</v>
      </c>
      <c r="D3" s="20">
        <v>39.2</v>
      </c>
      <c r="E3" s="23">
        <v>5.0</v>
      </c>
      <c r="F3" s="14"/>
      <c r="G3" s="4"/>
      <c r="H3" s="5"/>
      <c r="I3" s="24" t="s">
        <v>11</v>
      </c>
      <c r="J3" s="17">
        <f>AVERAGEIFS(B:B,A:A,"&lt;=89",A:A,"&gt;=80")</f>
        <v>50.63964791</v>
      </c>
      <c r="K3" s="17">
        <f>AVERAGEIFS(D:D,A:A,"&lt;=89.9",A:A,"&gt;=80")</f>
        <v>50.33022866</v>
      </c>
      <c r="L3" s="7"/>
      <c r="M3" s="7"/>
      <c r="N3" s="25">
        <v>44123.0</v>
      </c>
      <c r="O3" s="26">
        <f>AVERAGEIFS(A:A,B:B,"&lt;=19.9",B:B,"&gt;=10")</f>
        <v>73</v>
      </c>
      <c r="P3" s="16">
        <f>AVERAGEIFS(D:D,B:B,"&lt;=19.9",B:B,"&gt;=10")</f>
        <v>48.8</v>
      </c>
      <c r="Q3" s="19">
        <f>COUNTIFS(B:B,"&gt;=10",B:B,"&lt;=19.9")</f>
        <v>1</v>
      </c>
    </row>
    <row r="4">
      <c r="A4" s="21">
        <v>88.0</v>
      </c>
      <c r="B4" s="10">
        <v>60.2</v>
      </c>
      <c r="C4" s="11">
        <v>906.0</v>
      </c>
      <c r="D4" s="27">
        <v>76.6</v>
      </c>
      <c r="E4" s="13">
        <v>1.0</v>
      </c>
      <c r="F4" s="28"/>
      <c r="G4" s="4"/>
      <c r="H4" s="5"/>
      <c r="I4" s="29" t="s">
        <v>12</v>
      </c>
      <c r="J4" s="30">
        <f>AVERAGEIF(A:A,"&gt;=90",B:B)</f>
        <v>55.07222222</v>
      </c>
      <c r="K4" s="17">
        <f>AVERAGEIF(A:A,"&gt;=90",D:D)</f>
        <v>52.71296296</v>
      </c>
      <c r="L4" s="7"/>
      <c r="M4" s="7"/>
      <c r="N4" s="6" t="s">
        <v>13</v>
      </c>
      <c r="O4" s="31">
        <f>AVERAGEIFS(A:A,B:B,"&lt;=29.9",B:B,"&gt;=20")</f>
        <v>82.33333333</v>
      </c>
      <c r="P4" s="32">
        <f>AVERAGEIFS(D:D,B:B,"&lt;=29.9",B:B,"&gt;=20")</f>
        <v>29.9</v>
      </c>
      <c r="Q4" s="19">
        <f>COUNTIFS(B:B,"&gt;=20",B:B,"&lt;=29.9")</f>
        <v>3</v>
      </c>
    </row>
    <row r="5">
      <c r="A5" s="9">
        <v>90.0</v>
      </c>
      <c r="B5" s="9">
        <v>54.3</v>
      </c>
      <c r="C5" s="33">
        <v>1004.0</v>
      </c>
      <c r="D5" s="9">
        <v>54.3</v>
      </c>
      <c r="E5" s="13">
        <v>1.0</v>
      </c>
      <c r="F5" s="14"/>
      <c r="G5" s="4"/>
      <c r="H5" s="7"/>
      <c r="I5" s="34"/>
      <c r="J5" s="34"/>
      <c r="K5" s="7"/>
      <c r="L5" s="7"/>
      <c r="M5" s="7"/>
      <c r="N5" s="6" t="s">
        <v>14</v>
      </c>
      <c r="O5" s="31">
        <f>AVERAGEIFS(A:A,B:B,"&lt;=39.9",B:B,"&gt;=30")</f>
        <v>83.90909091</v>
      </c>
      <c r="P5" s="35">
        <f>AVERAGEIFS(D:D,B:B,"&lt;=39.9",B:B,"&gt;=30")</f>
        <v>34.32727273</v>
      </c>
      <c r="Q5" s="19">
        <f>COUNTIFS(B:B,"&gt;=30",B:B,"&lt;=39.9")</f>
        <v>22</v>
      </c>
    </row>
    <row r="6">
      <c r="A6" s="9">
        <v>91.0</v>
      </c>
      <c r="B6" s="9">
        <v>50.9</v>
      </c>
      <c r="C6" s="11">
        <v>917.0</v>
      </c>
      <c r="D6" s="21">
        <v>47.3</v>
      </c>
      <c r="E6" s="13">
        <v>1.0</v>
      </c>
      <c r="F6" s="14"/>
      <c r="G6" s="4"/>
      <c r="H6" s="5"/>
      <c r="I6" s="36" t="s">
        <v>15</v>
      </c>
      <c r="J6" s="6" t="s">
        <v>6</v>
      </c>
      <c r="K6" s="7"/>
      <c r="L6" s="7"/>
      <c r="M6" s="7"/>
      <c r="N6" s="6" t="s">
        <v>16</v>
      </c>
      <c r="O6" s="31">
        <f>AVERAGEIFS(A:A,B:B,"&lt;=49.9",B:B,"&gt;=40")</f>
        <v>83.46551724</v>
      </c>
      <c r="P6" s="16">
        <f>AVERAGEIFS(D:D,B:B,"&lt;=49.9",B:B,"&gt;=40")</f>
        <v>42.28965517</v>
      </c>
      <c r="Q6" s="19">
        <f>COUNTIFS(B:B,"&gt;=40",B:B,"&lt;=49.9")</f>
        <v>58</v>
      </c>
    </row>
    <row r="7">
      <c r="A7" s="9">
        <v>99.0</v>
      </c>
      <c r="B7" s="20">
        <v>34.3</v>
      </c>
      <c r="C7" s="22">
        <v>1842.0</v>
      </c>
      <c r="D7" s="37">
        <v>22.1</v>
      </c>
      <c r="E7" s="13">
        <v>1.0</v>
      </c>
      <c r="F7" s="28"/>
      <c r="G7" s="4"/>
      <c r="H7" s="5"/>
      <c r="I7" s="38" t="s">
        <v>17</v>
      </c>
      <c r="J7" s="39">
        <f>AVERAGEIFS(B:B,A:A,"&lt;=76",A:A,"&gt;=70")</f>
        <v>46.56470588</v>
      </c>
      <c r="K7" s="7"/>
      <c r="L7" s="7"/>
      <c r="M7" s="7"/>
      <c r="N7" s="6" t="s">
        <v>18</v>
      </c>
      <c r="O7" s="31">
        <f>AVERAGEIFS(A:A,B:B,"&lt;=59.9",B:B,"&gt;=50")</f>
        <v>85.81081081</v>
      </c>
      <c r="P7" s="17">
        <f>AVERAGEIFS(D:D,B:B,"&lt;=59.9",B:B,"&gt;=50")</f>
        <v>54.61680785</v>
      </c>
      <c r="Q7" s="19">
        <f>COUNTIFS(B:B,"&gt;=50",B:B,"&lt;=59.9")</f>
        <v>74</v>
      </c>
    </row>
    <row r="8">
      <c r="A8" s="21">
        <v>83.0</v>
      </c>
      <c r="B8" s="9">
        <v>54.7</v>
      </c>
      <c r="C8" s="11">
        <v>969.0</v>
      </c>
      <c r="D8" s="9">
        <v>53.8</v>
      </c>
      <c r="E8" s="13">
        <v>1.0</v>
      </c>
      <c r="F8" s="14"/>
      <c r="G8" s="4"/>
      <c r="H8" s="5"/>
      <c r="I8" s="40" t="s">
        <v>19</v>
      </c>
      <c r="J8" s="41">
        <f>AVERAGEIFS(B:B,A:A,"&lt;=83",A:A,"&gt;=77")</f>
        <v>49.35068493</v>
      </c>
      <c r="K8" s="7"/>
      <c r="L8" s="7"/>
      <c r="M8" s="7"/>
      <c r="N8" s="6" t="s">
        <v>20</v>
      </c>
      <c r="O8" s="31">
        <f>AVERAGEIFS(A:A,B:B,"&lt;=69.9",B:B,"&gt;=60")</f>
        <v>87.75</v>
      </c>
      <c r="P8" s="42">
        <f>AVERAGEIFS(D:D,B:B,"&lt;=69.9",B:B,"&gt;=60")</f>
        <v>66.425</v>
      </c>
      <c r="Q8" s="19">
        <f>COUNTIFS(B:B,"&gt;=60",B:B,"&lt;=69.9")</f>
        <v>40</v>
      </c>
    </row>
    <row r="9">
      <c r="A9" s="20">
        <v>75.0</v>
      </c>
      <c r="B9" s="20">
        <v>38.1</v>
      </c>
      <c r="C9" s="11">
        <v>505.0</v>
      </c>
      <c r="D9" s="21">
        <v>40.8</v>
      </c>
      <c r="E9" s="23">
        <v>5.0</v>
      </c>
      <c r="F9" s="14"/>
      <c r="G9" s="4"/>
      <c r="H9" s="5"/>
      <c r="I9" s="43" t="s">
        <v>21</v>
      </c>
      <c r="J9" s="44">
        <f>AVERAGEIFS(B:B,A:A,"&lt;=91",A:A,"&gt;=84")</f>
        <v>52.51364511</v>
      </c>
      <c r="K9" s="7"/>
      <c r="L9" s="7"/>
      <c r="M9" s="7"/>
      <c r="N9" s="6" t="s">
        <v>9</v>
      </c>
      <c r="O9" s="31">
        <f>AVERAGEIFS(A:A,B:B,"&lt;=79",B:B,"&gt;=70")</f>
        <v>88.25</v>
      </c>
      <c r="P9" s="45">
        <f>AVERAGEIFS(D:D,B:B,"&lt;=79",B:B,"&gt;=70")</f>
        <v>81.575</v>
      </c>
      <c r="Q9" s="19">
        <f>COUNTIFS(B:B,"&gt;=70",B:B,"&lt;=79.9")</f>
        <v>4</v>
      </c>
    </row>
    <row r="10">
      <c r="A10" s="21">
        <v>81.0</v>
      </c>
      <c r="B10" s="21">
        <v>41.3</v>
      </c>
      <c r="C10" s="11">
        <v>590.0</v>
      </c>
      <c r="D10" s="21">
        <v>42.5</v>
      </c>
      <c r="E10" s="46">
        <v>2.0</v>
      </c>
      <c r="F10" s="14"/>
      <c r="G10" s="4"/>
      <c r="H10" s="5"/>
      <c r="I10" s="47" t="s">
        <v>22</v>
      </c>
      <c r="J10" s="48">
        <f>AVERAGEIFS(B:B,A:A,"&lt;=99",A:A,"&gt;=92")</f>
        <v>55.53513514</v>
      </c>
      <c r="K10" s="7"/>
      <c r="L10" s="7"/>
      <c r="M10" s="7"/>
      <c r="N10" s="6" t="s">
        <v>11</v>
      </c>
      <c r="O10" s="18" t="str">
        <f t="shared" ref="O10:O11" si="1">IFERROR(AVERAGEIFS(A:A,B:B,"&lt;=89",B:B,"&gt;=80"), "No Data")</f>
        <v>No Data</v>
      </c>
      <c r="P10" s="18" t="str">
        <f t="shared" ref="P10:P11" si="2">IFERROR(AVERAGEIFS(D:D,B:B,"&lt;=89",B:B,"&gt;=80"), "No Data")</f>
        <v>No Data</v>
      </c>
      <c r="Q10" s="19">
        <f>COUNTIFS(B:B,"&gt;=80",B:B,"&lt;=89.9")</f>
        <v>0</v>
      </c>
    </row>
    <row r="11">
      <c r="A11" s="21">
        <v>87.0</v>
      </c>
      <c r="B11" s="21">
        <v>47.2</v>
      </c>
      <c r="C11" s="49">
        <v>2933.0</v>
      </c>
      <c r="D11" s="20">
        <v>39.7</v>
      </c>
      <c r="E11" s="13">
        <v>1.0</v>
      </c>
      <c r="F11" s="28"/>
      <c r="G11" s="4"/>
      <c r="H11" s="7"/>
      <c r="I11" s="7"/>
      <c r="J11" s="7"/>
      <c r="K11" s="7"/>
      <c r="L11" s="7"/>
      <c r="M11" s="7"/>
      <c r="N11" s="50" t="s">
        <v>12</v>
      </c>
      <c r="O11" s="18" t="str">
        <f t="shared" si="1"/>
        <v>No Data</v>
      </c>
      <c r="P11" s="18" t="str">
        <f t="shared" si="2"/>
        <v>No Data</v>
      </c>
      <c r="Q11" s="19">
        <f>COUNTIFS(B:B,"&gt;=90",B:B,"&lt;=99.9")</f>
        <v>0</v>
      </c>
    </row>
    <row r="12">
      <c r="A12" s="9">
        <v>91.0</v>
      </c>
      <c r="B12" s="9">
        <v>54.8</v>
      </c>
      <c r="C12" s="22">
        <v>1756.0</v>
      </c>
      <c r="D12" s="9">
        <v>56.4</v>
      </c>
      <c r="E12" s="13">
        <v>1.0</v>
      </c>
      <c r="F12" s="14"/>
      <c r="G12" s="51"/>
      <c r="H12" s="19"/>
      <c r="I12" s="19"/>
      <c r="J12" s="19"/>
      <c r="K12" s="19"/>
      <c r="L12" s="19"/>
      <c r="M12" s="52"/>
      <c r="N12" s="53"/>
      <c r="O12" s="53"/>
      <c r="P12" s="53"/>
      <c r="Q12" s="53"/>
    </row>
    <row r="13">
      <c r="A13" s="9">
        <v>92.0</v>
      </c>
      <c r="B13" s="27">
        <v>78.7</v>
      </c>
      <c r="C13" s="54">
        <v>3874.0</v>
      </c>
      <c r="D13" s="12">
        <v>81.7</v>
      </c>
      <c r="E13" s="13">
        <v>1.0</v>
      </c>
      <c r="F13" s="14"/>
      <c r="G13" s="55"/>
      <c r="H13" s="56" t="s">
        <v>4</v>
      </c>
      <c r="I13" s="57" t="s">
        <v>0</v>
      </c>
      <c r="J13" s="57" t="s">
        <v>6</v>
      </c>
      <c r="K13" s="57" t="s">
        <v>3</v>
      </c>
      <c r="L13" s="57" t="s">
        <v>8</v>
      </c>
      <c r="M13" s="52"/>
      <c r="N13" s="58"/>
      <c r="O13" s="58"/>
      <c r="P13" s="58"/>
      <c r="Q13" s="58"/>
    </row>
    <row r="14">
      <c r="A14" s="20">
        <v>77.0</v>
      </c>
      <c r="B14" s="9">
        <v>52.7</v>
      </c>
      <c r="C14" s="11">
        <v>698.0</v>
      </c>
      <c r="D14" s="9">
        <v>56.2</v>
      </c>
      <c r="E14" s="46">
        <v>2.0</v>
      </c>
      <c r="F14" s="14"/>
      <c r="G14" s="59"/>
      <c r="H14" s="60">
        <v>1.0</v>
      </c>
      <c r="I14" s="61">
        <f t="array" ref="I14">median(if($E$2:$E$202=$H$14, $A$2:$A$202))</f>
        <v>91</v>
      </c>
      <c r="J14" s="17">
        <f>AVERAGEIF(E:E,"1",B:B)</f>
        <v>54.85584416</v>
      </c>
      <c r="K14" s="17">
        <f>AVERAGEIF(E:E,"1",D:D)</f>
        <v>54.08311688</v>
      </c>
      <c r="L14" s="19">
        <f>COUNTIF(E:E,"1")</f>
        <v>77</v>
      </c>
      <c r="M14" s="62"/>
      <c r="N14" s="1" t="s">
        <v>23</v>
      </c>
      <c r="O14" s="6" t="s">
        <v>6</v>
      </c>
      <c r="P14" s="6" t="s">
        <v>3</v>
      </c>
      <c r="Q14" s="19" t="s">
        <v>8</v>
      </c>
    </row>
    <row r="15">
      <c r="A15" s="21">
        <v>84.0</v>
      </c>
      <c r="B15" s="10">
        <v>65.4</v>
      </c>
      <c r="C15" s="33">
        <v>1254.0</v>
      </c>
      <c r="D15" s="12">
        <v>84.5</v>
      </c>
      <c r="E15" s="13">
        <v>1.0</v>
      </c>
      <c r="F15" s="14"/>
      <c r="G15" s="55"/>
      <c r="H15" s="63">
        <v>2.0</v>
      </c>
      <c r="I15" s="31">
        <f t="array" ref="I15">median(if($E$2:$E$202=$H$15, $A$2:$A$202))</f>
        <v>85</v>
      </c>
      <c r="J15" s="17">
        <f>AVERAGEIF(E:E,"2",B:B)</f>
        <v>51.1826087</v>
      </c>
      <c r="K15" s="17">
        <f>AVERAGEIF(E:E,"2",D:D)</f>
        <v>51.06521739</v>
      </c>
      <c r="L15" s="19">
        <f>COUNTIF(E:E,"2")</f>
        <v>46</v>
      </c>
      <c r="M15" s="62"/>
      <c r="N15" s="1" t="s">
        <v>24</v>
      </c>
      <c r="O15" s="16">
        <f>AVERAGEIFS(B:B,C:C,"&lt;=1000")</f>
        <v>49.70598291</v>
      </c>
      <c r="P15" s="16">
        <f>AVERAGEIFS(D:D,C:C,"&gt;=500",C:C,"&lt;=1000")</f>
        <v>49.05641026</v>
      </c>
      <c r="Q15" s="19">
        <f>COUNTIF(C:C,"&lt;=999")</f>
        <v>117</v>
      </c>
    </row>
    <row r="16">
      <c r="A16" s="9">
        <v>95.0</v>
      </c>
      <c r="B16" s="10">
        <v>68.4</v>
      </c>
      <c r="C16" s="33">
        <v>1228.0</v>
      </c>
      <c r="D16" s="10">
        <v>64.3</v>
      </c>
      <c r="E16" s="13">
        <v>1.0</v>
      </c>
      <c r="F16" s="14"/>
      <c r="G16" s="55"/>
      <c r="H16" s="64">
        <v>3.0</v>
      </c>
      <c r="I16" s="31">
        <f t="array" ref="I16">median(if($E$2:$E$202=$H$16, $A$2:$A$202))</f>
        <v>82.5</v>
      </c>
      <c r="J16" s="16">
        <f>AVERAGEIF(E:E,"3",B:B)</f>
        <v>48.80277778</v>
      </c>
      <c r="K16" s="16">
        <f>AVERAGEIF(E:E,"3",D:D)</f>
        <v>49.06944444</v>
      </c>
      <c r="L16" s="19">
        <f>COUNTIF(E:E,"3")</f>
        <v>36</v>
      </c>
      <c r="M16" s="62"/>
      <c r="N16" s="1" t="s">
        <v>25</v>
      </c>
      <c r="O16" s="17">
        <f>AVERAGEIFS(B:B,C:C,"&gt;=1000",C:C,"&lt;=1500")</f>
        <v>52.06819954</v>
      </c>
      <c r="P16" s="17">
        <f>AVERAGEIFS(D:D,C:C,"&gt;=1000",C:C,"&lt;=1500")</f>
        <v>52.12280489</v>
      </c>
      <c r="Q16" s="19">
        <f>COUNTIFS(C:C,"&gt;=1000",C:C,"&lt;=1499")</f>
        <v>37</v>
      </c>
    </row>
    <row r="17">
      <c r="A17" s="9">
        <v>99.0</v>
      </c>
      <c r="B17" s="10">
        <v>66.5</v>
      </c>
      <c r="C17" s="65">
        <v>3308.0</v>
      </c>
      <c r="D17" s="10">
        <v>65.6</v>
      </c>
      <c r="E17" s="13">
        <v>1.0</v>
      </c>
      <c r="F17" s="14"/>
      <c r="G17" s="55"/>
      <c r="H17" s="66">
        <v>4.0</v>
      </c>
      <c r="I17" s="26">
        <f t="array" ref="I17">median(if($E$2:$E$202=$H$17, $A$2:$A$202))</f>
        <v>79.5</v>
      </c>
      <c r="J17" s="16">
        <f>AVERAGEIF(E:E,"4",B:B)</f>
        <v>49.89</v>
      </c>
      <c r="K17" s="17">
        <f>AVERAGEIF(E:E,"4",D:D)</f>
        <v>51.905</v>
      </c>
      <c r="L17" s="19">
        <f>COUNTIF(E:E,"4")</f>
        <v>20</v>
      </c>
      <c r="M17" s="62"/>
      <c r="N17" s="1" t="s">
        <v>26</v>
      </c>
      <c r="O17" s="17">
        <f>AVERAGEIFS(B:B,C:C,"&gt;=1500",C:C,"&lt;=2000")</f>
        <v>52.73157895</v>
      </c>
      <c r="P17" s="17">
        <f>AVERAGEIFS(D:D,C:C,"&gt;=1500",C:C,"&lt;=2000")</f>
        <v>52.69473684</v>
      </c>
      <c r="Q17" s="19">
        <f>COUNTIFS(C:C,"&gt;=1500",C:C,"&lt;=1999")</f>
        <v>19</v>
      </c>
    </row>
    <row r="18">
      <c r="A18" s="21">
        <v>80.0</v>
      </c>
      <c r="B18" s="10">
        <v>66.4</v>
      </c>
      <c r="C18" s="54">
        <v>3631.0</v>
      </c>
      <c r="D18" s="10">
        <v>63.7</v>
      </c>
      <c r="E18" s="13">
        <v>1.0</v>
      </c>
      <c r="F18" s="14"/>
      <c r="G18" s="55"/>
      <c r="H18" s="67">
        <v>5.0</v>
      </c>
      <c r="I18" s="26">
        <f t="array" ref="I18">median(if($E$2:$E$202=$H$18, $A$2:$A$202))</f>
        <v>75.5</v>
      </c>
      <c r="J18" s="16">
        <f>AVERAGEIF(E:E,"5",B:B)</f>
        <v>45.59545455</v>
      </c>
      <c r="K18" s="16">
        <f>AVERAGEIF(E:E,"5",D:D)</f>
        <v>45.55</v>
      </c>
      <c r="L18" s="19">
        <f>COUNTIF(E:E,"5")</f>
        <v>22</v>
      </c>
      <c r="M18" s="62"/>
      <c r="N18" s="1" t="s">
        <v>27</v>
      </c>
      <c r="O18" s="17">
        <f>AVERAGEIFS(B:B,C:C,"&gt;=2000",C:C,"&lt;=2500")</f>
        <v>50.35</v>
      </c>
      <c r="P18" s="16">
        <f>AVERAGEIFS(D:D,C:C,"&gt;=2000",C:C,"&lt;=2500")</f>
        <v>49.775</v>
      </c>
      <c r="Q18" s="19">
        <f>COUNTIFS(C:C,"&gt;=2000",C:C,"&lt;=2499")</f>
        <v>11</v>
      </c>
    </row>
    <row r="19">
      <c r="A19" s="20">
        <v>74.0</v>
      </c>
      <c r="B19" s="21">
        <v>49.0</v>
      </c>
      <c r="C19" s="11">
        <v>960.0</v>
      </c>
      <c r="D19" s="9">
        <v>58.1</v>
      </c>
      <c r="E19" s="23">
        <v>5.0</v>
      </c>
      <c r="F19" s="14"/>
      <c r="G19" s="55"/>
      <c r="H19" s="19"/>
      <c r="I19" s="19"/>
      <c r="J19" s="19"/>
      <c r="K19" s="19"/>
      <c r="L19" s="19"/>
      <c r="M19" s="62"/>
      <c r="N19" s="1" t="s">
        <v>28</v>
      </c>
      <c r="O19" s="17">
        <f>AVERAGEIFS(B:B,C:C,"&gt;=2500",C:C,"&lt;=3000")</f>
        <v>53.71666667</v>
      </c>
      <c r="P19" s="17">
        <f>AVERAGEIFS(D:D,C:C,"&gt;=2500",C:C,"&lt;=3000")</f>
        <v>52.05</v>
      </c>
      <c r="Q19" s="19">
        <f>COUNTIFS(C:C,"&gt;=2500",C:C,"&lt;=2999")</f>
        <v>6</v>
      </c>
    </row>
    <row r="20">
      <c r="A20" s="21">
        <v>84.0</v>
      </c>
      <c r="B20" s="20">
        <v>35.0</v>
      </c>
      <c r="C20" s="11">
        <v>648.0</v>
      </c>
      <c r="D20" s="20">
        <v>36.0</v>
      </c>
      <c r="E20" s="68">
        <v>3.0</v>
      </c>
      <c r="F20" s="14"/>
      <c r="G20" s="55"/>
      <c r="H20" s="69" t="s">
        <v>29</v>
      </c>
      <c r="I20" s="57" t="s">
        <v>0</v>
      </c>
      <c r="J20" s="70" t="s">
        <v>6</v>
      </c>
      <c r="K20" s="57" t="s">
        <v>3</v>
      </c>
      <c r="L20" s="57" t="s">
        <v>8</v>
      </c>
      <c r="M20" s="62"/>
      <c r="N20" s="1" t="s">
        <v>30</v>
      </c>
      <c r="O20" s="17">
        <f>AVERAGEIFS(B:B,C:C,"&gt;=3000",C:C,"&lt;=3500")</f>
        <v>55.475</v>
      </c>
      <c r="P20" s="17">
        <f>AVERAGEIFS(D:D,C:C,"&gt;=3000",C:C,"&lt;=3500")</f>
        <v>57.575</v>
      </c>
      <c r="Q20" s="19">
        <f>COUNTIFS(C:C,"&gt;=3000",C:C,"&lt;=3499")</f>
        <v>4</v>
      </c>
    </row>
    <row r="21">
      <c r="A21" s="21">
        <v>85.0</v>
      </c>
      <c r="B21" s="20">
        <v>33.9</v>
      </c>
      <c r="C21" s="11">
        <v>726.0</v>
      </c>
      <c r="D21" s="21">
        <v>44.8</v>
      </c>
      <c r="E21" s="46">
        <v>2.0</v>
      </c>
      <c r="F21" s="14"/>
      <c r="G21" s="55"/>
      <c r="H21" s="71" t="s">
        <v>9</v>
      </c>
      <c r="I21" s="26">
        <f>AVERAGEIFS(A:A,E:E,"1",A:A,"&lt;=79")</f>
        <v>76</v>
      </c>
      <c r="J21" s="17">
        <f>AVERAGEIFS(B:B,E:E,"1",A:A,"&lt;=79",A:A,"&gt;=70")</f>
        <v>53.86666667</v>
      </c>
      <c r="K21" s="17">
        <f>AVERAGEIFS(D:D,E:E,"1",A:A,"&lt;=79",A:A,"&gt;=70")</f>
        <v>57.1</v>
      </c>
      <c r="L21" s="19">
        <f>COUNTIFS(E:E,"1",A:A,"&gt;=70",A:A,"&lt;=79")</f>
        <v>3</v>
      </c>
      <c r="M21" s="62"/>
      <c r="N21" s="1" t="s">
        <v>31</v>
      </c>
      <c r="O21" s="42">
        <f>AVERAGEIFS(B:B,C:C,"&gt;=3500",C:C,"&lt;=4000")</f>
        <v>68.88333333</v>
      </c>
      <c r="P21" s="72">
        <f>AVERAGEIFS(D:D,C:C,"&gt;=3500",C:C,"&lt;=4000")</f>
        <v>76.78333333</v>
      </c>
      <c r="Q21" s="19">
        <f>COUNTIFS(C:C,"&gt;=3500",C:C,"&lt;=3999")</f>
        <v>6</v>
      </c>
    </row>
    <row r="22">
      <c r="A22" s="20">
        <v>77.0</v>
      </c>
      <c r="B22" s="9">
        <v>53.1</v>
      </c>
      <c r="C22" s="11">
        <v>552.0</v>
      </c>
      <c r="D22" s="21">
        <v>42.0</v>
      </c>
      <c r="E22" s="68">
        <v>3.0</v>
      </c>
      <c r="F22" s="14"/>
      <c r="G22" s="55"/>
      <c r="H22" s="73" t="s">
        <v>11</v>
      </c>
      <c r="I22" s="31">
        <f>AVERAGEIFS(A:A,E:E,"1",A:A,"&lt;=89",A:A,"&gt;=80")</f>
        <v>85.16666667</v>
      </c>
      <c r="J22" s="17">
        <f>AVERAGEIFS(B:B,E:E,"1",A:A,"&lt;=89",A:A,"&gt;=80")</f>
        <v>54.89333333</v>
      </c>
      <c r="K22" s="17">
        <f>AVERAGEIFS(D:D,E:E,"1",A:A,"&lt;=89",A:A,"&gt;=80")</f>
        <v>55.24</v>
      </c>
      <c r="L22" s="74">
        <f>COUNTIFS(E:E,"1",A:A,"&gt;=80",A:A,"&lt;=89")</f>
        <v>30</v>
      </c>
      <c r="M22" s="62"/>
      <c r="N22" s="1" t="s">
        <v>32</v>
      </c>
      <c r="O22" s="17">
        <f>AVERAGEIFS(B:B,C:C,"&gt;=4000",C:C,"&lt;=4500")</f>
        <v>59.5</v>
      </c>
      <c r="P22" s="42">
        <f>AVERAGEIFS(D:D,C:C,"&gt;=4000",C:C,"&lt;=4500")</f>
        <v>69.4</v>
      </c>
      <c r="Q22" s="19">
        <f>COUNTIFS(C:C,"&gt;=4000",C:C,"&lt;=4499")</f>
        <v>1</v>
      </c>
    </row>
    <row r="23">
      <c r="A23" s="21">
        <v>85.0</v>
      </c>
      <c r="B23" s="10">
        <v>61.9</v>
      </c>
      <c r="C23" s="11">
        <v>800.0</v>
      </c>
      <c r="D23" s="9">
        <v>54.5</v>
      </c>
      <c r="E23" s="75">
        <v>4.0</v>
      </c>
      <c r="F23" s="14"/>
      <c r="G23" s="55"/>
      <c r="H23" s="76" t="s">
        <v>12</v>
      </c>
      <c r="I23" s="61">
        <f>AVERAGEIFS(A:A,E:E,"1",A:A,"&lt;=99",A:A,"&gt;=90")</f>
        <v>94.97727273</v>
      </c>
      <c r="J23" s="17">
        <f>AVERAGEIFS(B:B,E:E,"1",A:A,"&lt;=99",A:A,"&gt;=90")</f>
        <v>54.89772727</v>
      </c>
      <c r="K23" s="17">
        <f>AVERAGEIFS(D:D,E:E,"1",A:A,"&lt;=99",A:A,"&gt;=90")</f>
        <v>53.08863636</v>
      </c>
      <c r="L23" s="74">
        <f>COUNTIFS(E:E,"1",A:A,"&gt;=90",A:A,"&lt;=99")</f>
        <v>44</v>
      </c>
      <c r="M23" s="62"/>
      <c r="N23" s="1" t="s">
        <v>33</v>
      </c>
      <c r="O23" s="42">
        <f>AVERAGEIFS(B:B,C:C,"&gt;=4500",C:C,"&lt;=5000")</f>
        <v>66.4</v>
      </c>
      <c r="P23" s="72">
        <f>AVERAGEIFS(D:D,C:C,"&gt;=4500",C:C,"&lt;=5000")</f>
        <v>78.5</v>
      </c>
      <c r="Q23" s="74">
        <f>COUNTIFS(C:C,"&gt;=4500",C:C,"&lt;=4999")</f>
        <v>1</v>
      </c>
    </row>
    <row r="24">
      <c r="A24" s="21">
        <v>80.0</v>
      </c>
      <c r="B24" s="20">
        <v>35.1</v>
      </c>
      <c r="C24" s="11">
        <v>724.0</v>
      </c>
      <c r="D24" s="20">
        <v>36.7</v>
      </c>
      <c r="E24" s="75">
        <v>4.0</v>
      </c>
      <c r="F24" s="14"/>
      <c r="G24" s="55"/>
      <c r="H24" s="19"/>
      <c r="I24" s="19"/>
      <c r="J24" s="19"/>
      <c r="K24" s="19"/>
      <c r="L24" s="19"/>
      <c r="M24" s="62"/>
      <c r="N24" s="1" t="s">
        <v>34</v>
      </c>
      <c r="O24" s="18" t="str">
        <f t="shared" ref="O24:O29" si="3">IFERROR(AVERAGEIFS(B:B,C:C,"&gt;=5000",C:C,"&lt;=5500"), "No Data")</f>
        <v>No Data</v>
      </c>
      <c r="P24" s="18" t="str">
        <f t="shared" ref="P24:P29" si="4">IFERROR(AVERAGEIFS(D:D,C:C,"&gt;=5000",C:C,"&lt;=5500"), "No Data")</f>
        <v>No Data</v>
      </c>
      <c r="Q24" s="19">
        <f>COUNTIFS(C:C,"&gt;=5000",C:C,"&lt;=5499")</f>
        <v>0</v>
      </c>
    </row>
    <row r="25">
      <c r="A25" s="21">
        <v>84.0</v>
      </c>
      <c r="B25" s="9">
        <v>53.0</v>
      </c>
      <c r="C25" s="11">
        <v>571.0</v>
      </c>
      <c r="D25" s="21">
        <v>49.2</v>
      </c>
      <c r="E25" s="13">
        <v>1.0</v>
      </c>
      <c r="F25" s="14"/>
      <c r="G25" s="55"/>
      <c r="H25" s="77" t="s">
        <v>35</v>
      </c>
      <c r="I25" s="57" t="s">
        <v>0</v>
      </c>
      <c r="J25" s="57" t="s">
        <v>6</v>
      </c>
      <c r="K25" s="57" t="s">
        <v>3</v>
      </c>
      <c r="L25" s="57" t="s">
        <v>8</v>
      </c>
      <c r="M25" s="62"/>
      <c r="N25" s="1" t="s">
        <v>36</v>
      </c>
      <c r="O25" s="18" t="str">
        <f t="shared" si="3"/>
        <v>No Data</v>
      </c>
      <c r="P25" s="18" t="str">
        <f t="shared" si="4"/>
        <v>No Data</v>
      </c>
      <c r="Q25" s="19">
        <f>COUNTIFS(C:C,"&gt;=5500",C:C,"&lt;=5999")</f>
        <v>0</v>
      </c>
    </row>
    <row r="26">
      <c r="A26" s="21">
        <v>83.0</v>
      </c>
      <c r="B26" s="10">
        <v>60.1</v>
      </c>
      <c r="C26" s="49">
        <v>2534.0</v>
      </c>
      <c r="D26" s="9">
        <v>56.6</v>
      </c>
      <c r="E26" s="23">
        <v>5.0</v>
      </c>
      <c r="F26" s="14"/>
      <c r="G26" s="55"/>
      <c r="H26" s="71" t="s">
        <v>9</v>
      </c>
      <c r="I26" s="26">
        <f>AVERAGEIFS(A:A,E:E,"2",A:A,"&lt;=79")</f>
        <v>77.75</v>
      </c>
      <c r="J26" s="17">
        <f>AVERAGEIFS(B:B,E:E,"2",A:A,"&lt;=79",A:A,"&gt;=70")</f>
        <v>52.1625</v>
      </c>
      <c r="K26" s="42">
        <f>AVERAGEIFS(D:D,E:E,"2",A:A,"&lt;=79",A:A,"&gt;=70")</f>
        <v>63.325</v>
      </c>
      <c r="L26" s="19">
        <f>COUNTIFS(E:E,"2",A:A,"&gt;=70",A:A,"&lt;=79")</f>
        <v>8</v>
      </c>
      <c r="M26" s="62"/>
      <c r="N26" s="1" t="s">
        <v>37</v>
      </c>
      <c r="O26" s="18" t="str">
        <f t="shared" si="3"/>
        <v>No Data</v>
      </c>
      <c r="P26" s="18" t="str">
        <f t="shared" si="4"/>
        <v>No Data</v>
      </c>
      <c r="Q26" s="19">
        <f>COUNTIFS(C:C,"&gt;=6000",C:C,"&lt;=6499")</f>
        <v>0</v>
      </c>
    </row>
    <row r="27">
      <c r="A27" s="21">
        <v>87.0</v>
      </c>
      <c r="B27" s="9">
        <v>57.0</v>
      </c>
      <c r="C27" s="22">
        <v>1950.0</v>
      </c>
      <c r="D27" s="21">
        <v>49.9</v>
      </c>
      <c r="E27" s="46">
        <v>2.0</v>
      </c>
      <c r="F27" s="14"/>
      <c r="G27" s="55"/>
      <c r="H27" s="73" t="s">
        <v>11</v>
      </c>
      <c r="I27" s="31">
        <f>AVERAGEIFS(A:A,E:E,"2",A:A,"&lt;=89",A:A,"&gt;=80")</f>
        <v>84.44827586</v>
      </c>
      <c r="J27" s="16">
        <f>AVERAGEIFS(B:B,E:E,"2",A:A,"&lt;=89",A:A,"&gt;=80")</f>
        <v>49.59310345</v>
      </c>
      <c r="K27" s="16">
        <f>AVERAGEIFS(D:D,E:E,"2",A:A,"&lt;=89",A:A,"&gt;=80")</f>
        <v>48.31724138</v>
      </c>
      <c r="L27" s="74">
        <f>COUNTIFS(E:E,"2",A:A,"&gt;=80",A:A,"&lt;=89")</f>
        <v>29</v>
      </c>
      <c r="M27" s="62"/>
      <c r="N27" s="1" t="s">
        <v>38</v>
      </c>
      <c r="O27" s="18" t="str">
        <f t="shared" si="3"/>
        <v>No Data</v>
      </c>
      <c r="P27" s="18" t="str">
        <f t="shared" si="4"/>
        <v>No Data</v>
      </c>
      <c r="Q27" s="19">
        <f>COUNTIFS(C:C,"&gt;=6500",C:C,"&lt;=6999")</f>
        <v>0</v>
      </c>
    </row>
    <row r="28">
      <c r="A28" s="21">
        <v>84.0</v>
      </c>
      <c r="B28" s="21">
        <v>43.3</v>
      </c>
      <c r="C28" s="11">
        <v>788.0</v>
      </c>
      <c r="D28" s="20">
        <v>31.9</v>
      </c>
      <c r="E28" s="46">
        <v>2.0</v>
      </c>
      <c r="F28" s="14"/>
      <c r="G28" s="55"/>
      <c r="H28" s="76" t="s">
        <v>12</v>
      </c>
      <c r="I28" s="61">
        <f>AVERAGEIFS(A:A,E:E,"2",A:A,"&lt;=99",A:A,"&gt;=90")</f>
        <v>92.33333333</v>
      </c>
      <c r="J28" s="17">
        <f>AVERAGEIFS(B:B,E:E,"2",A:A,"&lt;=99",A:A,"&gt;=90")</f>
        <v>55.43333333</v>
      </c>
      <c r="K28" s="16">
        <f>AVERAGEIFS(D:D,E:E,"2",A:A,"&lt;=99",A:A,"&gt;=90")</f>
        <v>49.02222222</v>
      </c>
      <c r="L28" s="74">
        <f>COUNTIFS(E:E,"2",A:A,"&gt;=90",A:A,"&lt;=99")</f>
        <v>9</v>
      </c>
      <c r="M28" s="62"/>
      <c r="N28" s="1" t="s">
        <v>39</v>
      </c>
      <c r="O28" s="18" t="str">
        <f t="shared" si="3"/>
        <v>No Data</v>
      </c>
      <c r="P28" s="18" t="str">
        <f t="shared" si="4"/>
        <v>No Data</v>
      </c>
      <c r="Q28" s="19">
        <f>COUNTIFS(C:C,"&gt;=7000",C:C,"&lt;=7499")</f>
        <v>0</v>
      </c>
    </row>
    <row r="29">
      <c r="A29" s="9">
        <v>94.0</v>
      </c>
      <c r="B29" s="9">
        <v>58.0</v>
      </c>
      <c r="C29" s="11">
        <v>945.0</v>
      </c>
      <c r="D29" s="9">
        <v>55.2</v>
      </c>
      <c r="E29" s="13">
        <v>1.0</v>
      </c>
      <c r="F29" s="14"/>
      <c r="G29" s="55"/>
      <c r="H29" s="19"/>
      <c r="I29" s="19"/>
      <c r="J29" s="19"/>
      <c r="K29" s="19"/>
      <c r="L29" s="19"/>
      <c r="M29" s="62"/>
      <c r="N29" s="78" t="s">
        <v>40</v>
      </c>
      <c r="O29" s="18" t="str">
        <f t="shared" si="3"/>
        <v>No Data</v>
      </c>
      <c r="P29" s="18" t="str">
        <f t="shared" si="4"/>
        <v>No Data</v>
      </c>
      <c r="Q29" s="79">
        <f>COUNTIFS(C:C,"&gt;=7500",C:C,"&lt;=8000")</f>
        <v>0</v>
      </c>
    </row>
    <row r="30">
      <c r="A30" s="21">
        <v>85.0</v>
      </c>
      <c r="B30" s="21">
        <v>49.1</v>
      </c>
      <c r="C30" s="11">
        <v>728.0</v>
      </c>
      <c r="D30" s="20">
        <v>33.4</v>
      </c>
      <c r="E30" s="13">
        <v>1.0</v>
      </c>
      <c r="F30" s="14"/>
      <c r="G30" s="55"/>
      <c r="H30" s="80" t="s">
        <v>41</v>
      </c>
      <c r="I30" s="57" t="s">
        <v>0</v>
      </c>
      <c r="J30" s="57" t="s">
        <v>6</v>
      </c>
      <c r="K30" s="57" t="s">
        <v>3</v>
      </c>
      <c r="L30" s="57" t="s">
        <v>8</v>
      </c>
      <c r="M30" s="52"/>
      <c r="N30" s="53"/>
      <c r="O30" s="81"/>
      <c r="P30" s="53"/>
      <c r="Q30" s="53"/>
    </row>
    <row r="31">
      <c r="A31" s="9">
        <v>90.0</v>
      </c>
      <c r="B31" s="9">
        <v>55.5</v>
      </c>
      <c r="C31" s="11">
        <v>645.0</v>
      </c>
      <c r="D31" s="21">
        <v>43.1</v>
      </c>
      <c r="E31" s="46">
        <v>2.0</v>
      </c>
      <c r="F31" s="14"/>
      <c r="G31" s="55"/>
      <c r="H31" s="71" t="s">
        <v>9</v>
      </c>
      <c r="I31" s="26">
        <f>AVERAGEIFS(A:A,E:E,"3",A:A,"&lt;=79")</f>
        <v>78</v>
      </c>
      <c r="J31" s="16">
        <f>AVERAGEIFS(B:B,E:E,"3",A:A,"&lt;=79",A:A,"&gt;=70")</f>
        <v>47.48333333</v>
      </c>
      <c r="K31" s="16">
        <f>AVERAGEIFS(D:D,E:E,"3",A:A,"&lt;=79",A:A,"&gt;=70")</f>
        <v>49.1</v>
      </c>
      <c r="L31" s="19">
        <f>COUNTIFS(E:E,"3",A:A,"&gt;=70",A:A,"&lt;=79")</f>
        <v>6</v>
      </c>
      <c r="M31" s="52"/>
      <c r="N31" s="58"/>
      <c r="O31" s="58"/>
      <c r="P31" s="58"/>
      <c r="Q31" s="58"/>
    </row>
    <row r="32">
      <c r="A32" s="21">
        <v>84.0</v>
      </c>
      <c r="B32" s="20">
        <v>34.4</v>
      </c>
      <c r="C32" s="11">
        <v>806.0</v>
      </c>
      <c r="D32" s="20">
        <v>38.1</v>
      </c>
      <c r="E32" s="68">
        <v>3.0</v>
      </c>
      <c r="F32" s="28"/>
      <c r="G32" s="55"/>
      <c r="H32" s="73" t="s">
        <v>11</v>
      </c>
      <c r="I32" s="31">
        <f>AVERAGEIFS(A:A,E:E,"3",A:A,"&lt;=89",A:A,"&gt;=80")</f>
        <v>83.75862069</v>
      </c>
      <c r="J32" s="16">
        <f>AVERAGEIFS(B:B,E:E,"3",A:A,"&lt;=89",A:A,"&gt;=80")</f>
        <v>48.70689655</v>
      </c>
      <c r="K32" s="16">
        <f>AVERAGEIFS(D:D,E:E,"3",A:A,"&lt;=89",A:A,"&gt;=80")</f>
        <v>48.36206897</v>
      </c>
      <c r="L32" s="74">
        <f>COUNTIFS(E:E,"3",A:A,"&gt;=80",A:A,"&lt;=89")</f>
        <v>29</v>
      </c>
      <c r="M32" s="62"/>
      <c r="N32" s="1" t="s">
        <v>42</v>
      </c>
      <c r="O32" s="6" t="s">
        <v>43</v>
      </c>
      <c r="P32" s="6" t="s">
        <v>44</v>
      </c>
      <c r="Q32" s="8" t="s">
        <v>8</v>
      </c>
    </row>
    <row r="33">
      <c r="A33" s="20">
        <v>77.0</v>
      </c>
      <c r="B33" s="10">
        <v>62.0</v>
      </c>
      <c r="C33" s="33">
        <v>1313.0</v>
      </c>
      <c r="D33" s="10">
        <v>63.1</v>
      </c>
      <c r="E33" s="46">
        <v>2.0</v>
      </c>
      <c r="F33" s="14"/>
      <c r="G33" s="55"/>
      <c r="H33" s="76" t="s">
        <v>12</v>
      </c>
      <c r="I33" s="61">
        <f>AVERAGEIFS(A:A,E:E,"3",A:A,"&lt;=99",A:A,"&gt;=90")</f>
        <v>91</v>
      </c>
      <c r="J33" s="17">
        <f>AVERAGEIFS(B:B,E:E,"3",A:A,"&lt;=99",A:A,"&gt;=90")</f>
        <v>59.5</v>
      </c>
      <c r="K33" s="42">
        <f>AVERAGEIFS(D:D,E:E,"3",A:A,"&lt;=99",A:A,"&gt;=90")</f>
        <v>69.4</v>
      </c>
      <c r="L33" s="74">
        <f>COUNTIFS(E:E,"3",A:A,"&gt;=90",A:A,"&lt;=99")</f>
        <v>1</v>
      </c>
      <c r="M33" s="62"/>
      <c r="N33" s="6" t="s">
        <v>10</v>
      </c>
      <c r="O33" s="82" t="str">
        <f t="shared" ref="O33:O34" si="5">IFERROR(AVERAGEIFS(B:B,D:D,"&lt;=9.9",D:D,"&gt;=0"), "No Data")</f>
        <v>No Data</v>
      </c>
      <c r="P33" s="82" t="str">
        <f>IFERROR(AVERAGEIFS(B:B,D:D,"&lt;=9.9",D:D,"&gt;=0"), "No Data")</f>
        <v>No Data</v>
      </c>
      <c r="Q33" s="74">
        <f>COUNTIFS(D:D,"&lt;=9.9")</f>
        <v>0</v>
      </c>
    </row>
    <row r="34">
      <c r="A34" s="20">
        <v>77.0</v>
      </c>
      <c r="B34" s="21">
        <v>44.1</v>
      </c>
      <c r="C34" s="11">
        <v>728.0</v>
      </c>
      <c r="D34" s="9">
        <v>53.3</v>
      </c>
      <c r="E34" s="46">
        <v>2.0</v>
      </c>
      <c r="F34" s="14"/>
      <c r="G34" s="55"/>
      <c r="H34" s="19"/>
      <c r="I34" s="19"/>
      <c r="J34" s="19"/>
      <c r="K34" s="19"/>
      <c r="L34" s="19"/>
      <c r="M34" s="62"/>
      <c r="N34" s="25">
        <v>44123.0</v>
      </c>
      <c r="O34" s="82" t="str">
        <f t="shared" si="5"/>
        <v>No Data</v>
      </c>
      <c r="P34" s="82" t="str">
        <f>IFERROR(AVERAGEIFS(C:C,D:D,"&lt;=19.9",D:D,"&gt;=10"), "No Data")</f>
        <v>No Data</v>
      </c>
      <c r="Q34" s="83">
        <f>COUNTIFS(D:D,"&gt;=10",D:D,"&lt;=19.9")</f>
        <v>0</v>
      </c>
    </row>
    <row r="35">
      <c r="A35" s="20">
        <v>78.0</v>
      </c>
      <c r="B35" s="21">
        <v>46.3</v>
      </c>
      <c r="C35" s="22">
        <v>1882.0</v>
      </c>
      <c r="D35" s="21">
        <v>43.3</v>
      </c>
      <c r="E35" s="75">
        <v>4.0</v>
      </c>
      <c r="F35" s="28"/>
      <c r="G35" s="55"/>
      <c r="H35" s="84" t="s">
        <v>45</v>
      </c>
      <c r="I35" s="57" t="s">
        <v>0</v>
      </c>
      <c r="J35" s="57" t="s">
        <v>6</v>
      </c>
      <c r="K35" s="57" t="s">
        <v>3</v>
      </c>
      <c r="L35" s="57" t="s">
        <v>8</v>
      </c>
      <c r="M35" s="62"/>
      <c r="N35" s="6" t="s">
        <v>13</v>
      </c>
      <c r="O35" s="35">
        <f>AVERAGEIFS(B:B,D:D,"&lt;=29.9",D:D,"&gt;=20")</f>
        <v>37.94</v>
      </c>
      <c r="P35" s="85">
        <f>AVERAGEIFS(C:C,D:D,"&lt;=29.9",D:D,"&gt;=20")</f>
        <v>865</v>
      </c>
      <c r="Q35" s="74">
        <f>COUNTIFS(D:D,"&gt;=20",D:D,"&lt;=29.9")</f>
        <v>15</v>
      </c>
    </row>
    <row r="36">
      <c r="A36" s="21">
        <v>82.0</v>
      </c>
      <c r="B36" s="9">
        <v>59.4</v>
      </c>
      <c r="C36" s="11">
        <v>683.0</v>
      </c>
      <c r="D36" s="27">
        <v>72.5</v>
      </c>
      <c r="E36" s="13">
        <v>1.0</v>
      </c>
      <c r="F36" s="14"/>
      <c r="G36" s="55"/>
      <c r="H36" s="71" t="s">
        <v>9</v>
      </c>
      <c r="I36" s="26">
        <f>AVERAGEIFS(A:A,E:E,"4",A:A,"&lt;=79")</f>
        <v>77.4</v>
      </c>
      <c r="J36" s="16">
        <f>AVERAGEIFS(B:B,E:E,"4",A:A,"&lt;=79",A:A,"&gt;=70")</f>
        <v>49.95</v>
      </c>
      <c r="K36" s="17">
        <f>AVERAGEIFS(D:D,E:E,"4",A:A,"&lt;=79",A:A,"&gt;=70")</f>
        <v>52.54</v>
      </c>
      <c r="L36" s="19">
        <f>COUNTIFS(E:E,"4",A:A,"&gt;=70",A:A,"&lt;=79")</f>
        <v>10</v>
      </c>
      <c r="M36" s="62"/>
      <c r="N36" s="6" t="s">
        <v>14</v>
      </c>
      <c r="O36" s="16">
        <f>AVERAGEIFS(B:B,D:D,"&lt;=39.9",D:D,"&gt;=30")</f>
        <v>44.29302326</v>
      </c>
      <c r="P36" s="85">
        <f>AVERAGEIFS(C:C,D:D,"&lt;=39.9",D:D,"&gt;=30")</f>
        <v>1009.55814</v>
      </c>
      <c r="Q36" s="74">
        <f>COUNTIFS(D:D,"&gt;=30",D:D,"&lt;=39.9")</f>
        <v>43</v>
      </c>
    </row>
    <row r="37">
      <c r="A37" s="9">
        <v>98.0</v>
      </c>
      <c r="B37" s="10">
        <v>66.9</v>
      </c>
      <c r="C37" s="49">
        <v>2646.0</v>
      </c>
      <c r="D37" s="10">
        <v>69.6</v>
      </c>
      <c r="E37" s="13">
        <v>1.0</v>
      </c>
      <c r="F37" s="14"/>
      <c r="G37" s="55"/>
      <c r="H37" s="73" t="s">
        <v>11</v>
      </c>
      <c r="I37" s="31">
        <f>AVERAGEIFS(A:A,E:E,"4",A:A,"&lt;=89",A:A,"&gt;=80")</f>
        <v>82.4</v>
      </c>
      <c r="J37" s="16">
        <f>AVERAGEIFS(B:B,E:E,"4",A:A,"&lt;=89",A:A,"&gt;=80")</f>
        <v>49.83</v>
      </c>
      <c r="K37" s="17">
        <f>AVERAGEIFS(D:D,E:E,"4",A:A,"&lt;=89",A:A,"&gt;=80")</f>
        <v>51.27</v>
      </c>
      <c r="L37" s="74">
        <f>COUNTIFS(E:E,"4",A:A,"&gt;=80",A:A,"&lt;=89")</f>
        <v>10</v>
      </c>
      <c r="M37" s="62"/>
      <c r="N37" s="6" t="s">
        <v>16</v>
      </c>
      <c r="O37" s="16">
        <f>AVERAGEIFS(B:B,D:D,"&lt;=49.9",D:D,"&gt;=40")</f>
        <v>49.19782609</v>
      </c>
      <c r="P37" s="85">
        <f>AVERAGEIFS(C:C,D:D,"&lt;=49.9",D:D,"&gt;=40")</f>
        <v>1060.782609</v>
      </c>
      <c r="Q37" s="74">
        <f>COUNTIFS(D:D,"&gt;=40",D:D,"&lt;=49.9")</f>
        <v>46</v>
      </c>
    </row>
    <row r="38">
      <c r="A38" s="9">
        <v>97.0</v>
      </c>
      <c r="B38" s="9">
        <v>58.7</v>
      </c>
      <c r="C38" s="11">
        <v>658.0</v>
      </c>
      <c r="D38" s="9">
        <v>55.5</v>
      </c>
      <c r="E38" s="13">
        <v>1.0</v>
      </c>
      <c r="F38" s="28"/>
      <c r="G38" s="55"/>
      <c r="H38" s="76" t="s">
        <v>12</v>
      </c>
      <c r="I38" s="86" t="str">
        <f t="shared" ref="I38:K38" si="6">IFERROR(AVERAGEIFS(A:A,E:E,"4",A:A,"&lt;=99",A:A,"&gt;=90"), "No Data")</f>
        <v>No Data</v>
      </c>
      <c r="J38" s="82" t="str">
        <f t="shared" si="6"/>
        <v>No Data</v>
      </c>
      <c r="K38" s="82" t="str">
        <f t="shared" si="6"/>
        <v>No Data</v>
      </c>
      <c r="L38" s="74">
        <f>COUNTIFS(E:E,"4",A:A,"&gt;=90",A:A,"&lt;=99")</f>
        <v>0</v>
      </c>
      <c r="M38" s="62"/>
      <c r="N38" s="6" t="s">
        <v>18</v>
      </c>
      <c r="O38" s="17">
        <f>AVERAGEIFS(B:B,D:D,"&lt;=59.9",D:D,"&gt;=50")</f>
        <v>53.33482587</v>
      </c>
      <c r="P38" s="85">
        <f>AVERAGEIFS(C:C,D:D,"&lt;=59.9",D:D,"&gt;=50")</f>
        <v>1259.392249</v>
      </c>
      <c r="Q38" s="74">
        <f>COUNTIFS(D:D,"&gt;=50",D:D,"&lt;=59.9")</f>
        <v>38</v>
      </c>
    </row>
    <row r="39">
      <c r="A39" s="9">
        <v>99.0</v>
      </c>
      <c r="B39" s="9">
        <v>53.5</v>
      </c>
      <c r="C39" s="33">
        <v>1464.0</v>
      </c>
      <c r="D39" s="21">
        <v>49.6</v>
      </c>
      <c r="E39" s="13">
        <v>1.0</v>
      </c>
      <c r="F39" s="14"/>
      <c r="G39" s="55"/>
      <c r="H39" s="19"/>
      <c r="I39" s="19"/>
      <c r="J39" s="19"/>
      <c r="K39" s="19"/>
      <c r="L39" s="19"/>
      <c r="M39" s="62"/>
      <c r="N39" s="6" t="s">
        <v>20</v>
      </c>
      <c r="O39" s="17">
        <f>AVERAGEIFS(B:B,D:D,"&lt;=69.9",D:D,"&gt;=60")</f>
        <v>58.6137931</v>
      </c>
      <c r="P39" s="85">
        <f>AVERAGEIFS(C:C,D:D,"&lt;=69.9",D:D,"&gt;=60")</f>
        <v>1435.137931</v>
      </c>
      <c r="Q39" s="74">
        <f>COUNTIFS(D:D,"&gt;=60",D:D,"&lt;=69.9")</f>
        <v>29</v>
      </c>
    </row>
    <row r="40">
      <c r="A40" s="20">
        <v>79.0</v>
      </c>
      <c r="B40" s="37">
        <v>25.1</v>
      </c>
      <c r="C40" s="11">
        <v>548.0</v>
      </c>
      <c r="D40" s="37">
        <v>27.7</v>
      </c>
      <c r="E40" s="75">
        <v>4.0</v>
      </c>
      <c r="F40" s="14"/>
      <c r="G40" s="55"/>
      <c r="H40" s="87" t="s">
        <v>46</v>
      </c>
      <c r="I40" s="57" t="s">
        <v>0</v>
      </c>
      <c r="J40" s="57" t="s">
        <v>6</v>
      </c>
      <c r="K40" s="57" t="s">
        <v>3</v>
      </c>
      <c r="L40" s="57" t="s">
        <v>8</v>
      </c>
      <c r="M40" s="62"/>
      <c r="N40" s="6" t="s">
        <v>9</v>
      </c>
      <c r="O40" s="42">
        <f>AVERAGEIFS(B:B,D:D,"&lt;=79.9",D:D,"&gt;=70")</f>
        <v>60.17083333</v>
      </c>
      <c r="P40" s="85">
        <f>AVERAGEIFS(C:C,D:D,"&lt;=79.9",D:D,"&gt;=70")</f>
        <v>1449.208333</v>
      </c>
      <c r="Q40" s="74">
        <f>COUNTIFS(D:D,"&gt;=70",D:D,"&lt;=79.9")</f>
        <v>24</v>
      </c>
    </row>
    <row r="41">
      <c r="A41" s="21">
        <v>82.0</v>
      </c>
      <c r="B41" s="21">
        <v>46.2</v>
      </c>
      <c r="C41" s="33">
        <v>1077.0</v>
      </c>
      <c r="D41" s="20">
        <v>35.0</v>
      </c>
      <c r="E41" s="13">
        <v>1.0</v>
      </c>
      <c r="F41" s="14"/>
      <c r="G41" s="55"/>
      <c r="H41" s="71" t="s">
        <v>9</v>
      </c>
      <c r="I41" s="26">
        <f>AVERAGEIFS(A:A,E:E,"5",A:A,"&lt;=79")</f>
        <v>75.11764706</v>
      </c>
      <c r="J41" s="16">
        <f>AVERAGEIFS(B:B,E:E,"5",A:A,"&lt;=79",A:A,"&gt;=70")</f>
        <v>46.10588235</v>
      </c>
      <c r="K41" s="16">
        <f>AVERAGEIFS(D:D,E:E,"5",A:A,"&lt;=79",A:A,"&gt;=70")</f>
        <v>46.62941176</v>
      </c>
      <c r="L41" s="19">
        <f>COUNTIFS(E:E,"5",A:A,"&gt;=70",A:A,"&lt;=79")</f>
        <v>17</v>
      </c>
      <c r="M41" s="62"/>
      <c r="N41" s="6" t="s">
        <v>11</v>
      </c>
      <c r="O41" s="42">
        <f>AVERAGEIFS(B:B,D:D,"&lt;=89.9",D:D,"&gt;=80")</f>
        <v>68.58571429</v>
      </c>
      <c r="P41" s="85">
        <f>AVERAGEIFS(C:C,D:D,"&lt;=89.9",D:D,"&gt;=80")</f>
        <v>2166.285714</v>
      </c>
      <c r="Q41" s="74">
        <f>COUNTIFS(D:D,"&gt;=80",D:D,"&lt;=89.9")</f>
        <v>7</v>
      </c>
    </row>
    <row r="42">
      <c r="A42" s="20">
        <v>74.0</v>
      </c>
      <c r="B42" s="21">
        <v>46.9</v>
      </c>
      <c r="C42" s="11">
        <v>759.0</v>
      </c>
      <c r="D42" s="20">
        <v>36.1</v>
      </c>
      <c r="E42" s="23">
        <v>5.0</v>
      </c>
      <c r="F42" s="14"/>
      <c r="G42" s="55"/>
      <c r="H42" s="73" t="s">
        <v>11</v>
      </c>
      <c r="I42" s="31">
        <f>AVERAGEIFS(A:A,E:E,"5",A:A,"&lt;=89",A:A,"&gt;=80")</f>
        <v>81.8</v>
      </c>
      <c r="J42" s="16">
        <f>AVERAGEIFS(B:B,E:E,"5",A:A,"&lt;=89",A:A,"&gt;=80")</f>
        <v>43.86</v>
      </c>
      <c r="K42" s="16">
        <f>AVERAGEIFS(D:D,E:E,"5",A:A,"&lt;=89",A:A,"&gt;=80")</f>
        <v>41.88</v>
      </c>
      <c r="L42" s="74">
        <f>COUNTIFS(E:E,"5",A:A,"&gt;=80",A:A,"&lt;=89")</f>
        <v>5</v>
      </c>
      <c r="M42" s="62"/>
      <c r="N42" s="6" t="s">
        <v>12</v>
      </c>
      <c r="O42" s="82" t="str">
        <f t="shared" ref="O42:P42" si="7">IFERROR(AVERAGEIFS(B:B,D:D,"&lt;=99.9",D:D,"&gt;=90"), "No Data")</f>
        <v>No Data</v>
      </c>
      <c r="P42" s="82" t="str">
        <f t="shared" si="7"/>
        <v>No Data</v>
      </c>
      <c r="Q42" s="74">
        <f>COUNTIFS(D:D,"&gt;=90",D:D,"&lt;=99.9")</f>
        <v>0</v>
      </c>
    </row>
    <row r="43">
      <c r="A43" s="9">
        <v>98.0</v>
      </c>
      <c r="B43" s="20">
        <v>32.1</v>
      </c>
      <c r="C43" s="11">
        <v>528.0</v>
      </c>
      <c r="D43" s="37">
        <v>25.9</v>
      </c>
      <c r="E43" s="13">
        <v>1.0</v>
      </c>
      <c r="F43" s="14"/>
      <c r="G43" s="55"/>
      <c r="H43" s="76" t="s">
        <v>12</v>
      </c>
      <c r="I43" s="86" t="str">
        <f t="shared" ref="I43:K43" si="8">IFERROR(AVERAGEIFS(A:A,E:E,"5",A:A,"&lt;=99",A:A,"&gt;=90"), "No Data")</f>
        <v>No Data</v>
      </c>
      <c r="J43" s="82" t="str">
        <f t="shared" si="8"/>
        <v>No Data</v>
      </c>
      <c r="K43" s="82" t="str">
        <f t="shared" si="8"/>
        <v>No Data</v>
      </c>
      <c r="L43" s="74">
        <f>COUNTIFS(E:E,"5",A:A,"&gt;=90",A:A,"&lt;=99")</f>
        <v>0</v>
      </c>
      <c r="M43" s="52"/>
      <c r="N43" s="7"/>
      <c r="O43" s="7"/>
      <c r="P43" s="7"/>
      <c r="Q43" s="7"/>
    </row>
    <row r="44">
      <c r="A44" s="9">
        <v>95.0</v>
      </c>
      <c r="B44" s="27">
        <v>70.0</v>
      </c>
      <c r="C44" s="22">
        <v>1977.0</v>
      </c>
      <c r="D44" s="27">
        <v>73.4</v>
      </c>
      <c r="E44" s="46">
        <v>2.0</v>
      </c>
      <c r="F44" s="14"/>
      <c r="G44" s="55"/>
      <c r="H44" s="19"/>
      <c r="I44" s="19"/>
      <c r="J44" s="19"/>
      <c r="K44" s="19"/>
      <c r="L44" s="19"/>
      <c r="M44" s="52"/>
      <c r="N44" s="7"/>
      <c r="O44" s="7"/>
      <c r="P44" s="7"/>
      <c r="Q44" s="7"/>
    </row>
    <row r="45">
      <c r="A45" s="9">
        <v>94.0</v>
      </c>
      <c r="B45" s="10">
        <v>66.0</v>
      </c>
      <c r="C45" s="11">
        <v>837.0</v>
      </c>
      <c r="D45" s="27">
        <v>77.5</v>
      </c>
      <c r="E45" s="13">
        <v>1.0</v>
      </c>
      <c r="F45" s="14"/>
      <c r="G45" s="55"/>
      <c r="H45" s="69" t="s">
        <v>29</v>
      </c>
      <c r="I45" s="57" t="s">
        <v>0</v>
      </c>
      <c r="J45" s="57" t="s">
        <v>6</v>
      </c>
      <c r="K45" s="57" t="s">
        <v>3</v>
      </c>
      <c r="L45" s="57" t="s">
        <v>8</v>
      </c>
      <c r="M45" s="52"/>
      <c r="N45" s="7"/>
      <c r="O45" s="7"/>
      <c r="P45" s="7"/>
      <c r="Q45" s="7"/>
    </row>
    <row r="46">
      <c r="A46" s="20">
        <v>77.0</v>
      </c>
      <c r="B46" s="9">
        <v>53.5</v>
      </c>
      <c r="C46" s="11">
        <v>566.0</v>
      </c>
      <c r="D46" s="9">
        <v>53.7</v>
      </c>
      <c r="E46" s="68">
        <v>3.0</v>
      </c>
      <c r="F46" s="14"/>
      <c r="G46" s="55"/>
      <c r="H46" s="38" t="s">
        <v>17</v>
      </c>
      <c r="I46" s="26">
        <f>AVERAGEIFS(A:A,E:E,"1",A:A,"&lt;=76")</f>
        <v>70</v>
      </c>
      <c r="J46" s="16">
        <f>AVERAGEIFS(B:B,E:E,"1",A:A,"&lt;=76",A:A,"&gt;=70")</f>
        <v>44.1</v>
      </c>
      <c r="K46" s="16">
        <f>AVERAGEIFS(D:D,E:E,"1",A:A,"&lt;=76",A:A,"&gt;=70")</f>
        <v>46.4</v>
      </c>
      <c r="L46" s="19">
        <f>COUNTIFS(E:E,"1",A:A,"&gt;=70",A:A,"&lt;=76")</f>
        <v>1</v>
      </c>
      <c r="M46" s="52"/>
      <c r="N46" s="7"/>
      <c r="O46" s="7"/>
      <c r="P46" s="7"/>
      <c r="Q46" s="7"/>
    </row>
    <row r="47">
      <c r="A47" s="20">
        <v>75.0</v>
      </c>
      <c r="B47" s="10">
        <v>64.4</v>
      </c>
      <c r="C47" s="37">
        <v>2290.0</v>
      </c>
      <c r="D47" s="27">
        <v>71.4</v>
      </c>
      <c r="E47" s="23">
        <v>5.0</v>
      </c>
      <c r="F47" s="14"/>
      <c r="G47" s="55"/>
      <c r="H47" s="40" t="s">
        <v>19</v>
      </c>
      <c r="I47" s="31">
        <f>AVERAGEIFS(A:A,E:E,"1",A:A,"&lt;=83",A:A,"&gt;=77")</f>
        <v>80.55555556</v>
      </c>
      <c r="J47" s="17">
        <f>AVERAGEIFS(B:B,E:E,"1",A:A,"&lt;=83",A:A,"&gt;=77")</f>
        <v>56.33333333</v>
      </c>
      <c r="K47" s="17">
        <f>AVERAGEIFS(D:D,E:E,"1",A:A,"&lt;=83",A:A,"&gt;=77")</f>
        <v>58.74444444</v>
      </c>
      <c r="L47" s="74">
        <f>COUNTIFS(E:E,"1",A:A,"&gt;=77",A:A,"&lt;=83")</f>
        <v>9</v>
      </c>
      <c r="M47" s="52"/>
      <c r="N47" s="7"/>
      <c r="O47" s="7"/>
      <c r="P47" s="7"/>
      <c r="Q47" s="7"/>
    </row>
    <row r="48">
      <c r="A48" s="21">
        <v>81.0</v>
      </c>
      <c r="B48" s="20">
        <v>32.1</v>
      </c>
      <c r="C48" s="33">
        <v>1046.0</v>
      </c>
      <c r="D48" s="37">
        <v>26.6</v>
      </c>
      <c r="E48" s="46">
        <v>2.0</v>
      </c>
      <c r="F48" s="14"/>
      <c r="G48" s="55"/>
      <c r="H48" s="43" t="s">
        <v>21</v>
      </c>
      <c r="I48" s="31">
        <f>AVERAGEIFS(A:A,E:E,"1",A:A,"&lt;=91",A:A,"&gt;=84")</f>
        <v>87.79411765</v>
      </c>
      <c r="J48" s="17">
        <f>AVERAGEIFS(B:B,E:E,"1",A:A,"&lt;=91",A:A,"&gt;=84")</f>
        <v>54.87058824</v>
      </c>
      <c r="K48" s="17">
        <f>AVERAGEIFS(D:D,E:E,"1",A:A,"&lt;=91",A:A,"&gt;=84")</f>
        <v>53.95882353</v>
      </c>
      <c r="L48" s="74">
        <f>COUNTIFS(E:E,"1",A:A,"&gt;=84",A:A,"&lt;=91")</f>
        <v>34</v>
      </c>
      <c r="M48" s="52"/>
      <c r="N48" s="7"/>
      <c r="O48" s="7"/>
      <c r="P48" s="7"/>
      <c r="Q48" s="7"/>
    </row>
    <row r="49">
      <c r="A49" s="20">
        <v>79.0</v>
      </c>
      <c r="B49" s="21">
        <v>45.9</v>
      </c>
      <c r="C49" s="65">
        <v>3493.0</v>
      </c>
      <c r="D49" s="9">
        <v>52.2</v>
      </c>
      <c r="E49" s="46">
        <v>2.0</v>
      </c>
      <c r="F49" s="14"/>
      <c r="G49" s="55"/>
      <c r="H49" s="47" t="s">
        <v>22</v>
      </c>
      <c r="I49" s="61">
        <f>AVERAGEIFS(A:A,E:E,"1",A:A,"&lt;=99",A:A,"&gt;=92")</f>
        <v>96.42424242</v>
      </c>
      <c r="J49" s="17">
        <f>AVERAGEIFS(B:B,E:E,"1",A:A,"&lt;=99",A:A,"&gt;=92")</f>
        <v>54.76363636</v>
      </c>
      <c r="K49" s="17">
        <f>AVERAGEIFS(D:D,E:E,"1",A:A,"&lt;=99",A:A,"&gt;=92")</f>
        <v>53.17272727</v>
      </c>
      <c r="L49" s="74">
        <f>COUNTIFS(E:E,"1",A:A,"&gt;=92",A:A,"&lt;=99")</f>
        <v>33</v>
      </c>
      <c r="M49" s="52"/>
      <c r="N49" s="7"/>
      <c r="O49" s="7"/>
      <c r="P49" s="7"/>
      <c r="Q49" s="7"/>
    </row>
    <row r="50">
      <c r="A50" s="9">
        <v>99.0</v>
      </c>
      <c r="B50" s="9">
        <v>52.3</v>
      </c>
      <c r="C50" s="33">
        <v>1142.0</v>
      </c>
      <c r="D50" s="20">
        <v>39.7</v>
      </c>
      <c r="E50" s="46">
        <v>2.0</v>
      </c>
      <c r="F50" s="28"/>
      <c r="G50" s="55"/>
      <c r="H50" s="19"/>
      <c r="I50" s="19"/>
      <c r="J50" s="19"/>
      <c r="K50" s="19"/>
      <c r="L50" s="19"/>
      <c r="M50" s="52"/>
      <c r="N50" s="7"/>
      <c r="O50" s="7"/>
      <c r="P50" s="7"/>
      <c r="Q50" s="7"/>
    </row>
    <row r="51">
      <c r="A51" s="9">
        <v>94.0</v>
      </c>
      <c r="B51" s="21">
        <v>43.7</v>
      </c>
      <c r="C51" s="33">
        <v>1094.0</v>
      </c>
      <c r="D51" s="20">
        <v>33.4</v>
      </c>
      <c r="E51" s="13">
        <v>1.0</v>
      </c>
      <c r="F51" s="14"/>
      <c r="G51" s="55"/>
      <c r="H51" s="77" t="s">
        <v>35</v>
      </c>
      <c r="I51" s="57" t="s">
        <v>0</v>
      </c>
      <c r="J51" s="57" t="s">
        <v>6</v>
      </c>
      <c r="K51" s="57" t="s">
        <v>3</v>
      </c>
      <c r="L51" s="57" t="s">
        <v>8</v>
      </c>
      <c r="M51" s="52"/>
      <c r="N51" s="7"/>
      <c r="O51" s="7"/>
      <c r="P51" s="7"/>
      <c r="Q51" s="7"/>
    </row>
    <row r="52">
      <c r="A52" s="9">
        <v>99.0</v>
      </c>
      <c r="B52" s="10">
        <v>61.9</v>
      </c>
      <c r="C52" s="22">
        <v>1987.0</v>
      </c>
      <c r="D52" s="9">
        <v>58.6</v>
      </c>
      <c r="E52" s="13">
        <v>1.0</v>
      </c>
      <c r="F52" s="28"/>
      <c r="G52" s="55"/>
      <c r="H52" s="38" t="s">
        <v>17</v>
      </c>
      <c r="I52" s="86" t="str">
        <f t="shared" ref="I52:K52" si="9">IFERROR(AVERAGEIFS(A:A,E:E,"2",A:A,"&lt;=76"), "No Data")</f>
        <v>No Data</v>
      </c>
      <c r="J52" s="82" t="str">
        <f t="shared" si="9"/>
        <v>No Data</v>
      </c>
      <c r="K52" s="82" t="str">
        <f t="shared" si="9"/>
        <v>No Data</v>
      </c>
      <c r="L52" s="19">
        <f>COUNTIFS(E:E,"2",A:A,"&gt;=70",A:A,"&lt;=76")</f>
        <v>0</v>
      </c>
      <c r="M52" s="52"/>
      <c r="N52" s="7"/>
      <c r="O52" s="7"/>
      <c r="P52" s="7"/>
      <c r="Q52" s="7"/>
    </row>
    <row r="53">
      <c r="A53" s="20">
        <v>76.0</v>
      </c>
      <c r="B53" s="9">
        <v>56.0</v>
      </c>
      <c r="C53" s="11">
        <v>795.0</v>
      </c>
      <c r="D53" s="9">
        <v>56.7</v>
      </c>
      <c r="E53" s="23">
        <v>5.0</v>
      </c>
      <c r="F53" s="14"/>
      <c r="G53" s="55"/>
      <c r="H53" s="40" t="s">
        <v>19</v>
      </c>
      <c r="I53" s="26">
        <f>AVERAGEIFS(A:A,E:E,"2",A:A,"&lt;=83",A:A,"&gt;=77")</f>
        <v>79.78947368</v>
      </c>
      <c r="J53" s="17">
        <f>AVERAGEIFS(B:B,E:E,"2",A:A,"&lt;=83",A:A,"&gt;=77")</f>
        <v>51.18947368</v>
      </c>
      <c r="K53" s="17">
        <f>AVERAGEIFS(D:D,E:E,"2",A:A,"&lt;=83",A:A,"&gt;=77")</f>
        <v>58.14210526</v>
      </c>
      <c r="L53" s="74">
        <f>COUNTIFS(E:E,"2",A:A,"&gt;=77",A:A,"&lt;=83")</f>
        <v>19</v>
      </c>
      <c r="M53" s="52"/>
      <c r="N53" s="7"/>
      <c r="O53" s="7"/>
      <c r="P53" s="7"/>
      <c r="Q53" s="7"/>
    </row>
    <row r="54">
      <c r="A54" s="9">
        <v>93.0</v>
      </c>
      <c r="B54" s="10">
        <v>65.6</v>
      </c>
      <c r="C54" s="11">
        <v>636.0</v>
      </c>
      <c r="D54" s="27">
        <v>74.4</v>
      </c>
      <c r="E54" s="13">
        <v>1.0</v>
      </c>
      <c r="F54" s="14"/>
      <c r="G54" s="55"/>
      <c r="H54" s="43" t="s">
        <v>21</v>
      </c>
      <c r="I54" s="31">
        <f>AVERAGEIFS(A:A,E:E,"2",A:A,"&lt;=91",A:A,"&gt;=84")</f>
        <v>87.30434783</v>
      </c>
      <c r="J54" s="16">
        <f>AVERAGEIFS(B:B,E:E,"2",A:A,"&lt;=91",A:A,"&gt;=84")</f>
        <v>49.31304348</v>
      </c>
      <c r="K54" s="16">
        <f>AVERAGEIFS(D:D,E:E,"2",A:A,"&lt;=91",A:A,"&gt;=84")</f>
        <v>43.99130435</v>
      </c>
      <c r="L54" s="74">
        <f>COUNTIFS(E:E,"2",A:A,"&gt;=84",A:A,"&lt;=91")</f>
        <v>23</v>
      </c>
      <c r="M54" s="52"/>
      <c r="N54" s="7"/>
      <c r="O54" s="7"/>
      <c r="P54" s="7"/>
      <c r="Q54" s="7"/>
    </row>
    <row r="55">
      <c r="A55" s="20">
        <v>77.0</v>
      </c>
      <c r="B55" s="21">
        <v>49.2</v>
      </c>
      <c r="C55" s="11">
        <v>593.0</v>
      </c>
      <c r="D55" s="27">
        <v>72.5</v>
      </c>
      <c r="E55" s="46">
        <v>2.0</v>
      </c>
      <c r="F55" s="14"/>
      <c r="G55" s="55"/>
      <c r="H55" s="47" t="s">
        <v>22</v>
      </c>
      <c r="I55" s="61">
        <f>AVERAGEIFS(A:A,E:E,"2",A:A,"&lt;=99",A:A,"&gt;=92")</f>
        <v>94.5</v>
      </c>
      <c r="J55" s="42">
        <f>AVERAGEIFS(B:B,E:E,"2",A:A,"&lt;=99",A:A,"&gt;=92")</f>
        <v>61.9</v>
      </c>
      <c r="K55" s="17">
        <f>AVERAGEIFS(D:D,E:E,"2",A:A,"&lt;=99",A:A,"&gt;=92")</f>
        <v>58.125</v>
      </c>
      <c r="L55" s="74">
        <f>COUNTIFS(E:E,"2",A:A,"&gt;=92",A:A,"&lt;=99")</f>
        <v>4</v>
      </c>
      <c r="M55" s="52"/>
      <c r="N55" s="7"/>
      <c r="O55" s="7"/>
      <c r="P55" s="7"/>
      <c r="Q55" s="7"/>
    </row>
    <row r="56">
      <c r="A56" s="21">
        <v>82.0</v>
      </c>
      <c r="B56" s="9">
        <v>58.0</v>
      </c>
      <c r="C56" s="33">
        <v>1065.0</v>
      </c>
      <c r="D56" s="10">
        <v>68.9</v>
      </c>
      <c r="E56" s="75">
        <v>4.0</v>
      </c>
      <c r="F56" s="14"/>
      <c r="G56" s="55"/>
      <c r="H56" s="19"/>
      <c r="I56" s="19"/>
      <c r="J56" s="19"/>
      <c r="K56" s="19"/>
      <c r="L56" s="19"/>
      <c r="M56" s="52"/>
      <c r="N56" s="7"/>
      <c r="O56" s="7"/>
      <c r="P56" s="7"/>
      <c r="Q56" s="7"/>
    </row>
    <row r="57">
      <c r="A57" s="21">
        <v>89.0</v>
      </c>
      <c r="B57" s="9">
        <v>50.7</v>
      </c>
      <c r="C57" s="22">
        <v>1764.0</v>
      </c>
      <c r="D57" s="9">
        <v>52.2</v>
      </c>
      <c r="E57" s="13">
        <v>1.0</v>
      </c>
      <c r="F57" s="14"/>
      <c r="G57" s="55"/>
      <c r="H57" s="80" t="s">
        <v>41</v>
      </c>
      <c r="I57" s="57" t="s">
        <v>0</v>
      </c>
      <c r="J57" s="57" t="s">
        <v>6</v>
      </c>
      <c r="K57" s="57" t="s">
        <v>3</v>
      </c>
      <c r="L57" s="57" t="s">
        <v>8</v>
      </c>
      <c r="M57" s="52"/>
      <c r="N57" s="7"/>
      <c r="O57" s="7"/>
      <c r="P57" s="7"/>
      <c r="Q57" s="7"/>
    </row>
    <row r="58">
      <c r="A58" s="9">
        <v>93.0</v>
      </c>
      <c r="B58" s="21">
        <v>40.0</v>
      </c>
      <c r="C58" s="33">
        <v>1220.0</v>
      </c>
      <c r="D58" s="37">
        <v>24.3</v>
      </c>
      <c r="E58" s="13">
        <v>1.0</v>
      </c>
      <c r="F58" s="28"/>
      <c r="G58" s="55"/>
      <c r="H58" s="38" t="s">
        <v>17</v>
      </c>
      <c r="I58" s="88" t="str">
        <f t="shared" ref="I58:K58" si="10">IFERROR(AVERAGEIFS(A:A,E:E,"3",A:A,"&lt;=76"), "No Data")</f>
        <v>No Data</v>
      </c>
      <c r="J58" s="89" t="str">
        <f t="shared" si="10"/>
        <v>No Data</v>
      </c>
      <c r="K58" s="89" t="str">
        <f t="shared" si="10"/>
        <v>No Data</v>
      </c>
      <c r="L58" s="19">
        <f>COUNTIFS(E:E,"3",A:A,"&gt;=70",A:A,"&lt;=76")</f>
        <v>0</v>
      </c>
      <c r="M58" s="52"/>
      <c r="N58" s="7"/>
      <c r="O58" s="7"/>
      <c r="P58" s="7"/>
      <c r="Q58" s="7"/>
    </row>
    <row r="59">
      <c r="A59" s="21">
        <v>82.0</v>
      </c>
      <c r="B59" s="21">
        <v>48.6</v>
      </c>
      <c r="C59" s="11">
        <v>518.0</v>
      </c>
      <c r="D59" s="10">
        <v>63.5</v>
      </c>
      <c r="E59" s="68">
        <v>3.0</v>
      </c>
      <c r="F59" s="14"/>
      <c r="G59" s="55"/>
      <c r="H59" s="40" t="s">
        <v>19</v>
      </c>
      <c r="I59" s="31">
        <f>AVERAGEIFS(A:A,E:E,"3",A:A,"&lt;=83",A:A,"&gt;=77")</f>
        <v>80.86363636</v>
      </c>
      <c r="J59" s="16">
        <f>AVERAGEIFS(B:B,E:E,"3",A:A,"&lt;=83",A:A,"&gt;=77")</f>
        <v>47.10909091</v>
      </c>
      <c r="K59" s="16">
        <f>AVERAGEIFS(D:D,E:E,"3",A:A,"&lt;=83",A:A,"&gt;=77")</f>
        <v>48.83636364</v>
      </c>
      <c r="L59" s="74">
        <f>COUNTIFS(E:E,"3",A:A,"&gt;=77",A:A,"&lt;=83")</f>
        <v>22</v>
      </c>
      <c r="M59" s="52"/>
      <c r="N59" s="7"/>
      <c r="O59" s="7"/>
      <c r="P59" s="7"/>
      <c r="Q59" s="7"/>
    </row>
    <row r="60">
      <c r="A60" s="21">
        <v>80.0</v>
      </c>
      <c r="B60" s="10">
        <v>62.3</v>
      </c>
      <c r="C60" s="54">
        <v>3655.0</v>
      </c>
      <c r="D60" s="27">
        <v>73.6</v>
      </c>
      <c r="E60" s="46">
        <v>2.0</v>
      </c>
      <c r="F60" s="14"/>
      <c r="G60" s="55"/>
      <c r="H60" s="43" t="s">
        <v>21</v>
      </c>
      <c r="I60" s="31">
        <f>AVERAGEIFS(A:A,E:E,"3",A:A,"&lt;=91",A:A,"&gt;=84")</f>
        <v>86.35714286</v>
      </c>
      <c r="J60" s="17">
        <f>AVERAGEIFS(B:B,E:E,"3",A:A,"&lt;=91",A:A,"&gt;=84")</f>
        <v>51.46428571</v>
      </c>
      <c r="K60" s="16">
        <f>AVERAGEIFS(D:D,E:E,"3",A:A,"&lt;=91",A:A,"&gt;=84")</f>
        <v>49.43571429</v>
      </c>
      <c r="L60" s="74">
        <f>COUNTIFS(E:E,"3",A:A,"&gt;=84",A:A,"&lt;=91")</f>
        <v>14</v>
      </c>
      <c r="M60" s="52"/>
      <c r="N60" s="7"/>
      <c r="O60" s="7"/>
      <c r="P60" s="7"/>
      <c r="Q60" s="7"/>
    </row>
    <row r="61">
      <c r="A61" s="21">
        <v>81.0</v>
      </c>
      <c r="B61" s="20">
        <v>37.5</v>
      </c>
      <c r="C61" s="37">
        <v>2023.0</v>
      </c>
      <c r="D61" s="20">
        <v>34.4</v>
      </c>
      <c r="E61" s="68">
        <v>3.0</v>
      </c>
      <c r="F61" s="14"/>
      <c r="G61" s="55"/>
      <c r="H61" s="47" t="s">
        <v>22</v>
      </c>
      <c r="I61" s="86" t="str">
        <f t="shared" ref="I61:K61" si="11">IFERROR(AVERAGEIFS(A:A,E:E,"3",A:A,"&lt;=99",A:A,"&gt;=92"), "No Data")</f>
        <v>No Data</v>
      </c>
      <c r="J61" s="82" t="str">
        <f t="shared" si="11"/>
        <v>No Data</v>
      </c>
      <c r="K61" s="82" t="str">
        <f t="shared" si="11"/>
        <v>No Data</v>
      </c>
      <c r="L61" s="74">
        <f>COUNTIFS(E:E,"3",A:A,"&gt;=92",A:A,"&lt;=99")</f>
        <v>0</v>
      </c>
      <c r="M61" s="52"/>
      <c r="N61" s="7"/>
      <c r="O61" s="7"/>
      <c r="P61" s="7"/>
      <c r="Q61" s="7"/>
    </row>
    <row r="62">
      <c r="A62" s="9">
        <v>90.0</v>
      </c>
      <c r="B62" s="10">
        <v>61.4</v>
      </c>
      <c r="C62" s="11">
        <v>500.0</v>
      </c>
      <c r="D62" s="10">
        <v>69.6</v>
      </c>
      <c r="E62" s="13">
        <v>1.0</v>
      </c>
      <c r="F62" s="14"/>
      <c r="G62" s="55"/>
      <c r="H62" s="19"/>
      <c r="I62" s="19"/>
      <c r="J62" s="19"/>
      <c r="K62" s="19"/>
      <c r="L62" s="19"/>
      <c r="M62" s="52"/>
      <c r="N62" s="7"/>
      <c r="O62" s="7"/>
      <c r="P62" s="7"/>
      <c r="Q62" s="7"/>
    </row>
    <row r="63">
      <c r="A63" s="21">
        <v>83.0</v>
      </c>
      <c r="B63" s="10">
        <v>61.0</v>
      </c>
      <c r="C63" s="54">
        <v>3606.0</v>
      </c>
      <c r="D63" s="27">
        <v>70.5</v>
      </c>
      <c r="E63" s="46">
        <v>2.0</v>
      </c>
      <c r="F63" s="14"/>
      <c r="G63" s="55"/>
      <c r="H63" s="84" t="s">
        <v>45</v>
      </c>
      <c r="I63" s="57" t="s">
        <v>0</v>
      </c>
      <c r="J63" s="57" t="s">
        <v>6</v>
      </c>
      <c r="K63" s="57" t="s">
        <v>3</v>
      </c>
      <c r="L63" s="57" t="s">
        <v>8</v>
      </c>
      <c r="M63" s="52"/>
      <c r="N63" s="7"/>
      <c r="O63" s="7"/>
      <c r="P63" s="7"/>
      <c r="Q63" s="7"/>
    </row>
    <row r="64">
      <c r="A64" s="21">
        <v>85.0</v>
      </c>
      <c r="B64" s="21">
        <v>40.6</v>
      </c>
      <c r="C64" s="11">
        <v>754.0</v>
      </c>
      <c r="D64" s="21">
        <v>45.8</v>
      </c>
      <c r="E64" s="46">
        <v>2.0</v>
      </c>
      <c r="F64" s="14"/>
      <c r="G64" s="55"/>
      <c r="H64" s="38" t="s">
        <v>17</v>
      </c>
      <c r="I64" s="26">
        <f>AVERAGEIFS(A:A,E:E,"4",A:A,"&lt;=76")</f>
        <v>74.5</v>
      </c>
      <c r="J64" s="16">
        <f>AVERAGEIFS(B:B,E:E,"4",A:A,"&lt;=76",A:A,"&gt;=70")</f>
        <v>48.5</v>
      </c>
      <c r="K64" s="17">
        <f>AVERAGEIFS(D:D,E:E,"4",A:A,"&lt;=76",A:A,"&gt;=70")</f>
        <v>51.3</v>
      </c>
      <c r="L64" s="19">
        <f>COUNTIFS(E:E,"4",A:A,"&gt;=70",A:A,"&lt;=76")</f>
        <v>2</v>
      </c>
      <c r="M64" s="52"/>
      <c r="N64" s="7"/>
      <c r="O64" s="7"/>
      <c r="P64" s="7"/>
      <c r="Q64" s="7"/>
    </row>
    <row r="65">
      <c r="A65" s="9">
        <v>95.0</v>
      </c>
      <c r="B65" s="9">
        <v>55.6</v>
      </c>
      <c r="C65" s="11">
        <v>768.0</v>
      </c>
      <c r="D65" s="27">
        <v>73.4</v>
      </c>
      <c r="E65" s="13">
        <v>1.0</v>
      </c>
      <c r="F65" s="14"/>
      <c r="G65" s="55"/>
      <c r="H65" s="40" t="s">
        <v>19</v>
      </c>
      <c r="I65" s="26">
        <f>AVERAGEIFS(A:A,E:E,"4",A:A,"&lt;=83",A:A,"&gt;=77")</f>
        <v>79.6</v>
      </c>
      <c r="J65" s="16">
        <f>AVERAGEIFS(B:B,E:E,"4",A:A,"&lt;=83",A:A,"&gt;=77")</f>
        <v>48.93333333</v>
      </c>
      <c r="K65" s="17">
        <f>AVERAGEIFS(D:D,E:E,"4",A:A,"&lt;=83",A:A,"&gt;=77")</f>
        <v>51.83333333</v>
      </c>
      <c r="L65" s="74">
        <f>COUNTIFS(E:E,"4",A:A,"&gt;=77",A:A,"&lt;=83")</f>
        <v>15</v>
      </c>
      <c r="M65" s="52"/>
      <c r="N65" s="7"/>
      <c r="O65" s="7"/>
      <c r="P65" s="7"/>
      <c r="Q65" s="7"/>
    </row>
    <row r="66">
      <c r="A66" s="21">
        <v>83.0</v>
      </c>
      <c r="B66" s="20">
        <v>36.8</v>
      </c>
      <c r="C66" s="11">
        <v>632.0</v>
      </c>
      <c r="D66" s="9">
        <v>52.2</v>
      </c>
      <c r="E66" s="23">
        <v>5.0</v>
      </c>
      <c r="F66" s="14"/>
      <c r="G66" s="55"/>
      <c r="H66" s="43" t="s">
        <v>21</v>
      </c>
      <c r="I66" s="31">
        <f>AVERAGEIFS(A:A,E:E,"4",A:A,"&lt;=91",A:A,"&gt;=84")</f>
        <v>85</v>
      </c>
      <c r="J66" s="17">
        <f>AVERAGEIFS(B:B,E:E,"4",A:A,"&lt;=91",A:A,"&gt;=84")</f>
        <v>55.6</v>
      </c>
      <c r="K66" s="17">
        <f>AVERAGEIFS(D:D,E:E,"4",A:A,"&lt;=91",A:A,"&gt;=84")</f>
        <v>52.66666667</v>
      </c>
      <c r="L66" s="74">
        <f>COUNTIFS(E:E,"4",A:A,"&gt;=84",A:A,"&lt;=91")</f>
        <v>3</v>
      </c>
      <c r="M66" s="52"/>
      <c r="N66" s="7"/>
      <c r="O66" s="7"/>
      <c r="P66" s="7"/>
      <c r="Q66" s="7"/>
    </row>
    <row r="67">
      <c r="A67" s="9">
        <v>91.0</v>
      </c>
      <c r="B67" s="9">
        <v>53.0</v>
      </c>
      <c r="C67" s="11">
        <v>810.0</v>
      </c>
      <c r="D67" s="21">
        <v>49.8</v>
      </c>
      <c r="E67" s="46">
        <v>2.0</v>
      </c>
      <c r="F67" s="14"/>
      <c r="G67" s="55"/>
      <c r="H67" s="47" t="s">
        <v>22</v>
      </c>
      <c r="I67" s="86" t="str">
        <f t="shared" ref="I67:K67" si="12">IFERROR(AVERAGEIFS(A:A,E:E,"4",A:A,"&lt;=99",A:A,"&gt;=92"), "No Data")</f>
        <v>No Data</v>
      </c>
      <c r="J67" s="82" t="str">
        <f t="shared" si="12"/>
        <v>No Data</v>
      </c>
      <c r="K67" s="82" t="str">
        <f t="shared" si="12"/>
        <v>No Data</v>
      </c>
      <c r="L67" s="74">
        <f>COUNTIFS(E:E,"4",A:A,"&gt;=92",A:A,"&lt;=99")</f>
        <v>0</v>
      </c>
      <c r="M67" s="52"/>
      <c r="N67" s="7"/>
      <c r="O67" s="7"/>
      <c r="P67" s="7"/>
      <c r="Q67" s="7"/>
    </row>
    <row r="68">
      <c r="A68" s="21">
        <v>82.0</v>
      </c>
      <c r="B68" s="21">
        <v>45.3</v>
      </c>
      <c r="C68" s="22">
        <v>1867.0</v>
      </c>
      <c r="D68" s="21">
        <v>49.0</v>
      </c>
      <c r="E68" s="68">
        <v>3.0</v>
      </c>
      <c r="F68" s="14"/>
      <c r="G68" s="55"/>
      <c r="H68" s="19"/>
      <c r="I68" s="19"/>
      <c r="J68" s="19"/>
      <c r="K68" s="19"/>
      <c r="L68" s="19"/>
      <c r="M68" s="52"/>
      <c r="N68" s="7"/>
      <c r="O68" s="7"/>
      <c r="P68" s="7"/>
      <c r="Q68" s="7"/>
    </row>
    <row r="69">
      <c r="A69" s="21">
        <v>80.0</v>
      </c>
      <c r="B69" s="9">
        <v>52.9</v>
      </c>
      <c r="C69" s="11">
        <v>500.0</v>
      </c>
      <c r="D69" s="10">
        <v>69.2</v>
      </c>
      <c r="E69" s="13">
        <v>1.0</v>
      </c>
      <c r="F69" s="14"/>
      <c r="G69" s="55"/>
      <c r="H69" s="87" t="s">
        <v>46</v>
      </c>
      <c r="I69" s="57" t="s">
        <v>0</v>
      </c>
      <c r="J69" s="57" t="s">
        <v>6</v>
      </c>
      <c r="K69" s="57" t="s">
        <v>3</v>
      </c>
      <c r="L69" s="57" t="s">
        <v>8</v>
      </c>
      <c r="M69" s="52"/>
      <c r="N69" s="7"/>
      <c r="O69" s="7"/>
      <c r="P69" s="7"/>
      <c r="Q69" s="7"/>
    </row>
    <row r="70">
      <c r="A70" s="9">
        <v>99.0</v>
      </c>
      <c r="B70" s="10">
        <v>60.1</v>
      </c>
      <c r="C70" s="37">
        <v>2427.0</v>
      </c>
      <c r="D70" s="21">
        <v>48.5</v>
      </c>
      <c r="E70" s="13">
        <v>1.0</v>
      </c>
      <c r="F70" s="14"/>
      <c r="G70" s="55"/>
      <c r="H70" s="38" t="s">
        <v>17</v>
      </c>
      <c r="I70" s="26">
        <f>AVERAGEIFS(A:A,E:E,"5",A:A,"&lt;=76")</f>
        <v>74.42857143</v>
      </c>
      <c r="J70" s="16">
        <f>AVERAGEIFS(B:B,E:E,"5",A:A,"&lt;=76",A:A,"&gt;=70")</f>
        <v>46.46428571</v>
      </c>
      <c r="K70" s="16">
        <f>AVERAGEIFS(D:D,E:E,"5",A:A,"&lt;=76",A:A,"&gt;=70")</f>
        <v>49.18571429</v>
      </c>
      <c r="L70" s="19">
        <f>COUNTIFS(E:E,"5",A:A,"&gt;=70",A:A,"&lt;=76")</f>
        <v>14</v>
      </c>
      <c r="M70" s="52"/>
      <c r="N70" s="7"/>
      <c r="O70" s="7"/>
      <c r="P70" s="7"/>
      <c r="Q70" s="7"/>
    </row>
    <row r="71">
      <c r="A71" s="21">
        <v>88.0</v>
      </c>
      <c r="B71" s="21">
        <v>47.7</v>
      </c>
      <c r="C71" s="11">
        <v>943.0</v>
      </c>
      <c r="D71" s="37">
        <v>28.3</v>
      </c>
      <c r="E71" s="68">
        <v>3.0</v>
      </c>
      <c r="F71" s="14"/>
      <c r="G71" s="55"/>
      <c r="H71" s="40" t="s">
        <v>19</v>
      </c>
      <c r="I71" s="31">
        <f>AVERAGEIFS(A:A,E:E,"5",A:A,"&lt;=83",A:A,"&gt;=77")</f>
        <v>80.5</v>
      </c>
      <c r="J71" s="16">
        <f>AVERAGEIFS(B:B,E:E,"5",A:A,"&lt;=83",A:A,"&gt;=77")</f>
        <v>44.075</v>
      </c>
      <c r="K71" s="35">
        <f>AVERAGEIFS(D:D,E:E,"5",A:A,"&lt;=83",A:A,"&gt;=77")</f>
        <v>39.1875</v>
      </c>
      <c r="L71" s="74">
        <f>COUNTIFS(E:E,"5",A:A,"&gt;=77",A:A,"&lt;=83")</f>
        <v>8</v>
      </c>
      <c r="M71" s="52"/>
      <c r="N71" s="7"/>
      <c r="O71" s="7"/>
      <c r="P71" s="7"/>
      <c r="Q71" s="7"/>
    </row>
    <row r="72">
      <c r="A72" s="9">
        <v>99.0</v>
      </c>
      <c r="B72" s="9">
        <v>57.2</v>
      </c>
      <c r="C72" s="33">
        <v>1010.0</v>
      </c>
      <c r="D72" s="10">
        <v>65.4</v>
      </c>
      <c r="E72" s="13">
        <v>1.0</v>
      </c>
      <c r="F72" s="14"/>
      <c r="G72" s="55"/>
      <c r="H72" s="43" t="s">
        <v>21</v>
      </c>
      <c r="I72" s="86" t="str">
        <f>IFERROR(AVERAGEIFS(A:A,E:E,"5",A:A,"&lt;=91",A:A,"&gt;=84"), "No Data")</f>
        <v>No Data</v>
      </c>
      <c r="J72" s="82" t="str">
        <f>IFERROR(AVERAGEIFS(B:B,E:E,"5",A:A,"&lt;=91",A:A,"&gt;=84"), "No Data")</f>
        <v>No Data</v>
      </c>
      <c r="K72" s="82" t="str">
        <f t="shared" ref="K72:K73" si="13">IFERROR(AVERAGEIFS(D:D,E:E,"5",A:A,"&lt;=91",A:A,"&gt;=84"), "No Data")</f>
        <v>No Data</v>
      </c>
      <c r="L72" s="74">
        <f>COUNTIFS(E:E,"5",A:A,"&gt;=84",A:A,"&lt;=91")</f>
        <v>0</v>
      </c>
      <c r="M72" s="52"/>
      <c r="N72" s="7"/>
      <c r="O72" s="7"/>
      <c r="P72" s="7"/>
      <c r="Q72" s="7"/>
    </row>
    <row r="73">
      <c r="A73" s="21">
        <v>87.0</v>
      </c>
      <c r="B73" s="27">
        <v>70.8</v>
      </c>
      <c r="C73" s="54">
        <v>3685.0</v>
      </c>
      <c r="D73" s="12">
        <v>84.4</v>
      </c>
      <c r="E73" s="13">
        <v>1.0</v>
      </c>
      <c r="F73" s="14"/>
      <c r="G73" s="55"/>
      <c r="H73" s="47" t="s">
        <v>22</v>
      </c>
      <c r="I73" s="86" t="str">
        <f>IFERROR(AVERAGEIFS(A:A,E:E,"5",A:A,"&lt;=99",A:A,"&gt;=92"), "No Data")</f>
        <v>No Data</v>
      </c>
      <c r="J73" s="82" t="str">
        <f>IFERROR(AVERAGEIFS(B:B,E:E,"5",A:A,"&lt;=99",A:A,"&gt;=92"), "No Data")</f>
        <v>No Data</v>
      </c>
      <c r="K73" s="82" t="str">
        <f t="shared" si="13"/>
        <v>No Data</v>
      </c>
      <c r="L73" s="74">
        <f>COUNTIFS(E:E,"5",A:A,"&gt;=92",A:A,"&lt;=99")</f>
        <v>0</v>
      </c>
      <c r="M73" s="52"/>
      <c r="N73" s="7"/>
      <c r="O73" s="7"/>
      <c r="P73" s="7"/>
      <c r="Q73" s="7"/>
    </row>
    <row r="74">
      <c r="A74" s="21">
        <v>88.0</v>
      </c>
      <c r="B74" s="10">
        <v>62.6</v>
      </c>
      <c r="C74" s="11">
        <v>500.0</v>
      </c>
      <c r="D74" s="10">
        <v>67.3</v>
      </c>
      <c r="E74" s="68">
        <v>3.0</v>
      </c>
      <c r="F74" s="1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A75" s="21">
        <v>84.0</v>
      </c>
      <c r="B75" s="9">
        <v>56.8</v>
      </c>
      <c r="C75" s="49">
        <v>2969.0</v>
      </c>
      <c r="D75" s="10">
        <v>60.9</v>
      </c>
      <c r="E75" s="46">
        <v>2.0</v>
      </c>
      <c r="F75" s="1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A76" s="21">
        <v>85.0</v>
      </c>
      <c r="B76" s="10">
        <v>64.4</v>
      </c>
      <c r="C76" s="11">
        <v>500.0</v>
      </c>
      <c r="D76" s="10">
        <v>62.2</v>
      </c>
      <c r="E76" s="75">
        <v>4.0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A77" s="9">
        <v>99.0</v>
      </c>
      <c r="B77" s="10">
        <v>60.5</v>
      </c>
      <c r="C77" s="37">
        <v>2150.0</v>
      </c>
      <c r="D77" s="10">
        <v>65.0</v>
      </c>
      <c r="E77" s="13">
        <v>1.0</v>
      </c>
      <c r="F77" s="2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A78" s="21">
        <v>85.0</v>
      </c>
      <c r="B78" s="10">
        <v>64.9</v>
      </c>
      <c r="C78" s="11">
        <v>717.0</v>
      </c>
      <c r="D78" s="9">
        <v>57.2</v>
      </c>
      <c r="E78" s="13">
        <v>1.0</v>
      </c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20">
        <v>73.0</v>
      </c>
      <c r="B79" s="90">
        <v>13.0</v>
      </c>
      <c r="C79" s="11">
        <v>500.0</v>
      </c>
      <c r="D79" s="21">
        <v>48.8</v>
      </c>
      <c r="E79" s="23">
        <v>5.0</v>
      </c>
      <c r="F79" s="2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21">
        <v>83.0</v>
      </c>
      <c r="B80" s="20">
        <v>33.9</v>
      </c>
      <c r="C80" s="11">
        <v>500.0</v>
      </c>
      <c r="D80" s="37">
        <v>22.0</v>
      </c>
      <c r="E80" s="68">
        <v>3.0</v>
      </c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A81" s="20">
        <v>72.0</v>
      </c>
      <c r="B81" s="20">
        <v>32.2</v>
      </c>
      <c r="C81" s="33">
        <v>1208.0</v>
      </c>
      <c r="D81" s="20">
        <v>35.3</v>
      </c>
      <c r="E81" s="23">
        <v>5.0</v>
      </c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9">
        <v>91.0</v>
      </c>
      <c r="B82" s="9">
        <v>59.5</v>
      </c>
      <c r="C82" s="91">
        <v>4068.0</v>
      </c>
      <c r="D82" s="10">
        <v>69.4</v>
      </c>
      <c r="E82" s="68">
        <v>3.0</v>
      </c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21">
        <v>86.0</v>
      </c>
      <c r="B83" s="21">
        <v>45.0</v>
      </c>
      <c r="C83" s="11">
        <v>500.0</v>
      </c>
      <c r="D83" s="20">
        <v>32.3</v>
      </c>
      <c r="E83" s="68">
        <v>3.0</v>
      </c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21">
        <v>87.0</v>
      </c>
      <c r="B84" s="9">
        <v>56.4</v>
      </c>
      <c r="C84" s="33">
        <v>1490.0</v>
      </c>
      <c r="D84" s="21">
        <v>42.3</v>
      </c>
      <c r="E84" s="46">
        <v>2.0</v>
      </c>
      <c r="F84" s="1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9">
        <v>99.0</v>
      </c>
      <c r="B85" s="21">
        <v>48.9</v>
      </c>
      <c r="C85" s="37">
        <v>2245.0</v>
      </c>
      <c r="D85" s="20">
        <v>38.0</v>
      </c>
      <c r="E85" s="13">
        <v>1.0</v>
      </c>
      <c r="F85" s="1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A86" s="9">
        <v>90.0</v>
      </c>
      <c r="B86" s="9">
        <v>50.9</v>
      </c>
      <c r="C86" s="11">
        <v>981.0</v>
      </c>
      <c r="D86" s="20">
        <v>36.0</v>
      </c>
      <c r="E86" s="46">
        <v>2.0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A87" s="9">
        <v>93.0</v>
      </c>
      <c r="B87" s="21">
        <v>46.6</v>
      </c>
      <c r="C87" s="33">
        <v>1479.0</v>
      </c>
      <c r="D87" s="21">
        <v>45.5</v>
      </c>
      <c r="E87" s="13">
        <v>1.0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A88" s="21">
        <v>83.0</v>
      </c>
      <c r="B88" s="21">
        <v>47.6</v>
      </c>
      <c r="C88" s="37">
        <v>2306.0</v>
      </c>
      <c r="D88" s="21">
        <v>48.8</v>
      </c>
      <c r="E88" s="68">
        <v>3.0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A89" s="21">
        <v>88.0</v>
      </c>
      <c r="B89" s="9">
        <v>56.4</v>
      </c>
      <c r="C89" s="11">
        <v>618.0</v>
      </c>
      <c r="D89" s="10">
        <v>60.4</v>
      </c>
      <c r="E89" s="13">
        <v>1.0</v>
      </c>
      <c r="F89" s="2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A90" s="9">
        <v>90.0</v>
      </c>
      <c r="B90" s="10">
        <v>61.6</v>
      </c>
      <c r="C90" s="22">
        <v>1925.0</v>
      </c>
      <c r="D90" s="9">
        <v>56.9</v>
      </c>
      <c r="E90" s="13">
        <v>1.0</v>
      </c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21">
        <v>84.0</v>
      </c>
      <c r="B91" s="21">
        <v>45.1</v>
      </c>
      <c r="C91" s="37">
        <v>2462.0</v>
      </c>
      <c r="D91" s="20">
        <v>39.4</v>
      </c>
      <c r="E91" s="13">
        <v>1.0</v>
      </c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21">
        <v>87.0</v>
      </c>
      <c r="B92" s="9">
        <v>57.2</v>
      </c>
      <c r="C92" s="11">
        <v>803.0</v>
      </c>
      <c r="D92" s="9">
        <v>50.8</v>
      </c>
      <c r="E92" s="46">
        <v>2.0</v>
      </c>
      <c r="F92" s="2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A93" s="20">
        <v>77.0</v>
      </c>
      <c r="B93" s="9">
        <v>51.5</v>
      </c>
      <c r="C93" s="11">
        <v>611.0</v>
      </c>
      <c r="D93" s="20">
        <v>31.8</v>
      </c>
      <c r="E93" s="23">
        <v>5.0</v>
      </c>
      <c r="F93" s="1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A94" s="21">
        <v>82.0</v>
      </c>
      <c r="B94" s="9">
        <v>50.3</v>
      </c>
      <c r="C94" s="11">
        <v>555.0</v>
      </c>
      <c r="D94" s="21">
        <v>46.5</v>
      </c>
      <c r="E94" s="68">
        <v>3.0</v>
      </c>
      <c r="F94" s="1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A95" s="21">
        <v>84.0</v>
      </c>
      <c r="B95" s="21">
        <v>46.7</v>
      </c>
      <c r="C95" s="11">
        <v>517.0</v>
      </c>
      <c r="D95" s="20">
        <v>32.9</v>
      </c>
      <c r="E95" s="68">
        <v>3.0</v>
      </c>
      <c r="F95" s="1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A96" s="21">
        <v>85.0</v>
      </c>
      <c r="B96" s="21">
        <v>40.5</v>
      </c>
      <c r="C96" s="11">
        <v>824.0</v>
      </c>
      <c r="D96" s="21">
        <v>41.3</v>
      </c>
      <c r="E96" s="75">
        <v>4.0</v>
      </c>
      <c r="F96" s="2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A97" s="9">
        <v>95.0</v>
      </c>
      <c r="B97" s="10">
        <v>61.4</v>
      </c>
      <c r="C97" s="11">
        <v>561.0</v>
      </c>
      <c r="D97" s="21">
        <v>42.2</v>
      </c>
      <c r="E97" s="13">
        <v>1.0</v>
      </c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A98" s="21">
        <v>82.0</v>
      </c>
      <c r="B98" s="20">
        <v>36.2</v>
      </c>
      <c r="C98" s="33">
        <v>1073.0</v>
      </c>
      <c r="D98" s="21">
        <v>45.9</v>
      </c>
      <c r="E98" s="68">
        <v>3.0</v>
      </c>
      <c r="F98" s="1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A99" s="21">
        <v>83.0</v>
      </c>
      <c r="B99" s="21">
        <v>47.2</v>
      </c>
      <c r="C99" s="49">
        <v>2905.0</v>
      </c>
      <c r="D99" s="20">
        <v>39.1</v>
      </c>
      <c r="E99" s="46">
        <v>2.0</v>
      </c>
      <c r="F99" s="1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A100" s="20">
        <v>75.0</v>
      </c>
      <c r="B100" s="37">
        <v>27.9</v>
      </c>
      <c r="C100" s="11">
        <v>561.0</v>
      </c>
      <c r="D100" s="20">
        <v>38.4</v>
      </c>
      <c r="E100" s="23">
        <v>5.0</v>
      </c>
      <c r="F100" s="2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20">
        <v>79.0</v>
      </c>
      <c r="B101" s="9">
        <v>55.1</v>
      </c>
      <c r="C101" s="11">
        <v>553.0</v>
      </c>
      <c r="D101" s="21">
        <v>48.3</v>
      </c>
      <c r="E101" s="13">
        <v>1.0</v>
      </c>
      <c r="F101" s="2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20">
        <v>78.0</v>
      </c>
      <c r="B102" s="9">
        <v>57.2</v>
      </c>
      <c r="C102" s="11">
        <v>580.0</v>
      </c>
      <c r="D102" s="27">
        <v>77.6</v>
      </c>
      <c r="E102" s="75">
        <v>4.0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9">
        <v>91.0</v>
      </c>
      <c r="B103" s="9">
        <v>52.9</v>
      </c>
      <c r="C103" s="22">
        <v>1987.0</v>
      </c>
      <c r="D103" s="9">
        <v>54.6</v>
      </c>
      <c r="E103" s="46">
        <v>2.0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9">
        <v>90.0</v>
      </c>
      <c r="B104" s="10">
        <v>62.9</v>
      </c>
      <c r="C104" s="11">
        <v>823.0</v>
      </c>
      <c r="D104" s="27">
        <v>74.1</v>
      </c>
      <c r="E104" s="13">
        <v>1.0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>
      <c r="A105" s="21">
        <v>87.0</v>
      </c>
      <c r="B105" s="10">
        <v>62.6</v>
      </c>
      <c r="C105" s="11">
        <v>949.0</v>
      </c>
      <c r="D105" s="27">
        <v>75.9</v>
      </c>
      <c r="E105" s="13">
        <v>1.0</v>
      </c>
      <c r="F105" s="1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>
      <c r="A106" s="21">
        <v>80.0</v>
      </c>
      <c r="B106" s="21">
        <v>42.4</v>
      </c>
      <c r="C106" s="11">
        <v>634.0</v>
      </c>
      <c r="D106" s="9">
        <v>50.8</v>
      </c>
      <c r="E106" s="46">
        <v>2.0</v>
      </c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>
      <c r="A107" s="21">
        <v>88.0</v>
      </c>
      <c r="B107" s="9">
        <v>55.0</v>
      </c>
      <c r="C107" s="11">
        <v>974.0</v>
      </c>
      <c r="D107" s="9">
        <v>58.6</v>
      </c>
      <c r="E107" s="13">
        <v>1.0</v>
      </c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>
      <c r="A108" s="21">
        <v>87.0</v>
      </c>
      <c r="B108" s="21">
        <v>48.4</v>
      </c>
      <c r="C108" s="33">
        <v>1118.0</v>
      </c>
      <c r="D108" s="9">
        <v>55.9</v>
      </c>
      <c r="E108" s="13">
        <v>1.0</v>
      </c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A109" s="20">
        <v>79.0</v>
      </c>
      <c r="B109" s="20">
        <v>38.4</v>
      </c>
      <c r="C109" s="11">
        <v>585.0</v>
      </c>
      <c r="D109" s="20">
        <v>39.7</v>
      </c>
      <c r="E109" s="68">
        <v>3.0</v>
      </c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A110" s="21">
        <v>84.0</v>
      </c>
      <c r="B110" s="20">
        <v>38.0</v>
      </c>
      <c r="C110" s="11">
        <v>921.0</v>
      </c>
      <c r="D110" s="20">
        <v>30.2</v>
      </c>
      <c r="E110" s="46">
        <v>2.0</v>
      </c>
      <c r="F110" s="1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21">
        <v>80.0</v>
      </c>
      <c r="B111" s="21">
        <v>41.9</v>
      </c>
      <c r="C111" s="37">
        <v>2408.0</v>
      </c>
      <c r="D111" s="20">
        <v>39.0</v>
      </c>
      <c r="E111" s="23">
        <v>5.0</v>
      </c>
      <c r="F111" s="1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21">
        <v>87.0</v>
      </c>
      <c r="B112" s="9">
        <v>52.6</v>
      </c>
      <c r="C112" s="11">
        <v>596.0</v>
      </c>
      <c r="D112" s="20">
        <v>32.7</v>
      </c>
      <c r="E112" s="46">
        <v>2.0</v>
      </c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21">
        <v>82.0</v>
      </c>
      <c r="B113" s="21">
        <v>46.7</v>
      </c>
      <c r="C113" s="11">
        <v>562.0</v>
      </c>
      <c r="D113" s="37">
        <v>27.5</v>
      </c>
      <c r="E113" s="46">
        <v>2.0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20">
        <v>76.0</v>
      </c>
      <c r="B114" s="10">
        <v>61.2</v>
      </c>
      <c r="C114" s="33">
        <v>1491.0</v>
      </c>
      <c r="D114" s="10">
        <v>68.1</v>
      </c>
      <c r="E114" s="23">
        <v>5.0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21">
        <v>83.0</v>
      </c>
      <c r="B115" s="9">
        <v>52.1</v>
      </c>
      <c r="C115" s="11">
        <v>555.0</v>
      </c>
      <c r="D115" s="21">
        <v>41.3</v>
      </c>
      <c r="E115" s="68">
        <v>3.0</v>
      </c>
      <c r="F115" s="2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A116" s="21">
        <v>82.0</v>
      </c>
      <c r="B116" s="21">
        <v>48.8</v>
      </c>
      <c r="C116" s="11">
        <v>793.0</v>
      </c>
      <c r="D116" s="20">
        <v>38.7</v>
      </c>
      <c r="E116" s="68">
        <v>3.0</v>
      </c>
      <c r="F116" s="2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A117" s="21">
        <v>85.0</v>
      </c>
      <c r="B117" s="9">
        <v>50.7</v>
      </c>
      <c r="C117" s="33">
        <v>1025.0</v>
      </c>
      <c r="D117" s="9">
        <v>53.9</v>
      </c>
      <c r="E117" s="68">
        <v>3.0</v>
      </c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A118" s="21">
        <v>89.0</v>
      </c>
      <c r="B118" s="21">
        <v>40.2</v>
      </c>
      <c r="C118" s="11">
        <v>541.0</v>
      </c>
      <c r="D118" s="37">
        <v>29.6</v>
      </c>
      <c r="E118" s="13">
        <v>1.0</v>
      </c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A119" s="21">
        <v>87.0</v>
      </c>
      <c r="B119" s="21">
        <v>45.5</v>
      </c>
      <c r="C119" s="22">
        <v>1959.0</v>
      </c>
      <c r="D119" s="21">
        <v>41.1</v>
      </c>
      <c r="E119" s="46">
        <v>2.0</v>
      </c>
      <c r="F119" s="2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A120" s="21">
        <v>80.0</v>
      </c>
      <c r="B120" s="20">
        <v>32.6</v>
      </c>
      <c r="C120" s="11">
        <v>587.0</v>
      </c>
      <c r="D120" s="21">
        <v>48.7</v>
      </c>
      <c r="E120" s="68">
        <v>3.0</v>
      </c>
      <c r="F120" s="2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A121" s="21">
        <v>86.0</v>
      </c>
      <c r="B121" s="9">
        <v>53.5</v>
      </c>
      <c r="C121" s="11">
        <v>950.0</v>
      </c>
      <c r="D121" s="21">
        <v>47.7</v>
      </c>
      <c r="E121" s="68">
        <v>3.0</v>
      </c>
      <c r="F121" s="1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A122" s="20">
        <v>73.0</v>
      </c>
      <c r="B122" s="9">
        <v>54.0</v>
      </c>
      <c r="C122" s="11">
        <v>550.0</v>
      </c>
      <c r="D122" s="9">
        <v>57.7</v>
      </c>
      <c r="E122" s="23">
        <v>5.0</v>
      </c>
      <c r="F122" s="2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21">
        <v>88.0</v>
      </c>
      <c r="B123" s="10">
        <v>62.5</v>
      </c>
      <c r="C123" s="11">
        <v>626.0</v>
      </c>
      <c r="D123" s="21">
        <v>41.4</v>
      </c>
      <c r="E123" s="46">
        <v>2.0</v>
      </c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21">
        <v>80.0</v>
      </c>
      <c r="B124" s="9">
        <v>56.4</v>
      </c>
      <c r="C124" s="11">
        <v>839.0</v>
      </c>
      <c r="D124" s="9">
        <v>53.2</v>
      </c>
      <c r="E124" s="13">
        <v>1.0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A125" s="9">
        <v>93.0</v>
      </c>
      <c r="B125" s="9">
        <v>51.6</v>
      </c>
      <c r="C125" s="11">
        <v>839.0</v>
      </c>
      <c r="D125" s="10">
        <v>60.0</v>
      </c>
      <c r="E125" s="13">
        <v>1.0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A126" s="21">
        <v>80.0</v>
      </c>
      <c r="B126" s="21">
        <v>42.8</v>
      </c>
      <c r="C126" s="33">
        <v>1343.0</v>
      </c>
      <c r="D126" s="21">
        <v>42.8</v>
      </c>
      <c r="E126" s="75">
        <v>4.0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>
      <c r="A127" s="9">
        <v>99.0</v>
      </c>
      <c r="B127" s="20">
        <v>35.1</v>
      </c>
      <c r="C127" s="11">
        <v>577.0</v>
      </c>
      <c r="D127" s="20">
        <v>30.0</v>
      </c>
      <c r="E127" s="13">
        <v>1.0</v>
      </c>
      <c r="F127" s="2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>
      <c r="A128" s="21">
        <v>89.0</v>
      </c>
      <c r="B128" s="21">
        <v>41.9</v>
      </c>
      <c r="C128" s="11">
        <v>500.0</v>
      </c>
      <c r="D128" s="21">
        <v>40.6</v>
      </c>
      <c r="E128" s="46">
        <v>2.0</v>
      </c>
      <c r="F128" s="1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>
      <c r="A129" s="21">
        <v>82.0</v>
      </c>
      <c r="B129" s="10">
        <v>63.2</v>
      </c>
      <c r="C129" s="22">
        <v>1515.0</v>
      </c>
      <c r="D129" s="10">
        <v>66.7</v>
      </c>
      <c r="E129" s="68">
        <v>3.0</v>
      </c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>
      <c r="A130" s="21">
        <v>80.0</v>
      </c>
      <c r="B130" s="9">
        <v>56.3</v>
      </c>
      <c r="C130" s="33">
        <v>1492.0</v>
      </c>
      <c r="D130" s="9">
        <v>53.4</v>
      </c>
      <c r="E130" s="75">
        <v>4.0</v>
      </c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>
      <c r="A131" s="21">
        <v>83.0</v>
      </c>
      <c r="B131" s="20">
        <v>34.3</v>
      </c>
      <c r="C131" s="11">
        <v>786.0</v>
      </c>
      <c r="D131" s="20">
        <v>30.0</v>
      </c>
      <c r="E131" s="23">
        <v>5.0</v>
      </c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>
      <c r="A132" s="21">
        <v>83.0</v>
      </c>
      <c r="B132" s="9">
        <v>57.1</v>
      </c>
      <c r="C132" s="22">
        <v>1568.0</v>
      </c>
      <c r="D132" s="9">
        <v>57.7</v>
      </c>
      <c r="E132" s="68">
        <v>3.0</v>
      </c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>
      <c r="A133" s="9">
        <v>93.0</v>
      </c>
      <c r="B133" s="37">
        <v>28.4</v>
      </c>
      <c r="C133" s="22">
        <v>1512.0</v>
      </c>
      <c r="D133" s="37">
        <v>23.6</v>
      </c>
      <c r="E133" s="13">
        <v>1.0</v>
      </c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>
      <c r="A134" s="20">
        <v>75.0</v>
      </c>
      <c r="B134" s="9">
        <v>59.6</v>
      </c>
      <c r="C134" s="11">
        <v>791.0</v>
      </c>
      <c r="D134" s="21">
        <v>46.8</v>
      </c>
      <c r="E134" s="23">
        <v>5.0</v>
      </c>
      <c r="F134" s="2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>
      <c r="A135" s="9">
        <v>95.0</v>
      </c>
      <c r="B135" s="10">
        <v>60.9</v>
      </c>
      <c r="C135" s="33">
        <v>1158.0</v>
      </c>
      <c r="D135" s="21">
        <v>45.4</v>
      </c>
      <c r="E135" s="13">
        <v>1.0</v>
      </c>
      <c r="F135" s="1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>
      <c r="A136" s="21">
        <v>85.0</v>
      </c>
      <c r="B136" s="21">
        <v>49.7</v>
      </c>
      <c r="C136" s="11">
        <v>900.0</v>
      </c>
      <c r="D136" s="10">
        <v>68.2</v>
      </c>
      <c r="E136" s="46">
        <v>2.0</v>
      </c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>
      <c r="A137" s="21">
        <v>88.0</v>
      </c>
      <c r="B137" s="9">
        <v>50.6</v>
      </c>
      <c r="C137" s="11">
        <v>591.0</v>
      </c>
      <c r="D137" s="27">
        <v>73.9</v>
      </c>
      <c r="E137" s="13">
        <v>1.0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>
      <c r="A138" s="21">
        <v>87.0</v>
      </c>
      <c r="B138" s="21">
        <v>49.8</v>
      </c>
      <c r="C138" s="11">
        <v>621.0</v>
      </c>
      <c r="D138" s="10">
        <v>62.5</v>
      </c>
      <c r="E138" s="68">
        <v>3.0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A139" s="21">
        <v>81.0</v>
      </c>
      <c r="B139" s="21">
        <v>45.4</v>
      </c>
      <c r="C139" s="33">
        <v>1062.0</v>
      </c>
      <c r="D139" s="21">
        <v>47.0</v>
      </c>
      <c r="E139" s="46">
        <v>2.0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>
      <c r="A140" s="20">
        <v>77.0</v>
      </c>
      <c r="B140" s="20">
        <v>35.8</v>
      </c>
      <c r="C140" s="11">
        <v>523.0</v>
      </c>
      <c r="D140" s="20">
        <v>31.2</v>
      </c>
      <c r="E140" s="68">
        <v>3.0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>
      <c r="A141" s="21">
        <v>82.0</v>
      </c>
      <c r="B141" s="21">
        <v>40.2</v>
      </c>
      <c r="C141" s="33">
        <v>1137.0</v>
      </c>
      <c r="D141" s="37">
        <v>28.9</v>
      </c>
      <c r="E141" s="68">
        <v>3.0</v>
      </c>
      <c r="F141" s="2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>
      <c r="A142" s="20">
        <v>75.0</v>
      </c>
      <c r="B142" s="21">
        <v>47.3</v>
      </c>
      <c r="C142" s="37">
        <v>2271.0</v>
      </c>
      <c r="D142" s="21">
        <v>46.8</v>
      </c>
      <c r="E142" s="23">
        <v>5.0</v>
      </c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>
      <c r="A143" s="9">
        <v>99.0</v>
      </c>
      <c r="B143" s="21">
        <v>49.3</v>
      </c>
      <c r="C143" s="11">
        <v>614.0</v>
      </c>
      <c r="D143" s="21">
        <v>43.0</v>
      </c>
      <c r="E143" s="13">
        <v>1.0</v>
      </c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>
      <c r="A144" s="21">
        <v>88.0</v>
      </c>
      <c r="B144" s="9">
        <v>54.2</v>
      </c>
      <c r="C144" s="11">
        <v>700.0</v>
      </c>
      <c r="D144" s="10">
        <v>65.0</v>
      </c>
      <c r="E144" s="46">
        <v>2.0</v>
      </c>
      <c r="F144" s="2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>
      <c r="A145" s="21">
        <v>83.0</v>
      </c>
      <c r="B145" s="9">
        <v>52.9</v>
      </c>
      <c r="C145" s="11">
        <v>535.0</v>
      </c>
      <c r="D145" s="10">
        <v>69.2</v>
      </c>
      <c r="E145" s="46">
        <v>2.0</v>
      </c>
      <c r="F145" s="28"/>
      <c r="G145" s="4"/>
      <c r="M145" s="4"/>
      <c r="N145" s="4"/>
      <c r="O145" s="4"/>
      <c r="P145" s="4"/>
      <c r="Q145" s="4"/>
    </row>
    <row r="146">
      <c r="A146" s="20">
        <v>77.0</v>
      </c>
      <c r="B146" s="21">
        <v>41.0</v>
      </c>
      <c r="C146" s="11">
        <v>532.0</v>
      </c>
      <c r="D146" s="20">
        <v>38.9</v>
      </c>
      <c r="E146" s="75">
        <v>4.0</v>
      </c>
      <c r="F146" s="14"/>
      <c r="G146" s="4"/>
      <c r="M146" s="4"/>
      <c r="N146" s="4"/>
      <c r="O146" s="4"/>
      <c r="P146" s="4"/>
      <c r="Q146" s="4"/>
    </row>
    <row r="147">
      <c r="A147" s="9">
        <v>91.0</v>
      </c>
      <c r="B147" s="10">
        <v>62.4</v>
      </c>
      <c r="C147" s="65">
        <v>3053.0</v>
      </c>
      <c r="D147" s="10">
        <v>62.3</v>
      </c>
      <c r="E147" s="13">
        <v>1.0</v>
      </c>
      <c r="F147" s="14"/>
      <c r="G147" s="4"/>
      <c r="M147" s="4"/>
      <c r="N147" s="4"/>
      <c r="O147" s="4"/>
      <c r="P147" s="4"/>
      <c r="Q147" s="4"/>
    </row>
    <row r="148">
      <c r="A148" s="21">
        <v>84.0</v>
      </c>
      <c r="B148" s="10">
        <v>61.5</v>
      </c>
      <c r="C148" s="37">
        <v>2146.0</v>
      </c>
      <c r="D148" s="27">
        <v>71.7</v>
      </c>
      <c r="E148" s="68">
        <v>3.0</v>
      </c>
      <c r="F148" s="14"/>
      <c r="G148" s="4"/>
      <c r="M148" s="4"/>
      <c r="N148" s="4"/>
      <c r="O148" s="4"/>
      <c r="P148" s="4"/>
      <c r="Q148" s="4"/>
    </row>
    <row r="149">
      <c r="A149" s="20">
        <v>79.0</v>
      </c>
      <c r="B149" s="9">
        <v>58.8</v>
      </c>
      <c r="C149" s="11">
        <v>981.0</v>
      </c>
      <c r="D149" s="27">
        <v>79.3</v>
      </c>
      <c r="E149" s="46">
        <v>2.0</v>
      </c>
      <c r="F149" s="28"/>
      <c r="G149" s="4"/>
      <c r="M149" s="4"/>
      <c r="N149" s="4"/>
      <c r="O149" s="4"/>
      <c r="P149" s="4"/>
      <c r="Q149" s="4"/>
    </row>
    <row r="150">
      <c r="A150" s="9">
        <v>91.0</v>
      </c>
      <c r="B150" s="21">
        <v>45.4</v>
      </c>
      <c r="C150" s="11">
        <v>955.0</v>
      </c>
      <c r="D150" s="20">
        <v>30.8</v>
      </c>
      <c r="E150" s="13">
        <v>1.0</v>
      </c>
      <c r="F150" s="14"/>
      <c r="G150" s="4"/>
      <c r="M150" s="4"/>
      <c r="N150" s="4"/>
      <c r="O150" s="4"/>
      <c r="P150" s="4"/>
      <c r="Q150" s="4"/>
    </row>
    <row r="151">
      <c r="A151" s="21">
        <v>81.0</v>
      </c>
      <c r="B151" s="9">
        <v>53.5</v>
      </c>
      <c r="C151" s="33">
        <v>1494.0</v>
      </c>
      <c r="D151" s="27">
        <v>78.1</v>
      </c>
      <c r="E151" s="75">
        <v>4.0</v>
      </c>
      <c r="F151" s="14"/>
      <c r="G151" s="4"/>
      <c r="M151" s="4"/>
      <c r="N151" s="4"/>
      <c r="O151" s="4"/>
      <c r="P151" s="4"/>
      <c r="Q151" s="4"/>
    </row>
    <row r="152">
      <c r="A152" s="21">
        <v>88.0</v>
      </c>
      <c r="B152" s="10">
        <v>63.9</v>
      </c>
      <c r="C152" s="11">
        <v>516.0</v>
      </c>
      <c r="D152" s="21">
        <v>44.2</v>
      </c>
      <c r="E152" s="68">
        <v>3.0</v>
      </c>
      <c r="F152" s="14"/>
      <c r="G152" s="4"/>
      <c r="M152" s="4"/>
      <c r="N152" s="4"/>
      <c r="O152" s="4"/>
      <c r="P152" s="4"/>
      <c r="Q152" s="4"/>
    </row>
    <row r="153">
      <c r="A153" s="20">
        <v>79.0</v>
      </c>
      <c r="B153" s="27">
        <v>74.1</v>
      </c>
      <c r="C153" s="54">
        <v>3763.0</v>
      </c>
      <c r="D153" s="12">
        <v>86.8</v>
      </c>
      <c r="E153" s="75">
        <v>4.0</v>
      </c>
      <c r="F153" s="14"/>
      <c r="G153" s="4"/>
      <c r="M153" s="4"/>
      <c r="N153" s="4"/>
      <c r="O153" s="4"/>
      <c r="P153" s="4"/>
      <c r="Q153" s="4"/>
    </row>
    <row r="154">
      <c r="A154" s="20">
        <v>79.0</v>
      </c>
      <c r="B154" s="20">
        <v>34.2</v>
      </c>
      <c r="C154" s="11">
        <v>523.0</v>
      </c>
      <c r="D154" s="20">
        <v>33.1</v>
      </c>
      <c r="E154" s="23">
        <v>5.0</v>
      </c>
      <c r="F154" s="14"/>
      <c r="G154" s="4"/>
      <c r="M154" s="4"/>
      <c r="N154" s="4"/>
      <c r="O154" s="4"/>
      <c r="P154" s="4"/>
      <c r="Q154" s="4"/>
    </row>
    <row r="155">
      <c r="A155" s="9">
        <v>92.0</v>
      </c>
      <c r="B155" s="10">
        <v>66.4</v>
      </c>
      <c r="C155" s="92">
        <v>4857.0</v>
      </c>
      <c r="D155" s="27">
        <v>78.5</v>
      </c>
      <c r="E155" s="46">
        <v>2.0</v>
      </c>
      <c r="F155" s="14"/>
      <c r="G155" s="4"/>
      <c r="M155" s="4"/>
      <c r="N155" s="4"/>
      <c r="O155" s="4"/>
      <c r="P155" s="4"/>
      <c r="Q155" s="4"/>
    </row>
    <row r="156">
      <c r="A156" s="21">
        <v>86.0</v>
      </c>
      <c r="B156" s="10">
        <v>60.0</v>
      </c>
      <c r="C156" s="11">
        <v>529.0</v>
      </c>
      <c r="D156" s="27">
        <v>79.8</v>
      </c>
      <c r="E156" s="68">
        <v>3.0</v>
      </c>
      <c r="F156" s="14"/>
      <c r="G156" s="4"/>
      <c r="M156" s="4"/>
      <c r="N156" s="4"/>
      <c r="O156" s="4"/>
      <c r="P156" s="4"/>
      <c r="Q156" s="4"/>
    </row>
    <row r="157">
      <c r="A157" s="21">
        <v>80.0</v>
      </c>
      <c r="B157" s="10">
        <v>60.1</v>
      </c>
      <c r="C157" s="22">
        <v>1869.0</v>
      </c>
      <c r="D157" s="27">
        <v>77.0</v>
      </c>
      <c r="E157" s="68">
        <v>3.0</v>
      </c>
      <c r="F157" s="14"/>
      <c r="G157" s="4"/>
      <c r="M157" s="4"/>
      <c r="N157" s="4"/>
      <c r="O157" s="4"/>
      <c r="P157" s="4"/>
      <c r="Q157" s="4"/>
    </row>
    <row r="158">
      <c r="A158" s="20">
        <v>76.0</v>
      </c>
      <c r="B158" s="21">
        <v>47.1</v>
      </c>
      <c r="C158" s="65">
        <v>3200.0</v>
      </c>
      <c r="D158" s="9">
        <v>50.2</v>
      </c>
      <c r="E158" s="23">
        <v>5.0</v>
      </c>
      <c r="F158" s="14"/>
      <c r="G158" s="4"/>
      <c r="M158" s="4"/>
      <c r="N158" s="4"/>
      <c r="O158" s="4"/>
      <c r="P158" s="4"/>
      <c r="Q158" s="4"/>
    </row>
    <row r="159">
      <c r="A159" s="9">
        <v>99.0</v>
      </c>
      <c r="B159" s="9">
        <v>55.9</v>
      </c>
      <c r="C159" s="11">
        <v>904.0</v>
      </c>
      <c r="D159" s="27">
        <v>71.3</v>
      </c>
      <c r="E159" s="13">
        <v>1.0</v>
      </c>
      <c r="F159" s="14"/>
      <c r="G159" s="4"/>
      <c r="M159" s="4"/>
      <c r="N159" s="4"/>
      <c r="O159" s="4"/>
      <c r="P159" s="4"/>
      <c r="Q159" s="4"/>
    </row>
    <row r="160">
      <c r="A160" s="9">
        <v>91.0</v>
      </c>
      <c r="B160" s="9">
        <v>51.1</v>
      </c>
      <c r="C160" s="11">
        <v>550.0</v>
      </c>
      <c r="D160" s="20">
        <v>38.4</v>
      </c>
      <c r="E160" s="13">
        <v>1.0</v>
      </c>
      <c r="F160" s="28"/>
      <c r="G160" s="4"/>
      <c r="M160" s="4"/>
      <c r="N160" s="4"/>
      <c r="O160" s="4"/>
      <c r="P160" s="4"/>
      <c r="Q160" s="4"/>
    </row>
    <row r="161">
      <c r="A161" s="20">
        <v>70.0</v>
      </c>
      <c r="B161" s="21">
        <v>44.1</v>
      </c>
      <c r="C161" s="49">
        <v>2500.0</v>
      </c>
      <c r="D161" s="21">
        <v>46.4</v>
      </c>
      <c r="E161" s="13">
        <v>1.0</v>
      </c>
      <c r="F161" s="28"/>
      <c r="G161" s="4"/>
      <c r="M161" s="4"/>
      <c r="N161" s="4"/>
      <c r="O161" s="4"/>
      <c r="P161" s="4"/>
      <c r="Q161" s="4"/>
    </row>
    <row r="162">
      <c r="A162" s="21">
        <v>85.0</v>
      </c>
      <c r="B162" s="9">
        <v>56.7</v>
      </c>
      <c r="C162" s="22">
        <v>1902.0</v>
      </c>
      <c r="D162" s="9">
        <v>52.7</v>
      </c>
      <c r="E162" s="13">
        <v>1.0</v>
      </c>
      <c r="F162" s="14"/>
      <c r="G162" s="4"/>
      <c r="M162" s="4"/>
      <c r="N162" s="4"/>
      <c r="O162" s="4"/>
      <c r="P162" s="4"/>
      <c r="Q162" s="4"/>
    </row>
    <row r="163">
      <c r="A163" s="21">
        <v>83.0</v>
      </c>
      <c r="B163" s="21">
        <v>42.9</v>
      </c>
      <c r="C163" s="33">
        <v>1353.0</v>
      </c>
      <c r="D163" s="21">
        <v>40.1</v>
      </c>
      <c r="E163" s="75">
        <v>4.0</v>
      </c>
      <c r="F163" s="14"/>
      <c r="G163" s="4"/>
      <c r="M163" s="4"/>
      <c r="N163" s="4"/>
      <c r="O163" s="4"/>
      <c r="P163" s="4"/>
      <c r="Q163" s="4"/>
    </row>
    <row r="164">
      <c r="A164" s="20">
        <v>78.0</v>
      </c>
      <c r="B164" s="9">
        <v>57.1</v>
      </c>
      <c r="C164" s="33">
        <v>1208.0</v>
      </c>
      <c r="D164" s="9">
        <v>57.5</v>
      </c>
      <c r="E164" s="75">
        <v>4.0</v>
      </c>
      <c r="F164" s="28"/>
      <c r="G164" s="4"/>
      <c r="M164" s="4"/>
      <c r="N164" s="4"/>
      <c r="O164" s="4"/>
      <c r="P164" s="4"/>
      <c r="Q164" s="4"/>
    </row>
    <row r="165">
      <c r="A165" s="20">
        <v>79.0</v>
      </c>
      <c r="B165" s="21">
        <v>45.3</v>
      </c>
      <c r="C165" s="37">
        <v>2461.0</v>
      </c>
      <c r="D165" s="21">
        <v>47.9</v>
      </c>
      <c r="E165" s="68">
        <v>3.0</v>
      </c>
      <c r="F165" s="14"/>
      <c r="G165" s="4"/>
      <c r="M165" s="4"/>
      <c r="N165" s="4"/>
      <c r="O165" s="4"/>
      <c r="P165" s="4"/>
      <c r="Q165" s="4"/>
    </row>
    <row r="166">
      <c r="A166" s="21">
        <v>88.0</v>
      </c>
      <c r="B166" s="21">
        <v>47.4</v>
      </c>
      <c r="C166" s="11">
        <v>723.0</v>
      </c>
      <c r="D166" s="20">
        <v>38.2</v>
      </c>
      <c r="E166" s="46">
        <v>2.0</v>
      </c>
      <c r="F166" s="14"/>
      <c r="G166" s="4"/>
      <c r="M166" s="4"/>
      <c r="N166" s="4"/>
      <c r="O166" s="4"/>
      <c r="P166" s="4"/>
      <c r="Q166" s="4"/>
    </row>
    <row r="167">
      <c r="A167" s="21">
        <v>80.0</v>
      </c>
      <c r="B167" s="9">
        <v>59.1</v>
      </c>
      <c r="C167" s="33">
        <v>1286.0</v>
      </c>
      <c r="D167" s="27">
        <v>70.8</v>
      </c>
      <c r="E167" s="46">
        <v>2.0</v>
      </c>
      <c r="F167" s="14"/>
      <c r="G167" s="4"/>
      <c r="M167" s="4"/>
      <c r="N167" s="4"/>
      <c r="O167" s="4"/>
      <c r="P167" s="4"/>
      <c r="Q167" s="4"/>
    </row>
    <row r="168">
      <c r="A168" s="21">
        <v>88.0</v>
      </c>
      <c r="B168" s="9">
        <v>54.7</v>
      </c>
      <c r="C168" s="33">
        <v>1152.0</v>
      </c>
      <c r="D168" s="20">
        <v>38.5</v>
      </c>
      <c r="E168" s="13">
        <v>1.0</v>
      </c>
      <c r="F168" s="14"/>
      <c r="G168" s="4"/>
      <c r="M168" s="4"/>
      <c r="N168" s="4"/>
      <c r="O168" s="4"/>
      <c r="P168" s="4"/>
      <c r="Q168" s="4"/>
    </row>
    <row r="169">
      <c r="A169" s="21">
        <v>80.0</v>
      </c>
      <c r="B169" s="9">
        <v>53.5</v>
      </c>
      <c r="C169" s="11">
        <v>937.0</v>
      </c>
      <c r="D169" s="9">
        <v>56.4</v>
      </c>
      <c r="E169" s="13">
        <v>1.0</v>
      </c>
      <c r="F169" s="14"/>
      <c r="G169" s="4"/>
      <c r="M169" s="4"/>
      <c r="N169" s="4"/>
      <c r="O169" s="4"/>
      <c r="P169" s="4"/>
      <c r="Q169" s="4"/>
    </row>
    <row r="170">
      <c r="A170" s="20">
        <v>77.0</v>
      </c>
      <c r="B170" s="21">
        <v>45.2</v>
      </c>
      <c r="C170" s="22">
        <v>1870.0</v>
      </c>
      <c r="D170" s="9">
        <v>58.5</v>
      </c>
      <c r="E170" s="46">
        <v>2.0</v>
      </c>
      <c r="F170" s="14"/>
      <c r="G170" s="4"/>
      <c r="M170" s="4"/>
      <c r="N170" s="4"/>
      <c r="O170" s="4"/>
      <c r="P170" s="4"/>
      <c r="Q170" s="4"/>
    </row>
    <row r="171">
      <c r="A171" s="9">
        <v>95.0</v>
      </c>
      <c r="B171" s="21">
        <v>49.6</v>
      </c>
      <c r="C171" s="11">
        <v>515.0</v>
      </c>
      <c r="D171" s="20">
        <v>38.9</v>
      </c>
      <c r="E171" s="13">
        <v>1.0</v>
      </c>
      <c r="F171" s="14"/>
      <c r="G171" s="4"/>
      <c r="M171" s="4"/>
      <c r="N171" s="4"/>
      <c r="O171" s="4"/>
      <c r="P171" s="4"/>
      <c r="Q171" s="4"/>
    </row>
    <row r="172">
      <c r="A172" s="21">
        <v>80.0</v>
      </c>
      <c r="B172" s="21">
        <v>46.2</v>
      </c>
      <c r="C172" s="11">
        <v>573.0</v>
      </c>
      <c r="D172" s="20">
        <v>31.6</v>
      </c>
      <c r="E172" s="23">
        <v>5.0</v>
      </c>
      <c r="F172" s="14"/>
      <c r="G172" s="4"/>
      <c r="M172" s="4"/>
      <c r="N172" s="4"/>
      <c r="O172" s="4"/>
      <c r="P172" s="4"/>
      <c r="Q172" s="4"/>
    </row>
    <row r="173">
      <c r="A173" s="9">
        <v>91.0</v>
      </c>
      <c r="B173" s="9">
        <v>56.8</v>
      </c>
      <c r="C173" s="11">
        <v>520.0</v>
      </c>
      <c r="D173" s="21">
        <v>43.3</v>
      </c>
      <c r="E173" s="13">
        <v>1.0</v>
      </c>
      <c r="F173" s="14"/>
      <c r="G173" s="4"/>
      <c r="M173" s="4"/>
      <c r="N173" s="4"/>
      <c r="O173" s="4"/>
      <c r="P173" s="4"/>
      <c r="Q173" s="4"/>
    </row>
    <row r="174">
      <c r="A174" s="20">
        <v>73.0</v>
      </c>
      <c r="B174" s="9">
        <v>53.8</v>
      </c>
      <c r="C174" s="11">
        <v>592.0</v>
      </c>
      <c r="D174" s="20">
        <v>33.4</v>
      </c>
      <c r="E174" s="23">
        <v>5.0</v>
      </c>
      <c r="F174" s="14"/>
      <c r="G174" s="4"/>
      <c r="M174" s="4"/>
      <c r="N174" s="4"/>
      <c r="O174" s="4"/>
      <c r="P174" s="4"/>
      <c r="Q174" s="4"/>
    </row>
    <row r="175">
      <c r="A175" s="21">
        <v>88.0</v>
      </c>
      <c r="B175" s="21">
        <v>44.4</v>
      </c>
      <c r="C175" s="11">
        <v>551.0</v>
      </c>
      <c r="D175" s="37">
        <v>24.9</v>
      </c>
      <c r="E175" s="13">
        <v>1.0</v>
      </c>
      <c r="F175" s="28"/>
      <c r="G175" s="4"/>
      <c r="M175" s="4"/>
      <c r="N175" s="4"/>
      <c r="O175" s="4"/>
      <c r="P175" s="4"/>
      <c r="Q175" s="4"/>
    </row>
    <row r="176">
      <c r="A176" s="20">
        <v>74.0</v>
      </c>
      <c r="B176" s="9">
        <v>50.9</v>
      </c>
      <c r="C176" s="33">
        <v>1186.0</v>
      </c>
      <c r="D176" s="10">
        <v>66.4</v>
      </c>
      <c r="E176" s="75">
        <v>4.0</v>
      </c>
      <c r="F176" s="14"/>
      <c r="G176" s="4"/>
      <c r="M176" s="4"/>
      <c r="N176" s="4"/>
      <c r="O176" s="4"/>
      <c r="P176" s="4"/>
      <c r="Q176" s="4"/>
    </row>
    <row r="177">
      <c r="A177" s="21">
        <v>83.0</v>
      </c>
      <c r="B177" s="21">
        <v>42.9</v>
      </c>
      <c r="C177" s="11">
        <v>561.0</v>
      </c>
      <c r="D177" s="20">
        <v>34.7</v>
      </c>
      <c r="E177" s="75">
        <v>4.0</v>
      </c>
      <c r="F177" s="28"/>
      <c r="G177" s="4"/>
      <c r="M177" s="4"/>
      <c r="N177" s="4"/>
      <c r="O177" s="4"/>
      <c r="P177" s="4"/>
      <c r="Q177" s="4"/>
    </row>
    <row r="178">
      <c r="A178" s="21">
        <v>88.0</v>
      </c>
      <c r="B178" s="9">
        <v>56.6</v>
      </c>
      <c r="C178" s="11">
        <v>541.0</v>
      </c>
      <c r="D178" s="21">
        <v>47.8</v>
      </c>
      <c r="E178" s="13">
        <v>1.0</v>
      </c>
      <c r="F178" s="14"/>
      <c r="G178" s="4"/>
      <c r="M178" s="4"/>
      <c r="N178" s="4"/>
      <c r="O178" s="4"/>
      <c r="P178" s="4"/>
      <c r="Q178" s="4"/>
    </row>
    <row r="179">
      <c r="A179" s="20">
        <v>78.0</v>
      </c>
      <c r="B179" s="9">
        <v>52.8</v>
      </c>
      <c r="C179" s="11">
        <v>696.0</v>
      </c>
      <c r="D179" s="9">
        <v>54.9</v>
      </c>
      <c r="E179" s="75">
        <v>4.0</v>
      </c>
      <c r="F179" s="14"/>
      <c r="G179" s="4"/>
      <c r="M179" s="4"/>
      <c r="N179" s="4"/>
      <c r="O179" s="4"/>
      <c r="P179" s="4"/>
      <c r="Q179" s="4"/>
    </row>
    <row r="180">
      <c r="A180" s="20">
        <v>78.0</v>
      </c>
      <c r="B180" s="21">
        <v>48.9</v>
      </c>
      <c r="C180" s="11">
        <v>549.0</v>
      </c>
      <c r="D180" s="20">
        <v>36.1</v>
      </c>
      <c r="E180" s="75">
        <v>4.0</v>
      </c>
      <c r="F180" s="14"/>
      <c r="G180" s="4"/>
      <c r="M180" s="4"/>
      <c r="N180" s="4"/>
      <c r="O180" s="4"/>
      <c r="P180" s="4"/>
      <c r="Q180" s="4"/>
    </row>
    <row r="181">
      <c r="A181" s="21">
        <v>85.0</v>
      </c>
      <c r="B181" s="21">
        <v>48.5</v>
      </c>
      <c r="C181" s="11">
        <v>595.0</v>
      </c>
      <c r="D181" s="20">
        <v>38.0</v>
      </c>
      <c r="E181" s="13">
        <v>1.0</v>
      </c>
      <c r="F181" s="14"/>
      <c r="G181" s="4"/>
      <c r="M181" s="4"/>
      <c r="N181" s="4"/>
      <c r="O181" s="4"/>
      <c r="P181" s="4"/>
      <c r="Q181" s="4"/>
    </row>
    <row r="182">
      <c r="A182" s="20">
        <v>79.0</v>
      </c>
      <c r="B182" s="10">
        <v>62.4</v>
      </c>
      <c r="C182" s="33">
        <v>1102.0</v>
      </c>
      <c r="D182" s="27">
        <v>76.6</v>
      </c>
      <c r="E182" s="13">
        <v>1.0</v>
      </c>
      <c r="F182" s="14"/>
      <c r="G182" s="4"/>
      <c r="M182" s="4"/>
      <c r="N182" s="4"/>
      <c r="O182" s="4"/>
      <c r="P182" s="4"/>
      <c r="Q182" s="4"/>
    </row>
    <row r="183">
      <c r="A183" s="21">
        <v>88.0</v>
      </c>
      <c r="B183" s="9">
        <v>50.2</v>
      </c>
      <c r="C183" s="11">
        <v>525.0</v>
      </c>
      <c r="D183" s="37">
        <v>28.0</v>
      </c>
      <c r="E183" s="68">
        <v>3.0</v>
      </c>
      <c r="F183" s="28"/>
      <c r="G183" s="4"/>
      <c r="M183" s="4"/>
      <c r="N183" s="4"/>
      <c r="O183" s="4"/>
      <c r="P183" s="4"/>
      <c r="Q183" s="4"/>
    </row>
    <row r="184">
      <c r="A184" s="21">
        <v>85.0</v>
      </c>
      <c r="B184" s="10">
        <v>60.8</v>
      </c>
      <c r="C184" s="33">
        <v>1216.0</v>
      </c>
      <c r="D184" s="10">
        <v>63.8</v>
      </c>
      <c r="E184" s="13">
        <v>1.0</v>
      </c>
      <c r="F184" s="14"/>
      <c r="G184" s="4"/>
      <c r="M184" s="4"/>
      <c r="N184" s="4"/>
      <c r="O184" s="4"/>
      <c r="P184" s="4"/>
      <c r="Q184" s="4"/>
    </row>
    <row r="185">
      <c r="A185" s="9">
        <v>97.0</v>
      </c>
      <c r="B185" s="9">
        <v>57.7</v>
      </c>
      <c r="C185" s="11">
        <v>556.0</v>
      </c>
      <c r="D185" s="21">
        <v>45.2</v>
      </c>
      <c r="E185" s="13">
        <v>1.0</v>
      </c>
      <c r="F185" s="14"/>
      <c r="G185" s="4"/>
      <c r="M185" s="4"/>
      <c r="N185" s="4"/>
      <c r="O185" s="4"/>
      <c r="P185" s="4"/>
      <c r="Q185" s="4"/>
    </row>
    <row r="186">
      <c r="A186" s="9">
        <v>99.0</v>
      </c>
      <c r="B186" s="9">
        <v>51.6</v>
      </c>
      <c r="C186" s="11">
        <v>552.0</v>
      </c>
      <c r="D186" s="10">
        <v>65.9</v>
      </c>
      <c r="E186" s="13">
        <v>1.0</v>
      </c>
      <c r="F186" s="28"/>
      <c r="G186" s="4"/>
      <c r="M186" s="4"/>
      <c r="N186" s="4"/>
      <c r="O186" s="4"/>
      <c r="P186" s="4"/>
      <c r="Q186" s="4"/>
    </row>
    <row r="187">
      <c r="A187" s="9">
        <v>91.0</v>
      </c>
      <c r="B187" s="21">
        <v>46.7</v>
      </c>
      <c r="C187" s="11">
        <v>552.0</v>
      </c>
      <c r="D187" s="21">
        <v>47.8</v>
      </c>
      <c r="E187" s="13">
        <v>1.0</v>
      </c>
      <c r="F187" s="14"/>
      <c r="G187" s="4"/>
      <c r="M187" s="4"/>
      <c r="N187" s="4"/>
      <c r="O187" s="4"/>
      <c r="P187" s="4"/>
      <c r="Q187" s="4"/>
    </row>
    <row r="188">
      <c r="A188" s="9">
        <v>99.0</v>
      </c>
      <c r="B188" s="9">
        <v>59.7</v>
      </c>
      <c r="C188" s="11">
        <v>544.0</v>
      </c>
      <c r="D188" s="10">
        <v>60.5</v>
      </c>
      <c r="E188" s="13">
        <v>1.0</v>
      </c>
      <c r="F188" s="14"/>
      <c r="G188" s="4"/>
      <c r="M188" s="4"/>
      <c r="N188" s="4"/>
      <c r="O188" s="4"/>
      <c r="P188" s="4"/>
      <c r="Q188" s="4"/>
    </row>
    <row r="189">
      <c r="A189" s="21">
        <v>84.0</v>
      </c>
      <c r="B189" s="10">
        <v>63.3</v>
      </c>
      <c r="C189" s="22">
        <v>1943.0</v>
      </c>
      <c r="D189" s="10">
        <v>68.3</v>
      </c>
      <c r="E189" s="13">
        <v>1.0</v>
      </c>
      <c r="F189" s="14"/>
      <c r="G189" s="4"/>
      <c r="M189" s="4"/>
      <c r="N189" s="4"/>
      <c r="O189" s="4"/>
      <c r="P189" s="4"/>
      <c r="Q189" s="4"/>
    </row>
    <row r="190">
      <c r="A190" s="20">
        <v>79.0</v>
      </c>
      <c r="B190" s="9">
        <v>59.4</v>
      </c>
      <c r="C190" s="11">
        <v>719.0</v>
      </c>
      <c r="D190" s="27">
        <v>71.5</v>
      </c>
      <c r="E190" s="46">
        <v>2.0</v>
      </c>
      <c r="F190" s="14"/>
      <c r="G190" s="4"/>
      <c r="M190" s="4"/>
      <c r="N190" s="4"/>
      <c r="O190" s="4"/>
      <c r="P190" s="4"/>
      <c r="Q190" s="4"/>
    </row>
    <row r="191">
      <c r="A191" s="21">
        <v>80.0</v>
      </c>
      <c r="B191" s="10">
        <v>64.9</v>
      </c>
      <c r="C191" s="33">
        <v>1464.0</v>
      </c>
      <c r="D191" s="12">
        <v>80.5</v>
      </c>
      <c r="E191" s="46">
        <v>2.0</v>
      </c>
      <c r="F191" s="14"/>
      <c r="G191" s="4"/>
      <c r="M191" s="4"/>
      <c r="N191" s="4"/>
      <c r="O191" s="4"/>
      <c r="P191" s="4"/>
      <c r="Q191" s="4"/>
    </row>
    <row r="192">
      <c r="A192" s="20">
        <v>75.0</v>
      </c>
      <c r="B192" s="21">
        <v>46.1</v>
      </c>
      <c r="C192" s="11">
        <v>627.0</v>
      </c>
      <c r="D192" s="20">
        <v>36.2</v>
      </c>
      <c r="E192" s="75">
        <v>4.0</v>
      </c>
      <c r="F192" s="14"/>
      <c r="G192" s="4"/>
      <c r="M192" s="4"/>
      <c r="N192" s="4"/>
      <c r="O192" s="4"/>
      <c r="P192" s="4"/>
      <c r="Q192" s="4"/>
    </row>
    <row r="193">
      <c r="A193" s="9">
        <v>92.0</v>
      </c>
      <c r="B193" s="9">
        <v>58.9</v>
      </c>
      <c r="C193" s="11">
        <v>547.0</v>
      </c>
      <c r="D193" s="21">
        <v>40.9</v>
      </c>
      <c r="E193" s="46">
        <v>2.0</v>
      </c>
      <c r="F193" s="14"/>
      <c r="G193" s="4"/>
      <c r="M193" s="4"/>
      <c r="N193" s="4"/>
      <c r="O193" s="4"/>
      <c r="P193" s="4"/>
      <c r="Q193" s="4"/>
    </row>
    <row r="194">
      <c r="A194" s="21">
        <v>88.0</v>
      </c>
      <c r="B194" s="9">
        <v>54.9</v>
      </c>
      <c r="C194" s="11">
        <v>888.0</v>
      </c>
      <c r="D194" s="9">
        <v>59.9</v>
      </c>
      <c r="E194" s="46">
        <v>2.0</v>
      </c>
      <c r="F194" s="14"/>
      <c r="G194" s="4"/>
      <c r="M194" s="4"/>
      <c r="N194" s="4"/>
      <c r="O194" s="4"/>
      <c r="P194" s="4"/>
      <c r="Q194" s="4"/>
    </row>
    <row r="195">
      <c r="A195" s="21">
        <v>85.0</v>
      </c>
      <c r="B195" s="9">
        <v>52.7</v>
      </c>
      <c r="C195" s="11">
        <v>529.0</v>
      </c>
      <c r="D195" s="21">
        <v>48.5</v>
      </c>
      <c r="E195" s="13">
        <v>1.0</v>
      </c>
      <c r="F195" s="14"/>
      <c r="G195" s="4"/>
      <c r="M195" s="4"/>
      <c r="N195" s="4"/>
      <c r="O195" s="4"/>
      <c r="P195" s="4"/>
      <c r="Q195" s="4"/>
    </row>
    <row r="196">
      <c r="A196" s="20">
        <v>79.0</v>
      </c>
      <c r="B196" s="9">
        <v>58.8</v>
      </c>
      <c r="C196" s="11">
        <v>527.0</v>
      </c>
      <c r="D196" s="12">
        <v>80.1</v>
      </c>
      <c r="E196" s="68">
        <v>3.0</v>
      </c>
      <c r="F196" s="14"/>
      <c r="G196" s="4"/>
      <c r="M196" s="4"/>
      <c r="N196" s="4"/>
      <c r="O196" s="4"/>
      <c r="P196" s="4"/>
      <c r="Q196" s="4"/>
    </row>
    <row r="197">
      <c r="A197" s="21">
        <v>87.0</v>
      </c>
      <c r="B197" s="20">
        <v>34.8</v>
      </c>
      <c r="C197" s="11">
        <v>547.0</v>
      </c>
      <c r="D197" s="37">
        <v>26.3</v>
      </c>
      <c r="E197" s="46">
        <v>2.0</v>
      </c>
      <c r="F197" s="14"/>
      <c r="G197" s="4"/>
      <c r="M197" s="4"/>
      <c r="N197" s="4"/>
      <c r="O197" s="4"/>
      <c r="P197" s="4"/>
      <c r="Q197" s="4"/>
    </row>
    <row r="198">
      <c r="A198" s="9">
        <v>92.0</v>
      </c>
      <c r="B198" s="9">
        <v>55.4</v>
      </c>
      <c r="C198" s="33">
        <v>1304.0</v>
      </c>
      <c r="D198" s="21">
        <v>45.9</v>
      </c>
      <c r="E198" s="13">
        <v>1.0</v>
      </c>
      <c r="F198" s="14"/>
      <c r="G198" s="4"/>
      <c r="M198" s="4"/>
      <c r="N198" s="4"/>
      <c r="O198" s="4"/>
      <c r="P198" s="4"/>
      <c r="Q198" s="4"/>
    </row>
    <row r="199">
      <c r="A199" s="9">
        <v>91.0</v>
      </c>
      <c r="B199" s="20">
        <v>39.0</v>
      </c>
      <c r="C199" s="11">
        <v>973.0</v>
      </c>
      <c r="D199" s="37">
        <v>25.2</v>
      </c>
      <c r="E199" s="46">
        <v>2.0</v>
      </c>
      <c r="F199" s="14"/>
      <c r="G199" s="4"/>
      <c r="M199" s="4"/>
      <c r="N199" s="4"/>
      <c r="O199" s="4"/>
      <c r="P199" s="4"/>
      <c r="Q199" s="4"/>
    </row>
    <row r="200">
      <c r="A200" s="21">
        <v>85.0</v>
      </c>
      <c r="B200" s="9">
        <v>56.2</v>
      </c>
      <c r="C200" s="33">
        <v>1222.0</v>
      </c>
      <c r="D200" s="20">
        <v>33.1</v>
      </c>
      <c r="E200" s="46">
        <v>2.0</v>
      </c>
      <c r="F200" s="14"/>
      <c r="G200" s="4"/>
      <c r="M200" s="4"/>
      <c r="N200" s="4"/>
      <c r="O200" s="4"/>
      <c r="P200" s="4"/>
      <c r="Q200" s="4"/>
    </row>
    <row r="201">
      <c r="A201" s="21">
        <v>82.0</v>
      </c>
      <c r="B201" s="9">
        <v>51.2</v>
      </c>
      <c r="C201" s="11">
        <v>557.0</v>
      </c>
      <c r="D201" s="9">
        <v>58.3</v>
      </c>
      <c r="E201" s="68">
        <v>3.0</v>
      </c>
      <c r="F201" s="14"/>
      <c r="G201" s="4"/>
      <c r="M201" s="4"/>
      <c r="N201" s="4"/>
      <c r="O201" s="4"/>
      <c r="P201" s="4"/>
      <c r="Q201" s="4"/>
    </row>
    <row r="202">
      <c r="A202" s="93">
        <v>82.0</v>
      </c>
      <c r="B202" s="93">
        <v>46.8</v>
      </c>
      <c r="C202" s="94">
        <v>1467.0</v>
      </c>
      <c r="D202" s="95">
        <v>52.4</v>
      </c>
      <c r="E202" s="68">
        <v>3.0</v>
      </c>
      <c r="F202" s="14"/>
      <c r="G202" s="4"/>
      <c r="M202" s="4"/>
      <c r="N202" s="4"/>
      <c r="O202" s="4"/>
      <c r="P202" s="4"/>
      <c r="Q202" s="4"/>
    </row>
    <row r="203">
      <c r="A203" s="96"/>
      <c r="B203" s="96"/>
      <c r="C203" s="96"/>
      <c r="D203" s="96"/>
      <c r="E203" s="4"/>
      <c r="F203" s="4"/>
      <c r="G203" s="4"/>
      <c r="M203" s="4"/>
      <c r="N203" s="4"/>
      <c r="O203" s="4"/>
      <c r="P203" s="4"/>
      <c r="Q203" s="4"/>
    </row>
    <row r="204">
      <c r="A204" s="97" t="s">
        <v>0</v>
      </c>
      <c r="B204" s="97" t="s">
        <v>1</v>
      </c>
      <c r="C204" s="97" t="s">
        <v>2</v>
      </c>
      <c r="D204" s="97" t="s">
        <v>3</v>
      </c>
      <c r="E204" s="4"/>
      <c r="F204" s="4"/>
      <c r="G204" s="4"/>
      <c r="M204" s="4"/>
      <c r="N204" s="4"/>
      <c r="O204" s="4"/>
      <c r="P204" s="4"/>
      <c r="Q204" s="4"/>
    </row>
    <row r="205">
      <c r="A205" s="98">
        <f>MEDIAN(A2:A202)</f>
        <v>84</v>
      </c>
      <c r="B205" s="99">
        <f t="shared" ref="B205:D205" si="14">AVERAGE(B2:B202)</f>
        <v>51.42338308</v>
      </c>
      <c r="C205" s="100">
        <f t="shared" si="14"/>
        <v>1210.905473</v>
      </c>
      <c r="D205" s="99">
        <f t="shared" si="14"/>
        <v>51.34378109</v>
      </c>
      <c r="E205" s="4"/>
      <c r="F205" s="4"/>
      <c r="G205" s="4"/>
      <c r="M205" s="4"/>
      <c r="N205" s="4"/>
      <c r="O205" s="4"/>
      <c r="P205" s="4"/>
      <c r="Q205" s="4"/>
    </row>
    <row r="206">
      <c r="A206" s="4"/>
      <c r="B206" s="4"/>
      <c r="D206" s="4"/>
      <c r="E206" s="4"/>
      <c r="F206" s="4"/>
      <c r="G206" s="4"/>
      <c r="M206" s="4"/>
      <c r="N206" s="4"/>
      <c r="O206" s="4"/>
      <c r="P206" s="4"/>
      <c r="Q206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