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tor_driver_Mathijs\"/>
    </mc:Choice>
  </mc:AlternateContent>
  <bookViews>
    <workbookView xWindow="0" yWindow="0" windowWidth="11424" windowHeight="874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L45" i="1"/>
  <c r="L46" i="1"/>
  <c r="L42" i="1"/>
  <c r="G42" i="1"/>
  <c r="G44" i="1"/>
  <c r="L44" i="1"/>
  <c r="L43" i="1"/>
  <c r="L41" i="1"/>
  <c r="L27" i="1"/>
  <c r="L37" i="1"/>
  <c r="L31" i="1"/>
  <c r="L25" i="1"/>
  <c r="L26" i="1"/>
  <c r="L23" i="1"/>
  <c r="L22" i="1"/>
  <c r="L14" i="1"/>
  <c r="L13" i="1"/>
  <c r="L12" i="1"/>
  <c r="G12" i="1"/>
  <c r="G16" i="1" l="1"/>
  <c r="G11" i="1"/>
  <c r="L11" i="1"/>
  <c r="L10" i="1"/>
  <c r="L38" i="1"/>
  <c r="G38" i="1"/>
  <c r="L18" i="1"/>
  <c r="G18" i="1"/>
  <c r="L16" i="1"/>
  <c r="G8" i="1"/>
  <c r="L7" i="1"/>
  <c r="G7" i="1"/>
  <c r="G45" i="1" l="1"/>
  <c r="G46" i="1"/>
  <c r="G37" i="1"/>
  <c r="G22" i="1"/>
  <c r="G23" i="1"/>
  <c r="G25" i="1"/>
  <c r="G27" i="1"/>
  <c r="G26" i="1"/>
  <c r="G10" i="1"/>
  <c r="G15" i="1"/>
  <c r="G13" i="1"/>
  <c r="G14" i="1"/>
  <c r="G9" i="1"/>
  <c r="L9" i="1"/>
  <c r="G6" i="1"/>
  <c r="L6" i="1"/>
  <c r="L8" i="1" l="1"/>
  <c r="L15" i="1"/>
  <c r="L21" i="1"/>
  <c r="L20" i="1"/>
  <c r="L39" i="1"/>
  <c r="L36" i="1"/>
  <c r="L35" i="1"/>
  <c r="L32" i="1"/>
  <c r="L34" i="1"/>
  <c r="L33" i="1"/>
  <c r="G20" i="1"/>
  <c r="G21" i="1"/>
  <c r="G36" i="1"/>
  <c r="L29" i="1" l="1"/>
  <c r="G33" i="1"/>
  <c r="G34" i="1"/>
  <c r="G35" i="1"/>
  <c r="G19" i="1"/>
  <c r="G29" i="1"/>
  <c r="G31" i="1"/>
  <c r="G32" i="1"/>
  <c r="G39" i="1"/>
  <c r="G41" i="1"/>
  <c r="G43" i="1"/>
  <c r="G2" i="1" l="1"/>
  <c r="L19" i="1"/>
</calcChain>
</file>

<file path=xl/sharedStrings.xml><?xml version="1.0" encoding="utf-8"?>
<sst xmlns="http://schemas.openxmlformats.org/spreadsheetml/2006/main" count="257" uniqueCount="177">
  <si>
    <t>Total price</t>
  </si>
  <si>
    <t>KiCad reference</t>
  </si>
  <si>
    <t>Amount</t>
  </si>
  <si>
    <t>Price</t>
  </si>
  <si>
    <t>Price total</t>
  </si>
  <si>
    <t>Manufacuter</t>
  </si>
  <si>
    <t>Supplier</t>
  </si>
  <si>
    <t>Ordercode</t>
  </si>
  <si>
    <t>Artikel nr.</t>
  </si>
  <si>
    <t>link</t>
  </si>
  <si>
    <t>BOM power system</t>
  </si>
  <si>
    <t>Description</t>
  </si>
  <si>
    <t>Value</t>
  </si>
  <si>
    <t>Resistors</t>
  </si>
  <si>
    <t>1u</t>
  </si>
  <si>
    <t>Capacitors</t>
  </si>
  <si>
    <t xml:space="preserve">IC's </t>
  </si>
  <si>
    <t>Motor driver</t>
  </si>
  <si>
    <t>Motor system</t>
  </si>
  <si>
    <t>Farnell</t>
  </si>
  <si>
    <t>Capacitor 0603</t>
  </si>
  <si>
    <t>100nF</t>
  </si>
  <si>
    <t>WALSIN</t>
  </si>
  <si>
    <t>0603B104K250CT</t>
  </si>
  <si>
    <t>Hall-sensor</t>
  </si>
  <si>
    <t>Overig</t>
  </si>
  <si>
    <t>Inductors</t>
  </si>
  <si>
    <t>Diodes</t>
  </si>
  <si>
    <t>10uH</t>
  </si>
  <si>
    <t>Buck Converter</t>
  </si>
  <si>
    <t>SM451</t>
  </si>
  <si>
    <t>Sensors</t>
  </si>
  <si>
    <t>NCT75MNR2G</t>
  </si>
  <si>
    <t>Mouser</t>
  </si>
  <si>
    <t>KPH-1608SGC</t>
  </si>
  <si>
    <t>LED</t>
  </si>
  <si>
    <t>IFSC1515AHER100M01</t>
  </si>
  <si>
    <t>Vishay/Dale</t>
  </si>
  <si>
    <t>70-IFSC1515AHER100M0</t>
  </si>
  <si>
    <t>Inductor</t>
  </si>
  <si>
    <t>TCUT1350</t>
  </si>
  <si>
    <t>2k7</t>
  </si>
  <si>
    <t>10k</t>
  </si>
  <si>
    <t>PCA9517</t>
  </si>
  <si>
    <t>TPS62177</t>
  </si>
  <si>
    <t>100k</t>
  </si>
  <si>
    <t>2.2u</t>
  </si>
  <si>
    <t>22u</t>
  </si>
  <si>
    <t>120E</t>
  </si>
  <si>
    <t>ATXMEGA32D4</t>
  </si>
  <si>
    <t>Conn 02x03</t>
  </si>
  <si>
    <t>Buffer</t>
  </si>
  <si>
    <t>Connectors</t>
  </si>
  <si>
    <t>Data</t>
  </si>
  <si>
    <t>Photo Encoder</t>
  </si>
  <si>
    <t>ATXMEGA</t>
  </si>
  <si>
    <t>Xmega</t>
  </si>
  <si>
    <t>Temperature sensor</t>
  </si>
  <si>
    <t>NCT75DR2G</t>
  </si>
  <si>
    <t>863-NCT75DR2G</t>
  </si>
  <si>
    <t>On Semiconductor</t>
  </si>
  <si>
    <t>TI</t>
  </si>
  <si>
    <t>TPS62177DQCR</t>
  </si>
  <si>
    <t>595-TPS62177DQCR</t>
  </si>
  <si>
    <t>Honeywell</t>
  </si>
  <si>
    <t>785-SM451R</t>
  </si>
  <si>
    <t>SM451R</t>
  </si>
  <si>
    <t>Atmel</t>
  </si>
  <si>
    <t>ATXMEGA32D4-AU</t>
  </si>
  <si>
    <t>Vishay</t>
  </si>
  <si>
    <t>TCUT1350X01</t>
  </si>
  <si>
    <t>NXP</t>
  </si>
  <si>
    <t>PCA9517ADP</t>
  </si>
  <si>
    <t>TVS</t>
  </si>
  <si>
    <t>Murata</t>
  </si>
  <si>
    <t>GRM188R6YA225KA12D</t>
  </si>
  <si>
    <t>YAGEO</t>
  </si>
  <si>
    <t>Capacitor 1206</t>
  </si>
  <si>
    <t>CC1206KKX5R5BB226</t>
  </si>
  <si>
    <t>Driver</t>
  </si>
  <si>
    <t>RC0603FR-07100KL</t>
  </si>
  <si>
    <t>Resistor 0603</t>
  </si>
  <si>
    <t>Sensors, ATXmega</t>
  </si>
  <si>
    <t>ATXmega, Driver, Sensors</t>
  </si>
  <si>
    <t>Driver, ATXmega</t>
  </si>
  <si>
    <t>RC0603FR-07120RL</t>
  </si>
  <si>
    <t>WR06X2701FTL</t>
  </si>
  <si>
    <t>Multicomp</t>
  </si>
  <si>
    <t>MCWR06X1002FTL</t>
  </si>
  <si>
    <t>DRV8871</t>
  </si>
  <si>
    <t>U1</t>
  </si>
  <si>
    <t>C1</t>
  </si>
  <si>
    <t>16.9k</t>
  </si>
  <si>
    <t>R1</t>
  </si>
  <si>
    <t>U2</t>
  </si>
  <si>
    <t>C3</t>
  </si>
  <si>
    <t>L1</t>
  </si>
  <si>
    <t>C4</t>
  </si>
  <si>
    <t>R2</t>
  </si>
  <si>
    <t>U4</t>
  </si>
  <si>
    <t>ACS710</t>
  </si>
  <si>
    <t>U5</t>
  </si>
  <si>
    <t>1n</t>
  </si>
  <si>
    <t>330k</t>
  </si>
  <si>
    <t>R5</t>
  </si>
  <si>
    <t>R3</t>
  </si>
  <si>
    <t>22k</t>
  </si>
  <si>
    <t>R4</t>
  </si>
  <si>
    <t>U3</t>
  </si>
  <si>
    <t>U6</t>
  </si>
  <si>
    <t>150E</t>
  </si>
  <si>
    <t>U10</t>
  </si>
  <si>
    <t>P2</t>
  </si>
  <si>
    <t>D3</t>
  </si>
  <si>
    <t>F1</t>
  </si>
  <si>
    <t>1M</t>
  </si>
  <si>
    <t>P5</t>
  </si>
  <si>
    <t>U7</t>
  </si>
  <si>
    <t>68k</t>
  </si>
  <si>
    <t>R13</t>
  </si>
  <si>
    <t>47k</t>
  </si>
  <si>
    <t>R12</t>
  </si>
  <si>
    <t>D4</t>
  </si>
  <si>
    <t>R7, R8</t>
  </si>
  <si>
    <t>R19, R20, R21</t>
  </si>
  <si>
    <t>R6, R9, R10, R14, R15</t>
  </si>
  <si>
    <t>R11, R16, R17, R18</t>
  </si>
  <si>
    <t>C5, C6, C9, C11, C12, C13, C14, C18, C19, C20, C21</t>
  </si>
  <si>
    <t>C2, C10, C15, C16, C17</t>
  </si>
  <si>
    <t>C7, C8</t>
  </si>
  <si>
    <t>D1, D2</t>
  </si>
  <si>
    <t>Zener</t>
  </si>
  <si>
    <t>U18, U11</t>
  </si>
  <si>
    <t>Conn 01x04</t>
  </si>
  <si>
    <t>P3, P6</t>
  </si>
  <si>
    <t>P1, P4</t>
  </si>
  <si>
    <t xml:space="preserve">Fuse </t>
  </si>
  <si>
    <t>Fuse holder</t>
  </si>
  <si>
    <t>WELWYN</t>
  </si>
  <si>
    <t>ASC0603-150RFT5</t>
  </si>
  <si>
    <t>MC0063W060311M</t>
  </si>
  <si>
    <t>GRM188R60J105KA01D</t>
  </si>
  <si>
    <t>Bourns</t>
  </si>
  <si>
    <t>CDSOT23-SRV05-4</t>
  </si>
  <si>
    <t>MCWR06X1692FTL</t>
  </si>
  <si>
    <t>MCWR06X2202FTL</t>
  </si>
  <si>
    <t>MCWR06X4702FTL</t>
  </si>
  <si>
    <t>MCWR06X6802FTL</t>
  </si>
  <si>
    <t>MCWR06X3303FTL</t>
  </si>
  <si>
    <t>MC0603B102K250CT</t>
  </si>
  <si>
    <t>Capacitor</t>
  </si>
  <si>
    <t>MCVKZ016M220DA1L</t>
  </si>
  <si>
    <t>Schematic Sheet</t>
  </si>
  <si>
    <t>CDSOD323-T08</t>
  </si>
  <si>
    <t>Kingbright</t>
  </si>
  <si>
    <t>ATXmega</t>
  </si>
  <si>
    <t>DRV8871DDAR</t>
  </si>
  <si>
    <t>595-DRV8871DDAR</t>
  </si>
  <si>
    <t xml:space="preserve">Allegro </t>
  </si>
  <si>
    <t>ACS710KLATR-6BB-T</t>
  </si>
  <si>
    <t>Current Sensor</t>
  </si>
  <si>
    <t>TVS diode 4 I/O</t>
  </si>
  <si>
    <t>SRV05</t>
  </si>
  <si>
    <t>MMSZ4684</t>
  </si>
  <si>
    <t>Fairchild</t>
  </si>
  <si>
    <t>Conn 02x04 smd</t>
  </si>
  <si>
    <t>Conn 02x01 screw</t>
  </si>
  <si>
    <t>Wurt Elektronik</t>
  </si>
  <si>
    <t>Harwin</t>
  </si>
  <si>
    <t>M20-9980346</t>
  </si>
  <si>
    <t>Samtec</t>
  </si>
  <si>
    <t>TSM-104-02-T-DV</t>
  </si>
  <si>
    <t>TE</t>
  </si>
  <si>
    <t>282834-2</t>
  </si>
  <si>
    <t>Littlefuse</t>
  </si>
  <si>
    <t>0154004.DRT</t>
  </si>
  <si>
    <t>0452004.NRL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</si>
</sst>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Border="0"/>
  </cellStyleXfs>
  <cellXfs count="16">
    <xf numFmtId="0" fontId="0" fillId="0" borderId="0" xfId="0"/>
    <xf numFmtId="0" fontId="4" fillId="0" borderId="0" xfId="2" applyNumberFormat="1" applyFill="1" applyAlignment="1" applyProtection="1"/>
    <xf numFmtId="0" fontId="4" fillId="0" borderId="0" xfId="2" applyNumberFormat="1" applyFill="1" applyAlignment="1" applyProtection="1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1" fillId="2" borderId="1" xfId="0" applyFont="1" applyFill="1" applyBorder="1"/>
    <xf numFmtId="0" fontId="3" fillId="0" borderId="1" xfId="1" applyBorder="1"/>
    <xf numFmtId="0" fontId="0" fillId="0" borderId="1" xfId="0" applyFill="1" applyBorder="1"/>
    <xf numFmtId="0" fontId="5" fillId="0" borderId="1" xfId="1" applyFont="1" applyBorder="1"/>
    <xf numFmtId="0" fontId="3" fillId="0" borderId="1" xfId="1" applyFill="1" applyBorder="1"/>
    <xf numFmtId="0" fontId="0" fillId="2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2" fontId="0" fillId="0" borderId="0" xfId="0" applyNumberFormat="1" applyBorder="1"/>
  </cellXfs>
  <cellStyles count="3">
    <cellStyle name="Hyperlink" xfId="1" builtinId="8"/>
    <cellStyle name="Standaard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zoomScale="70" zoomScaleNormal="70" workbookViewId="0">
      <selection activeCell="O43" sqref="O43"/>
    </sheetView>
  </sheetViews>
  <sheetFormatPr defaultRowHeight="14.4" x14ac:dyDescent="0.3"/>
  <cols>
    <col min="1" max="1" width="19.77734375" bestFit="1" customWidth="1"/>
    <col min="2" max="2" width="17.88671875" bestFit="1" customWidth="1"/>
    <col min="3" max="3" width="26.21875" bestFit="1" customWidth="1"/>
    <col min="4" max="4" width="21.33203125" bestFit="1" customWidth="1"/>
    <col min="5" max="5" width="7.44140625" bestFit="1" customWidth="1"/>
    <col min="6" max="6" width="9.6640625" bestFit="1" customWidth="1"/>
    <col min="7" max="7" width="9.33203125" bestFit="1" customWidth="1"/>
    <col min="8" max="8" width="19.109375" bestFit="1" customWidth="1"/>
    <col min="10" max="10" width="21.5546875" bestFit="1" customWidth="1"/>
    <col min="11" max="11" width="22.5546875" bestFit="1" customWidth="1"/>
    <col min="14" max="14" width="16.77734375" bestFit="1" customWidth="1"/>
    <col min="18" max="18" width="18.88671875" customWidth="1"/>
    <col min="21" max="21" width="7.21875" bestFit="1" customWidth="1"/>
  </cols>
  <sheetData>
    <row r="1" spans="1:19" x14ac:dyDescent="0.3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9" x14ac:dyDescent="0.3">
      <c r="A2" s="3"/>
      <c r="B2" s="3"/>
      <c r="C2" s="3"/>
      <c r="D2" s="3"/>
      <c r="E2" s="3"/>
      <c r="F2" s="3" t="s">
        <v>0</v>
      </c>
      <c r="G2" s="15">
        <f>SUM(G6:G135)</f>
        <v>33.364100000000001</v>
      </c>
      <c r="H2" s="3"/>
      <c r="I2" s="3"/>
      <c r="J2" s="3"/>
      <c r="K2" s="3"/>
      <c r="L2" s="3"/>
    </row>
    <row r="3" spans="1:1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9" x14ac:dyDescent="0.3">
      <c r="A4" s="5" t="s">
        <v>11</v>
      </c>
      <c r="B4" s="5" t="s">
        <v>12</v>
      </c>
      <c r="C4" s="5" t="s">
        <v>152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</row>
    <row r="5" spans="1:19" x14ac:dyDescent="0.3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N5" s="2"/>
      <c r="O5" s="2"/>
    </row>
    <row r="6" spans="1:19" x14ac:dyDescent="0.3">
      <c r="A6" s="5" t="s">
        <v>81</v>
      </c>
      <c r="B6" s="5" t="s">
        <v>48</v>
      </c>
      <c r="C6" s="5"/>
      <c r="D6" s="5" t="s">
        <v>123</v>
      </c>
      <c r="E6" s="5">
        <v>2</v>
      </c>
      <c r="F6" s="5">
        <v>1.26E-2</v>
      </c>
      <c r="G6" s="5">
        <f>E13*F6</f>
        <v>1.26E-2</v>
      </c>
      <c r="H6" s="5" t="s">
        <v>76</v>
      </c>
      <c r="I6" s="5" t="s">
        <v>19</v>
      </c>
      <c r="J6" s="5">
        <v>9238379</v>
      </c>
      <c r="K6" s="5" t="s">
        <v>85</v>
      </c>
      <c r="L6" s="7" t="str">
        <f>HYPERLINK("http://nl.farnell.com/yageo-phycomp/rc0603fr-07120rl/res-thick-film-120r-1-0-1w-0603/dp/9238379", "Link")</f>
        <v>Link</v>
      </c>
      <c r="N6" s="2"/>
      <c r="O6" s="2" t="str">
        <f>""</f>
        <v/>
      </c>
    </row>
    <row r="7" spans="1:19" x14ac:dyDescent="0.3">
      <c r="A7" s="5" t="s">
        <v>81</v>
      </c>
      <c r="B7" s="5" t="s">
        <v>110</v>
      </c>
      <c r="C7" s="5"/>
      <c r="D7" s="5" t="s">
        <v>124</v>
      </c>
      <c r="E7" s="5">
        <v>3</v>
      </c>
      <c r="F7" s="5">
        <v>1.03E-2</v>
      </c>
      <c r="G7" s="5">
        <f t="shared" ref="G7:G8" si="0">E7*F7</f>
        <v>3.09E-2</v>
      </c>
      <c r="H7" s="5" t="s">
        <v>138</v>
      </c>
      <c r="I7" s="5" t="s">
        <v>19</v>
      </c>
      <c r="J7" s="8">
        <v>2078902</v>
      </c>
      <c r="K7" s="5" t="s">
        <v>139</v>
      </c>
      <c r="L7" s="9" t="str">
        <f>HYPERLINK("http://nl.farnell.com/welwyn/asc0603-150rft5/res-thick-film-150r-1-0-1w-0603/dp/2078902", "Link")</f>
        <v>Link</v>
      </c>
      <c r="N7" s="2"/>
      <c r="O7" s="2"/>
    </row>
    <row r="8" spans="1:19" x14ac:dyDescent="0.3">
      <c r="A8" s="5" t="s">
        <v>81</v>
      </c>
      <c r="B8" s="5" t="s">
        <v>41</v>
      </c>
      <c r="C8" s="5" t="s">
        <v>83</v>
      </c>
      <c r="D8" s="5" t="s">
        <v>125</v>
      </c>
      <c r="E8" s="5">
        <v>5</v>
      </c>
      <c r="F8" s="5">
        <v>0.01</v>
      </c>
      <c r="G8" s="5">
        <f t="shared" si="0"/>
        <v>0.05</v>
      </c>
      <c r="H8" s="5" t="s">
        <v>22</v>
      </c>
      <c r="I8" s="5" t="s">
        <v>19</v>
      </c>
      <c r="J8" s="5">
        <v>2502439</v>
      </c>
      <c r="K8" s="5" t="s">
        <v>86</v>
      </c>
      <c r="L8" s="7" t="str">
        <f>HYPERLINK("http://nl.farnell.com/walsin/wr06x2701ftl/resistor-thick-film-2k7-1-75v/dp/2502439", "Link")</f>
        <v>Link</v>
      </c>
      <c r="N8" s="2"/>
      <c r="O8" s="2"/>
    </row>
    <row r="9" spans="1:19" x14ac:dyDescent="0.3">
      <c r="A9" s="5" t="s">
        <v>81</v>
      </c>
      <c r="B9" s="5" t="s">
        <v>42</v>
      </c>
      <c r="C9" s="5" t="s">
        <v>84</v>
      </c>
      <c r="D9" s="5" t="s">
        <v>105</v>
      </c>
      <c r="E9" s="5">
        <v>1</v>
      </c>
      <c r="F9" s="5">
        <v>3.8E-3</v>
      </c>
      <c r="G9" s="5">
        <f>E9*F9</f>
        <v>3.8E-3</v>
      </c>
      <c r="H9" s="5" t="s">
        <v>87</v>
      </c>
      <c r="I9" s="5" t="s">
        <v>19</v>
      </c>
      <c r="J9" s="5">
        <v>2447230</v>
      </c>
      <c r="K9" s="5" t="s">
        <v>88</v>
      </c>
      <c r="L9" s="7" t="str">
        <f>HYPERLINK("http://nl.farnell.com/multicomp/mcwr06x1002ftl/res-thick-film-10k-1-0-1w-0603/dp/2447230", "Link")</f>
        <v>Link</v>
      </c>
      <c r="N9" s="2"/>
      <c r="O9" s="2"/>
    </row>
    <row r="10" spans="1:19" s="4" customFormat="1" x14ac:dyDescent="0.3">
      <c r="A10" s="8" t="s">
        <v>81</v>
      </c>
      <c r="B10" s="8" t="s">
        <v>92</v>
      </c>
      <c r="C10" s="8"/>
      <c r="D10" s="8" t="s">
        <v>93</v>
      </c>
      <c r="E10" s="8">
        <v>1</v>
      </c>
      <c r="F10" s="8">
        <v>3.5000000000000001E-3</v>
      </c>
      <c r="G10" s="8">
        <f t="shared" ref="G10:G14" si="1">E10*F10</f>
        <v>3.5000000000000001E-3</v>
      </c>
      <c r="H10" s="8" t="s">
        <v>87</v>
      </c>
      <c r="I10" s="8" t="s">
        <v>19</v>
      </c>
      <c r="J10" s="8">
        <v>2447263</v>
      </c>
      <c r="K10" s="8" t="s">
        <v>144</v>
      </c>
      <c r="L10" s="10" t="str">
        <f>HYPERLINK("http://nl.farnell.com/multicomp/mcwr06x1692ftl/res-thick-film-16-9kohm-1-0-1w/dp/2447263", "Link")</f>
        <v>Link</v>
      </c>
      <c r="M10"/>
      <c r="N10" s="2"/>
      <c r="O10" s="2"/>
    </row>
    <row r="11" spans="1:19" s="4" customFormat="1" x14ac:dyDescent="0.3">
      <c r="A11" s="5" t="s">
        <v>81</v>
      </c>
      <c r="B11" s="8" t="s">
        <v>106</v>
      </c>
      <c r="C11" s="8"/>
      <c r="D11" s="8" t="s">
        <v>107</v>
      </c>
      <c r="E11" s="8">
        <v>1</v>
      </c>
      <c r="F11" s="8">
        <v>3.2000000000000002E-3</v>
      </c>
      <c r="G11" s="8">
        <f>E11*F12</f>
        <v>3.2000000000000002E-3</v>
      </c>
      <c r="H11" s="8" t="s">
        <v>87</v>
      </c>
      <c r="I11" s="8" t="s">
        <v>19</v>
      </c>
      <c r="J11" s="8">
        <v>2447299</v>
      </c>
      <c r="K11" s="8" t="s">
        <v>145</v>
      </c>
      <c r="L11" s="10" t="str">
        <f>HYPERLINK("http://nl.farnell.com/multicomp/mcwr06x2202ftl/res-thick-film-22kohm-1-0-1w/dp/2447299", "Link")</f>
        <v>Link</v>
      </c>
      <c r="M11"/>
      <c r="N11" s="2"/>
      <c r="O11" s="2"/>
    </row>
    <row r="12" spans="1:19" s="4" customFormat="1" x14ac:dyDescent="0.3">
      <c r="A12" s="5" t="s">
        <v>81</v>
      </c>
      <c r="B12" s="8" t="s">
        <v>120</v>
      </c>
      <c r="C12" s="8"/>
      <c r="D12" s="8" t="s">
        <v>121</v>
      </c>
      <c r="E12" s="8">
        <v>1</v>
      </c>
      <c r="F12" s="8">
        <v>3.2000000000000002E-3</v>
      </c>
      <c r="G12" s="8">
        <f>E12*F13</f>
        <v>3.5000000000000001E-3</v>
      </c>
      <c r="H12" s="8" t="s">
        <v>87</v>
      </c>
      <c r="I12" s="8" t="s">
        <v>19</v>
      </c>
      <c r="J12" s="8">
        <v>2447376</v>
      </c>
      <c r="K12" s="8" t="s">
        <v>146</v>
      </c>
      <c r="L12" s="10" t="str">
        <f>HYPERLINK("http://nl.farnell.com/multicomp/mcwr06x4702ftl/res-thick-film-47kohm-1-0-1w/dp/2447376", "Link")</f>
        <v>Link</v>
      </c>
      <c r="M12"/>
      <c r="N12" s="2"/>
      <c r="O12" s="2"/>
    </row>
    <row r="13" spans="1:19" s="4" customFormat="1" x14ac:dyDescent="0.3">
      <c r="A13" s="5" t="s">
        <v>81</v>
      </c>
      <c r="B13" s="8" t="s">
        <v>118</v>
      </c>
      <c r="C13" s="8"/>
      <c r="D13" s="8" t="s">
        <v>119</v>
      </c>
      <c r="E13" s="8">
        <v>1</v>
      </c>
      <c r="F13" s="8">
        <v>3.5000000000000001E-3</v>
      </c>
      <c r="G13" s="8">
        <f t="shared" si="1"/>
        <v>3.5000000000000001E-3</v>
      </c>
      <c r="H13" s="8" t="s">
        <v>87</v>
      </c>
      <c r="I13" s="8" t="s">
        <v>19</v>
      </c>
      <c r="J13" s="8">
        <v>2447420</v>
      </c>
      <c r="K13" s="8" t="s">
        <v>147</v>
      </c>
      <c r="L13" s="10" t="str">
        <f>HYPERLINK("http://nl.farnell.com/multicomp/mcwr06x6802ftl/res-thick-film-68kohm-1-0-1w/dp/2447420", "Link")</f>
        <v>Link</v>
      </c>
      <c r="M13"/>
      <c r="N13" s="2"/>
      <c r="O13" s="2"/>
    </row>
    <row r="14" spans="1:19" s="4" customFormat="1" x14ac:dyDescent="0.3">
      <c r="A14" s="5" t="s">
        <v>81</v>
      </c>
      <c r="B14" s="8" t="s">
        <v>103</v>
      </c>
      <c r="C14" s="8"/>
      <c r="D14" s="8" t="s">
        <v>104</v>
      </c>
      <c r="E14" s="8">
        <v>1</v>
      </c>
      <c r="F14" s="8">
        <v>4.0000000000000001E-3</v>
      </c>
      <c r="G14" s="8">
        <f t="shared" si="1"/>
        <v>4.0000000000000001E-3</v>
      </c>
      <c r="H14" s="8" t="s">
        <v>87</v>
      </c>
      <c r="I14" s="8" t="s">
        <v>19</v>
      </c>
      <c r="J14" s="8">
        <v>2447338</v>
      </c>
      <c r="K14" s="8" t="s">
        <v>148</v>
      </c>
      <c r="L14" s="10" t="str">
        <f>HYPERLINK("http://nl.farnell.com/multicomp/mcwr06x3303ftl/res-thick-film-330kohm-1-0-1w/dp/2447338", "Link")</f>
        <v>Link</v>
      </c>
      <c r="M14"/>
      <c r="N14" s="2"/>
      <c r="O14" s="2"/>
    </row>
    <row r="15" spans="1:19" x14ac:dyDescent="0.3">
      <c r="A15" s="8" t="s">
        <v>81</v>
      </c>
      <c r="B15" s="5" t="s">
        <v>45</v>
      </c>
      <c r="C15" s="5" t="s">
        <v>29</v>
      </c>
      <c r="D15" s="5" t="s">
        <v>98</v>
      </c>
      <c r="E15" s="5">
        <v>1</v>
      </c>
      <c r="F15" s="5">
        <v>7.9000000000000008E-3</v>
      </c>
      <c r="G15" s="5">
        <f>E15*F15</f>
        <v>7.9000000000000008E-3</v>
      </c>
      <c r="H15" s="5" t="s">
        <v>76</v>
      </c>
      <c r="I15" s="5" t="s">
        <v>19</v>
      </c>
      <c r="J15" s="5">
        <v>9238727</v>
      </c>
      <c r="K15" s="5" t="s">
        <v>80</v>
      </c>
      <c r="L15" s="7" t="str">
        <f>HYPERLINK("http://nl.farnell.com/yageo-phycomp/rc0603fr-07100kl/res-thick-film-100k-1-0-1w-0603/dp/9238727", "Link")</f>
        <v>Link</v>
      </c>
      <c r="N15" s="2"/>
      <c r="O15" s="2"/>
      <c r="R15" s="2"/>
      <c r="S15" s="2"/>
    </row>
    <row r="16" spans="1:19" x14ac:dyDescent="0.3">
      <c r="A16" s="8" t="s">
        <v>81</v>
      </c>
      <c r="B16" s="5" t="s">
        <v>115</v>
      </c>
      <c r="C16" s="5"/>
      <c r="D16" s="5" t="s">
        <v>126</v>
      </c>
      <c r="E16" s="5">
        <v>4</v>
      </c>
      <c r="F16" s="5">
        <v>1.2999999999999999E-3</v>
      </c>
      <c r="G16" s="5">
        <f>E16*F16</f>
        <v>5.1999999999999998E-3</v>
      </c>
      <c r="H16" s="5" t="s">
        <v>87</v>
      </c>
      <c r="I16" s="5" t="s">
        <v>19</v>
      </c>
      <c r="J16" s="8">
        <v>9330410</v>
      </c>
      <c r="K16" s="5" t="s">
        <v>140</v>
      </c>
      <c r="L16" s="9" t="str">
        <f>HYPERLINK("http://nl.farnell.com/multicomp/mc0063w060311m/res-thick-film-1m-1-0-063w-0603/dp/9330410", "Link")</f>
        <v>Link</v>
      </c>
      <c r="N16" s="2"/>
      <c r="O16" s="2"/>
    </row>
    <row r="17" spans="1:22" x14ac:dyDescent="0.3">
      <c r="A17" s="6" t="s">
        <v>15</v>
      </c>
      <c r="B17" s="6"/>
      <c r="C17" s="6"/>
      <c r="D17" s="6"/>
      <c r="E17" s="6"/>
      <c r="F17" s="6"/>
      <c r="G17" s="11"/>
      <c r="H17" s="6"/>
      <c r="I17" s="6"/>
      <c r="J17" s="6"/>
      <c r="K17" s="6"/>
      <c r="L17" s="6"/>
      <c r="N17" s="2"/>
      <c r="O17" s="2"/>
    </row>
    <row r="18" spans="1:22" x14ac:dyDescent="0.3">
      <c r="A18" s="5" t="s">
        <v>20</v>
      </c>
      <c r="B18" s="5" t="s">
        <v>14</v>
      </c>
      <c r="C18" s="5" t="s">
        <v>79</v>
      </c>
      <c r="D18" s="5" t="s">
        <v>128</v>
      </c>
      <c r="E18" s="5">
        <v>2</v>
      </c>
      <c r="F18" s="5">
        <v>2.5100000000000001E-2</v>
      </c>
      <c r="G18" s="5">
        <f t="shared" ref="G18" si="2">E18*F18</f>
        <v>5.0200000000000002E-2</v>
      </c>
      <c r="H18" s="5" t="s">
        <v>74</v>
      </c>
      <c r="I18" s="5" t="s">
        <v>19</v>
      </c>
      <c r="J18" s="8">
        <v>9527699</v>
      </c>
      <c r="K18" s="5" t="s">
        <v>141</v>
      </c>
      <c r="L18" s="9" t="str">
        <f>HYPERLINK("http://nl.farnell.com/murata/grm188r60j105ka01d/cap-mlcc-x5r-1uf-6-3v-0603/dp/9527699", "Link")</f>
        <v>Link</v>
      </c>
      <c r="N18" s="2"/>
      <c r="O18" s="2"/>
    </row>
    <row r="19" spans="1:22" ht="43.2" x14ac:dyDescent="0.3">
      <c r="A19" s="12" t="s">
        <v>20</v>
      </c>
      <c r="B19" s="12" t="s">
        <v>21</v>
      </c>
      <c r="C19" s="12" t="s">
        <v>82</v>
      </c>
      <c r="D19" s="13" t="s">
        <v>127</v>
      </c>
      <c r="E19" s="12">
        <v>11</v>
      </c>
      <c r="F19" s="12">
        <v>1.29E-2</v>
      </c>
      <c r="G19" s="5">
        <f t="shared" ref="G19:G46" si="3">E19*F19</f>
        <v>0.1419</v>
      </c>
      <c r="H19" s="12" t="s">
        <v>22</v>
      </c>
      <c r="I19" s="12" t="s">
        <v>19</v>
      </c>
      <c r="J19" s="12">
        <v>2496833</v>
      </c>
      <c r="K19" s="12" t="s">
        <v>23</v>
      </c>
      <c r="L19" s="7" t="str">
        <f>HYPERLINK("http://nl.farnell.com/walsin/0603b104k250ct/capacitor-mlcc-x7r-0-1uf-25v-0603/dp/2496833", "Link")</f>
        <v>Link</v>
      </c>
      <c r="N19" s="2"/>
      <c r="O19" s="2"/>
    </row>
    <row r="20" spans="1:22" x14ac:dyDescent="0.3">
      <c r="A20" s="12" t="s">
        <v>20</v>
      </c>
      <c r="B20" s="12" t="s">
        <v>46</v>
      </c>
      <c r="C20" s="12" t="s">
        <v>29</v>
      </c>
      <c r="D20" s="12" t="s">
        <v>95</v>
      </c>
      <c r="E20" s="12">
        <v>1</v>
      </c>
      <c r="F20" s="12">
        <v>9.8599999999999993E-2</v>
      </c>
      <c r="G20" s="5">
        <f t="shared" si="3"/>
        <v>9.8599999999999993E-2</v>
      </c>
      <c r="H20" s="12" t="s">
        <v>74</v>
      </c>
      <c r="I20" s="12" t="s">
        <v>19</v>
      </c>
      <c r="J20" s="12">
        <v>2611926</v>
      </c>
      <c r="K20" s="12" t="s">
        <v>75</v>
      </c>
      <c r="L20" s="7" t="str">
        <f>HYPERLINK("http://nl.farnell.com/murata/grm188r6ya225ka12d/cap-mlcc-x5r-2-2uf-35v-0603/dp/2611926", "Link")</f>
        <v>Link</v>
      </c>
      <c r="N20" s="2"/>
      <c r="O20" s="2"/>
    </row>
    <row r="21" spans="1:22" x14ac:dyDescent="0.3">
      <c r="A21" s="12" t="s">
        <v>77</v>
      </c>
      <c r="B21" s="12" t="s">
        <v>47</v>
      </c>
      <c r="C21" s="12" t="s">
        <v>29</v>
      </c>
      <c r="D21" s="12" t="s">
        <v>97</v>
      </c>
      <c r="E21" s="12">
        <v>1</v>
      </c>
      <c r="F21" s="12">
        <v>0.28100000000000003</v>
      </c>
      <c r="G21" s="5">
        <f t="shared" si="3"/>
        <v>0.28100000000000003</v>
      </c>
      <c r="H21" s="12" t="s">
        <v>76</v>
      </c>
      <c r="I21" s="12" t="s">
        <v>19</v>
      </c>
      <c r="J21" s="12">
        <v>1458914</v>
      </c>
      <c r="K21" s="12" t="s">
        <v>78</v>
      </c>
      <c r="L21" s="7" t="str">
        <f>HYPERLINK("http://nl.farnell.com/yageo-phycomp/cc1206kkx5r5bb226/cap-mlcc-x5r-22uf-6-3v-1206/dp/1458914", "Link")</f>
        <v>Link</v>
      </c>
      <c r="N21" s="2"/>
      <c r="O21" s="2"/>
    </row>
    <row r="22" spans="1:22" s="4" customFormat="1" x14ac:dyDescent="0.3">
      <c r="A22" s="12" t="s">
        <v>20</v>
      </c>
      <c r="B22" s="12" t="s">
        <v>102</v>
      </c>
      <c r="C22" s="12"/>
      <c r="D22" s="8" t="s">
        <v>129</v>
      </c>
      <c r="E22" s="12">
        <v>2</v>
      </c>
      <c r="F22" s="12">
        <v>5.8999999999999999E-3</v>
      </c>
      <c r="G22" s="8">
        <f t="shared" si="3"/>
        <v>1.18E-2</v>
      </c>
      <c r="H22" s="12" t="s">
        <v>87</v>
      </c>
      <c r="I22" s="12" t="s">
        <v>19</v>
      </c>
      <c r="J22" s="12">
        <v>2627426</v>
      </c>
      <c r="K22" s="12" t="s">
        <v>149</v>
      </c>
      <c r="L22" s="10" t="str">
        <f>HYPERLINK("http://nl.farnell.com/multicomp/mc0603b102k250ct/cap-mlcc-x7r-1000pf-25v-0603/dp/2627426", "Link")</f>
        <v>Link</v>
      </c>
      <c r="M22"/>
      <c r="N22" s="2"/>
      <c r="O22" s="2"/>
    </row>
    <row r="23" spans="1:22" s="4" customFormat="1" x14ac:dyDescent="0.3">
      <c r="A23" s="12" t="s">
        <v>150</v>
      </c>
      <c r="B23" s="12" t="s">
        <v>47</v>
      </c>
      <c r="C23" s="12"/>
      <c r="D23" s="8" t="s">
        <v>91</v>
      </c>
      <c r="E23" s="12">
        <v>1</v>
      </c>
      <c r="F23" s="12">
        <v>1.4E-2</v>
      </c>
      <c r="G23" s="8">
        <f t="shared" si="3"/>
        <v>1.4E-2</v>
      </c>
      <c r="H23" s="12" t="s">
        <v>87</v>
      </c>
      <c r="I23" s="12" t="s">
        <v>19</v>
      </c>
      <c r="J23" s="12">
        <v>2611332</v>
      </c>
      <c r="K23" s="12" t="s">
        <v>151</v>
      </c>
      <c r="L23" s="10" t="str">
        <f>HYPERLINK("http://nl.farnell.com/multicomp/mcvkz016m220da1l/cap-alu-elec-22uf-16v-rad-can/dp/2611332", "Link")</f>
        <v>Link</v>
      </c>
      <c r="M23"/>
      <c r="N23" s="2"/>
      <c r="O23" s="2"/>
    </row>
    <row r="24" spans="1:22" x14ac:dyDescent="0.3">
      <c r="A24" s="6" t="s">
        <v>27</v>
      </c>
      <c r="B24" s="6"/>
      <c r="C24" s="6"/>
      <c r="D24" s="6"/>
      <c r="E24" s="6"/>
      <c r="F24" s="6"/>
      <c r="G24" s="11"/>
      <c r="H24" s="6"/>
      <c r="I24" s="6"/>
      <c r="J24" s="6"/>
      <c r="K24" s="6"/>
      <c r="L24" s="6"/>
      <c r="N24" s="2"/>
      <c r="O24" s="2"/>
    </row>
    <row r="25" spans="1:22" x14ac:dyDescent="0.3">
      <c r="A25" s="5" t="s">
        <v>35</v>
      </c>
      <c r="B25" s="5" t="s">
        <v>34</v>
      </c>
      <c r="C25" s="5" t="s">
        <v>155</v>
      </c>
      <c r="D25" s="5" t="s">
        <v>130</v>
      </c>
      <c r="E25" s="5">
        <v>2</v>
      </c>
      <c r="F25" s="5">
        <v>4.4400000000000002E-2</v>
      </c>
      <c r="G25" s="5">
        <f t="shared" si="3"/>
        <v>8.8800000000000004E-2</v>
      </c>
      <c r="H25" s="14" t="s">
        <v>154</v>
      </c>
      <c r="I25" s="14" t="s">
        <v>19</v>
      </c>
      <c r="J25" s="14">
        <v>2426215</v>
      </c>
      <c r="K25" s="14" t="s">
        <v>34</v>
      </c>
      <c r="L25" s="10" t="str">
        <f>HYPERLINK("http://nl.farnell.com/kingbright/kph-1608sgc/led-green-12mcd-568nm-smd/dp/2426215", "Link")</f>
        <v>Link</v>
      </c>
      <c r="N25" s="2"/>
      <c r="O25" s="2"/>
    </row>
    <row r="26" spans="1:22" s="4" customFormat="1" x14ac:dyDescent="0.3">
      <c r="A26" s="12" t="s">
        <v>73</v>
      </c>
      <c r="B26" s="12" t="s">
        <v>153</v>
      </c>
      <c r="C26" s="12" t="s">
        <v>52</v>
      </c>
      <c r="D26" s="12" t="s">
        <v>113</v>
      </c>
      <c r="E26" s="12">
        <v>1</v>
      </c>
      <c r="F26" s="12">
        <v>2.3599999999999999E-2</v>
      </c>
      <c r="G26" s="8">
        <f t="shared" si="3"/>
        <v>2.3599999999999999E-2</v>
      </c>
      <c r="H26" s="12" t="s">
        <v>142</v>
      </c>
      <c r="I26" s="12" t="s">
        <v>19</v>
      </c>
      <c r="J26" s="12">
        <v>2341919</v>
      </c>
      <c r="K26" s="12" t="s">
        <v>153</v>
      </c>
      <c r="L26" s="10" t="str">
        <f>HYPERLINK("http://nl.farnell.com/bourns/cdsod323-t08/diode-array-tvs-350w-8v-sod-323/dp/2341919", "Link")</f>
        <v>Link</v>
      </c>
      <c r="M26"/>
      <c r="N26" s="2"/>
      <c r="O26" s="2"/>
    </row>
    <row r="27" spans="1:22" s="4" customFormat="1" x14ac:dyDescent="0.3">
      <c r="A27" s="12" t="s">
        <v>131</v>
      </c>
      <c r="B27" s="12" t="s">
        <v>163</v>
      </c>
      <c r="C27" s="12"/>
      <c r="D27" s="12" t="s">
        <v>122</v>
      </c>
      <c r="E27" s="12">
        <v>1</v>
      </c>
      <c r="F27" s="12">
        <v>6.1100000000000002E-2</v>
      </c>
      <c r="G27" s="8">
        <f t="shared" si="3"/>
        <v>6.1100000000000002E-2</v>
      </c>
      <c r="H27" s="12" t="s">
        <v>164</v>
      </c>
      <c r="I27" s="12" t="s">
        <v>19</v>
      </c>
      <c r="J27" s="12">
        <v>2454044</v>
      </c>
      <c r="K27" s="12" t="s">
        <v>163</v>
      </c>
      <c r="L27" s="10" t="str">
        <f>HYPERLINK("http://nl.farnell.com/fairchild-semiconductor/mmsz4684/zener-diode-0-5w-3-3v-sod-123/dp/2454044", "Link")</f>
        <v>Link</v>
      </c>
      <c r="M27"/>
      <c r="N27" s="2"/>
      <c r="O27" s="2"/>
      <c r="U27" s="2"/>
      <c r="V27" s="2"/>
    </row>
    <row r="28" spans="1:22" x14ac:dyDescent="0.3">
      <c r="A28" s="6" t="s">
        <v>26</v>
      </c>
      <c r="B28" s="6"/>
      <c r="C28" s="6"/>
      <c r="D28" s="6"/>
      <c r="E28" s="6"/>
      <c r="F28" s="6"/>
      <c r="G28" s="11"/>
      <c r="H28" s="6"/>
      <c r="I28" s="6"/>
      <c r="J28" s="6"/>
      <c r="K28" s="6"/>
      <c r="L28" s="6"/>
      <c r="N28" s="2"/>
      <c r="O28" s="2"/>
      <c r="R28" s="2"/>
      <c r="S28" s="2"/>
      <c r="U28" s="2"/>
      <c r="V28" s="2"/>
    </row>
    <row r="29" spans="1:22" x14ac:dyDescent="0.3">
      <c r="A29" s="5" t="s">
        <v>39</v>
      </c>
      <c r="B29" s="5" t="s">
        <v>28</v>
      </c>
      <c r="C29" s="5" t="s">
        <v>29</v>
      </c>
      <c r="D29" s="5" t="s">
        <v>96</v>
      </c>
      <c r="E29" s="5">
        <v>1</v>
      </c>
      <c r="F29" s="5">
        <v>0.59399999999999997</v>
      </c>
      <c r="G29" s="5">
        <f t="shared" si="3"/>
        <v>0.59399999999999997</v>
      </c>
      <c r="H29" s="14" t="s">
        <v>37</v>
      </c>
      <c r="I29" s="14" t="s">
        <v>33</v>
      </c>
      <c r="J29" s="14" t="s">
        <v>38</v>
      </c>
      <c r="K29" s="14" t="s">
        <v>36</v>
      </c>
      <c r="L29" s="7" t="str">
        <f>HYPERLINK("http://nl.mouser.com/ProductDetail/Vishay/IFSC1515AHER100M01/?qs=%2fha2pyFadugz0snpEketY6DCHJ264XajieE0hVLEkvys2qSgl8kjUA%3d%3d", "Link")</f>
        <v>Link</v>
      </c>
      <c r="N29" s="2"/>
      <c r="R29" s="2"/>
      <c r="S29" s="2"/>
    </row>
    <row r="30" spans="1:22" x14ac:dyDescent="0.3">
      <c r="A30" s="6" t="s">
        <v>16</v>
      </c>
      <c r="B30" s="6"/>
      <c r="C30" s="6"/>
      <c r="D30" s="6"/>
      <c r="E30" s="6"/>
      <c r="F30" s="6"/>
      <c r="G30" s="11"/>
      <c r="H30" s="6"/>
      <c r="I30" s="6"/>
      <c r="J30" s="6"/>
      <c r="K30" s="6"/>
      <c r="L30" s="6"/>
      <c r="N30" s="2"/>
      <c r="R30" s="2"/>
      <c r="S30" s="2"/>
    </row>
    <row r="31" spans="1:22" s="4" customFormat="1" x14ac:dyDescent="0.3">
      <c r="A31" s="8" t="s">
        <v>89</v>
      </c>
      <c r="B31" s="8" t="s">
        <v>17</v>
      </c>
      <c r="C31" s="8" t="s">
        <v>18</v>
      </c>
      <c r="D31" s="8" t="s">
        <v>90</v>
      </c>
      <c r="E31" s="8">
        <v>1</v>
      </c>
      <c r="F31" s="8">
        <v>2.7</v>
      </c>
      <c r="G31" s="8">
        <f t="shared" si="3"/>
        <v>2.7</v>
      </c>
      <c r="H31" s="12" t="s">
        <v>61</v>
      </c>
      <c r="I31" s="12" t="s">
        <v>33</v>
      </c>
      <c r="J31" s="12" t="s">
        <v>157</v>
      </c>
      <c r="K31" s="12" t="s">
        <v>156</v>
      </c>
      <c r="L31" s="10" t="str">
        <f>HYPERLINK("http://nl.mouser.com/ProductDetail/Texas-Instruments/DRV8871DDAR/?qs=sGAEpiMZZMtzPgOfznR9QUFfrcz0U2V7AjsmiCubAkY%3d", "Link")</f>
        <v>Link</v>
      </c>
      <c r="M31"/>
      <c r="N31" s="2"/>
      <c r="O31" s="2"/>
      <c r="R31" s="2"/>
      <c r="S31" s="2"/>
    </row>
    <row r="32" spans="1:22" x14ac:dyDescent="0.3">
      <c r="A32" s="14" t="s">
        <v>30</v>
      </c>
      <c r="B32" s="14" t="s">
        <v>24</v>
      </c>
      <c r="C32" s="14" t="s">
        <v>31</v>
      </c>
      <c r="D32" s="14" t="s">
        <v>99</v>
      </c>
      <c r="E32" s="14">
        <v>1</v>
      </c>
      <c r="F32" s="14">
        <v>0.97099999999999997</v>
      </c>
      <c r="G32" s="5">
        <f t="shared" si="3"/>
        <v>0.97099999999999997</v>
      </c>
      <c r="H32" s="14" t="s">
        <v>64</v>
      </c>
      <c r="I32" s="14" t="s">
        <v>33</v>
      </c>
      <c r="J32" s="14" t="s">
        <v>65</v>
      </c>
      <c r="K32" s="14" t="s">
        <v>66</v>
      </c>
      <c r="L32" s="7" t="str">
        <f>HYPERLINK("http://nl.mouser.com/ProductDetail/Honeywell/SM451R/?qs=sGAEpiMZZMvdy8WAlGWLcIQyJBoCj%2f7XCwyLvT9RCTw%3d", "Link")</f>
        <v>Link</v>
      </c>
      <c r="N32" s="2"/>
      <c r="O32" s="2"/>
      <c r="R32" s="2"/>
      <c r="S32" s="2"/>
    </row>
    <row r="33" spans="1:22" x14ac:dyDescent="0.3">
      <c r="A33" s="14" t="s">
        <v>32</v>
      </c>
      <c r="B33" s="14" t="s">
        <v>57</v>
      </c>
      <c r="C33" s="14" t="s">
        <v>31</v>
      </c>
      <c r="D33" s="14" t="s">
        <v>109</v>
      </c>
      <c r="E33" s="14">
        <v>1</v>
      </c>
      <c r="F33" s="14">
        <v>0.60399999999999998</v>
      </c>
      <c r="G33" s="5">
        <f t="shared" si="3"/>
        <v>0.60399999999999998</v>
      </c>
      <c r="H33" s="14" t="s">
        <v>60</v>
      </c>
      <c r="I33" s="14" t="s">
        <v>33</v>
      </c>
      <c r="J33" s="14" t="s">
        <v>59</v>
      </c>
      <c r="K33" s="14" t="s">
        <v>58</v>
      </c>
      <c r="L33" s="7" t="str">
        <f>HYPERLINK("http://nl.mouser.com/ProductDetail/ON-Semiconductor/NCT75DR2G/?qs=%2fha2pyFadugSAifHzno2O8A977duGo0dJ%252bNlC3gFZTw%3d", "Link")</f>
        <v>Link</v>
      </c>
      <c r="N33" s="2"/>
      <c r="O33" s="2"/>
      <c r="R33" s="2"/>
      <c r="S33" s="2"/>
    </row>
    <row r="34" spans="1:22" x14ac:dyDescent="0.3">
      <c r="A34" s="14" t="s">
        <v>44</v>
      </c>
      <c r="B34" s="14" t="s">
        <v>29</v>
      </c>
      <c r="C34" s="14" t="s">
        <v>29</v>
      </c>
      <c r="D34" s="14" t="s">
        <v>94</v>
      </c>
      <c r="E34" s="14">
        <v>1</v>
      </c>
      <c r="F34" s="14">
        <v>1.44</v>
      </c>
      <c r="G34" s="5">
        <f t="shared" si="3"/>
        <v>1.44</v>
      </c>
      <c r="H34" s="14" t="s">
        <v>61</v>
      </c>
      <c r="I34" s="14" t="s">
        <v>33</v>
      </c>
      <c r="J34" s="14" t="s">
        <v>63</v>
      </c>
      <c r="K34" s="14" t="s">
        <v>62</v>
      </c>
      <c r="L34" s="7" t="str">
        <f>HYPERLINK("http://nl.mouser.com/ProductDetail/Texas-Instruments/TPS62177DQCR/?qs=sGAEpiMZZMtitjHzVIkrqbTVlImMLrOQ4w8idv7jOrk%3d", "Link")</f>
        <v>Link</v>
      </c>
      <c r="N34" s="2"/>
      <c r="O34" s="2"/>
      <c r="R34" s="2"/>
      <c r="S34" s="2"/>
    </row>
    <row r="35" spans="1:22" x14ac:dyDescent="0.3">
      <c r="A35" s="14" t="s">
        <v>49</v>
      </c>
      <c r="B35" s="14" t="s">
        <v>55</v>
      </c>
      <c r="C35" s="14" t="s">
        <v>56</v>
      </c>
      <c r="D35" s="14" t="s">
        <v>117</v>
      </c>
      <c r="E35" s="14">
        <v>1</v>
      </c>
      <c r="F35" s="14">
        <v>2.87</v>
      </c>
      <c r="G35" s="5">
        <f t="shared" si="3"/>
        <v>2.87</v>
      </c>
      <c r="H35" s="14" t="s">
        <v>67</v>
      </c>
      <c r="I35" s="14" t="s">
        <v>19</v>
      </c>
      <c r="J35" s="14">
        <v>1748558</v>
      </c>
      <c r="K35" s="14" t="s">
        <v>68</v>
      </c>
      <c r="L35" s="7" t="str">
        <f>HYPERLINK("http://nl.farnell.com/atmel/atxmega32d4-au/mcu-8bit-avr-xmega-32mhz-tqfp/dp/1748558", "Link")</f>
        <v>Link</v>
      </c>
      <c r="N35" s="2"/>
      <c r="O35" s="2"/>
    </row>
    <row r="36" spans="1:22" x14ac:dyDescent="0.3">
      <c r="A36" s="14" t="s">
        <v>40</v>
      </c>
      <c r="B36" s="14" t="s">
        <v>54</v>
      </c>
      <c r="C36" s="14" t="s">
        <v>31</v>
      </c>
      <c r="D36" s="14" t="s">
        <v>108</v>
      </c>
      <c r="E36" s="14">
        <v>2</v>
      </c>
      <c r="F36" s="14">
        <v>1.57</v>
      </c>
      <c r="G36" s="5">
        <f t="shared" si="3"/>
        <v>3.14</v>
      </c>
      <c r="H36" s="14" t="s">
        <v>69</v>
      </c>
      <c r="I36" s="14" t="s">
        <v>19</v>
      </c>
      <c r="J36" s="14">
        <v>2424451</v>
      </c>
      <c r="K36" s="14" t="s">
        <v>70</v>
      </c>
      <c r="L36" s="7" t="str">
        <f>HYPERLINK("http://nl.farnell.com/vishay/tcut1350x01/sensor-optical-3mm-phototransistor/dp/2424451", "Link")</f>
        <v>Link</v>
      </c>
      <c r="N36" s="2"/>
      <c r="O36" s="2"/>
    </row>
    <row r="37" spans="1:22" s="4" customFormat="1" x14ac:dyDescent="0.3">
      <c r="A37" s="12" t="s">
        <v>100</v>
      </c>
      <c r="B37" s="12" t="s">
        <v>160</v>
      </c>
      <c r="C37" s="12" t="s">
        <v>31</v>
      </c>
      <c r="D37" s="12" t="s">
        <v>101</v>
      </c>
      <c r="E37" s="12">
        <v>1</v>
      </c>
      <c r="F37" s="12">
        <v>4.17</v>
      </c>
      <c r="G37" s="8">
        <f t="shared" si="3"/>
        <v>4.17</v>
      </c>
      <c r="H37" s="12" t="s">
        <v>158</v>
      </c>
      <c r="I37" s="12" t="s">
        <v>19</v>
      </c>
      <c r="J37" s="12">
        <v>2057422</v>
      </c>
      <c r="K37" s="12" t="s">
        <v>159</v>
      </c>
      <c r="L37" s="10" t="str">
        <f>HYPERLINK("http://nl.farnell.com/allegro-microsystems/acs710klatr-6bb-t/current-sensor-16soic/dp/2057422", "Link")</f>
        <v>Link</v>
      </c>
      <c r="M37"/>
      <c r="N37" s="2"/>
      <c r="O37" s="2"/>
      <c r="R37" s="2"/>
      <c r="S37" s="2"/>
      <c r="U37" s="2"/>
      <c r="V37" s="2"/>
    </row>
    <row r="38" spans="1:22" x14ac:dyDescent="0.3">
      <c r="A38" s="14" t="s">
        <v>162</v>
      </c>
      <c r="B38" s="14" t="s">
        <v>161</v>
      </c>
      <c r="C38" s="14"/>
      <c r="D38" s="14" t="s">
        <v>132</v>
      </c>
      <c r="E38" s="14">
        <v>2</v>
      </c>
      <c r="F38" s="5">
        <v>1.53</v>
      </c>
      <c r="G38" s="14">
        <f t="shared" si="3"/>
        <v>3.06</v>
      </c>
      <c r="H38" s="5" t="s">
        <v>142</v>
      </c>
      <c r="I38" s="5" t="s">
        <v>19</v>
      </c>
      <c r="J38" s="8">
        <v>1824870</v>
      </c>
      <c r="K38" s="5" t="s">
        <v>143</v>
      </c>
      <c r="L38" s="9" t="str">
        <f>HYPERLINK("http://www.farnell.com/datasheets/1915363.pdf?_ga=1.110976581.1356917053.1479124336", "Link")</f>
        <v>Link</v>
      </c>
      <c r="N38" s="2"/>
      <c r="O38" s="2"/>
      <c r="R38" s="2"/>
      <c r="S38" s="2"/>
      <c r="U38" s="2"/>
      <c r="V38" s="2"/>
    </row>
    <row r="39" spans="1:22" s="4" customFormat="1" x14ac:dyDescent="0.3">
      <c r="A39" s="12" t="s">
        <v>43</v>
      </c>
      <c r="B39" s="8" t="s">
        <v>51</v>
      </c>
      <c r="C39" s="8" t="s">
        <v>52</v>
      </c>
      <c r="D39" s="8" t="s">
        <v>111</v>
      </c>
      <c r="E39" s="12">
        <v>1</v>
      </c>
      <c r="F39" s="12">
        <v>0.91200000000000003</v>
      </c>
      <c r="G39" s="8">
        <f>E39*F39</f>
        <v>0.91200000000000003</v>
      </c>
      <c r="H39" s="12" t="s">
        <v>71</v>
      </c>
      <c r="I39" s="12" t="s">
        <v>19</v>
      </c>
      <c r="J39" s="8">
        <v>2212064</v>
      </c>
      <c r="K39" s="8" t="s">
        <v>72</v>
      </c>
      <c r="L39" s="10" t="str">
        <f>HYPERLINK("http://nl.farnell.com/nxp/pca9517adp/ic-repeater-i2c-bus-8tssop/dp/2212064", "Link")</f>
        <v>Link</v>
      </c>
      <c r="M39"/>
      <c r="N39" s="2"/>
      <c r="O39" s="2"/>
      <c r="R39" s="2"/>
      <c r="S39" s="2"/>
      <c r="U39" s="2"/>
      <c r="V39" s="2"/>
    </row>
    <row r="40" spans="1:22" x14ac:dyDescent="0.3">
      <c r="A40" s="6" t="s">
        <v>25</v>
      </c>
      <c r="B40" s="6"/>
      <c r="C40" s="6"/>
      <c r="D40" s="6"/>
      <c r="E40" s="6"/>
      <c r="F40" s="6"/>
      <c r="G40" s="11"/>
      <c r="H40" s="6"/>
      <c r="I40" s="6"/>
      <c r="J40" s="6"/>
      <c r="K40" s="6"/>
      <c r="L40" s="6"/>
      <c r="N40" s="2"/>
      <c r="R40" s="2"/>
      <c r="S40" s="2"/>
    </row>
    <row r="41" spans="1:22" s="4" customFormat="1" x14ac:dyDescent="0.3">
      <c r="A41" s="8" t="s">
        <v>133</v>
      </c>
      <c r="B41" s="8"/>
      <c r="C41" s="8" t="s">
        <v>52</v>
      </c>
      <c r="D41" s="8" t="s">
        <v>134</v>
      </c>
      <c r="E41" s="12">
        <v>1</v>
      </c>
      <c r="F41" s="8">
        <v>0.16300000000000001</v>
      </c>
      <c r="G41" s="8">
        <f t="shared" si="3"/>
        <v>0.16300000000000001</v>
      </c>
      <c r="H41" s="8" t="s">
        <v>167</v>
      </c>
      <c r="I41" s="8" t="s">
        <v>19</v>
      </c>
      <c r="J41" s="8">
        <v>2356155</v>
      </c>
      <c r="K41" s="8">
        <v>61300411121</v>
      </c>
      <c r="L41" s="10" t="str">
        <f>HYPERLINK("http://nl.farnell.com/wurth-elektronik/61300411121/header-2-54mm-pin-tht-vertical/dp/2356155", "Link")</f>
        <v>Link</v>
      </c>
      <c r="M41"/>
      <c r="N41" s="2"/>
      <c r="R41" s="2"/>
      <c r="S41" s="2"/>
    </row>
    <row r="42" spans="1:22" s="4" customFormat="1" x14ac:dyDescent="0.3">
      <c r="A42" s="8" t="s">
        <v>166</v>
      </c>
      <c r="B42" s="8"/>
      <c r="C42" s="8" t="s">
        <v>52</v>
      </c>
      <c r="D42" s="8" t="s">
        <v>135</v>
      </c>
      <c r="E42" s="12">
        <v>2</v>
      </c>
      <c r="F42" s="8">
        <v>0.93700000000000006</v>
      </c>
      <c r="G42" s="8">
        <f t="shared" si="3"/>
        <v>1.8740000000000001</v>
      </c>
      <c r="H42" s="8" t="s">
        <v>172</v>
      </c>
      <c r="I42" s="8" t="s">
        <v>19</v>
      </c>
      <c r="J42" s="8">
        <v>2112482</v>
      </c>
      <c r="K42" s="8" t="s">
        <v>173</v>
      </c>
      <c r="L42" s="10" t="str">
        <f>HYPERLINK("http://nl.farnell.com/te-connectivity-buchanan/282834-2/terminal-block-wire-to-brd-2pos/dp/2112482", "Link")</f>
        <v>Link</v>
      </c>
      <c r="M42"/>
      <c r="N42" s="2"/>
      <c r="R42" s="2"/>
      <c r="S42" s="2"/>
    </row>
    <row r="43" spans="1:22" s="4" customFormat="1" x14ac:dyDescent="0.3">
      <c r="A43" s="8" t="s">
        <v>50</v>
      </c>
      <c r="B43" s="8"/>
      <c r="C43" s="8" t="s">
        <v>52</v>
      </c>
      <c r="D43" s="8" t="s">
        <v>116</v>
      </c>
      <c r="E43" s="12">
        <v>1</v>
      </c>
      <c r="F43" s="8">
        <v>0.161</v>
      </c>
      <c r="G43" s="8">
        <f t="shared" si="3"/>
        <v>0.161</v>
      </c>
      <c r="H43" s="8" t="s">
        <v>168</v>
      </c>
      <c r="I43" s="8" t="s">
        <v>19</v>
      </c>
      <c r="J43" s="8">
        <v>1022231</v>
      </c>
      <c r="K43" s="8" t="s">
        <v>169</v>
      </c>
      <c r="L43" s="10" t="str">
        <f>HYPERLINK("http://nl.farnell.com/harwin/m20-9980346/connector-header-tht-2-54mm-6way/dp/1022231", "Link")</f>
        <v>Link</v>
      </c>
      <c r="M43"/>
      <c r="N43" s="2"/>
    </row>
    <row r="44" spans="1:22" s="4" customFormat="1" x14ac:dyDescent="0.3">
      <c r="A44" s="8" t="s">
        <v>165</v>
      </c>
      <c r="B44" s="8" t="s">
        <v>53</v>
      </c>
      <c r="C44" s="8" t="s">
        <v>52</v>
      </c>
      <c r="D44" s="8" t="s">
        <v>112</v>
      </c>
      <c r="E44" s="12">
        <v>1</v>
      </c>
      <c r="F44" s="8">
        <v>0.54600000000000004</v>
      </c>
      <c r="G44" s="8">
        <f t="shared" si="3"/>
        <v>0.54600000000000004</v>
      </c>
      <c r="H44" s="8" t="s">
        <v>170</v>
      </c>
      <c r="I44" s="8" t="s">
        <v>19</v>
      </c>
      <c r="J44" s="8">
        <v>2056012</v>
      </c>
      <c r="K44" s="8" t="s">
        <v>171</v>
      </c>
      <c r="L44" s="10" t="str">
        <f>HYPERLINK("http://nl.farnell.com/samtec/tsm-104-02-t-dv/header-2-54mm-smt-8way/dp/2056012", "Link")</f>
        <v>Link</v>
      </c>
      <c r="M44"/>
      <c r="N44" s="2"/>
    </row>
    <row r="45" spans="1:22" s="4" customFormat="1" x14ac:dyDescent="0.3">
      <c r="A45" s="8" t="s">
        <v>136</v>
      </c>
      <c r="B45" s="8"/>
      <c r="C45" s="8"/>
      <c r="D45" s="8"/>
      <c r="E45" s="8">
        <v>1</v>
      </c>
      <c r="F45" s="8">
        <v>2.72</v>
      </c>
      <c r="G45" s="8">
        <f t="shared" si="3"/>
        <v>2.72</v>
      </c>
      <c r="H45" s="8" t="s">
        <v>174</v>
      </c>
      <c r="I45" s="8" t="s">
        <v>19</v>
      </c>
      <c r="J45" s="8">
        <v>9922407</v>
      </c>
      <c r="K45" s="8" t="s">
        <v>176</v>
      </c>
      <c r="L45" s="10" t="str">
        <f>HYPERLINK("http://nl.farnell.com/littelfuse/0452004-nrl/fuse-antisurge-smd-4a/dp/9922407?MER=sy-me-pd-mi-acce", "Link")</f>
        <v>Link</v>
      </c>
      <c r="M45"/>
      <c r="N45" s="2"/>
    </row>
    <row r="46" spans="1:22" s="4" customFormat="1" x14ac:dyDescent="0.3">
      <c r="A46" s="8" t="s">
        <v>137</v>
      </c>
      <c r="B46" s="8"/>
      <c r="C46" s="8" t="s">
        <v>52</v>
      </c>
      <c r="D46" s="8" t="s">
        <v>114</v>
      </c>
      <c r="E46" s="8">
        <v>1</v>
      </c>
      <c r="F46" s="8">
        <v>6.54</v>
      </c>
      <c r="G46" s="8">
        <f t="shared" si="3"/>
        <v>6.54</v>
      </c>
      <c r="H46" s="8" t="s">
        <v>174</v>
      </c>
      <c r="I46" s="8" t="s">
        <v>19</v>
      </c>
      <c r="J46" s="8">
        <v>9943765</v>
      </c>
      <c r="K46" s="8" t="s">
        <v>175</v>
      </c>
      <c r="L46" s="10" t="str">
        <f>HYPERLINK("http://nl.farnell.com/littelfuse/0154004-drt/fuse-smd-4a-omni-block-time-delay/dp/9943765", "Link")</f>
        <v>Link</v>
      </c>
      <c r="M46"/>
      <c r="N46" s="2"/>
      <c r="O46" s="2"/>
    </row>
    <row r="47" spans="1:22" x14ac:dyDescent="0.3">
      <c r="N47" s="1"/>
      <c r="O47" s="1"/>
    </row>
    <row r="48" spans="1:22" x14ac:dyDescent="0.3">
      <c r="N48" s="1"/>
      <c r="O48" s="1"/>
    </row>
    <row r="49" spans="14:15" x14ac:dyDescent="0.3">
      <c r="N49" s="1"/>
      <c r="O49" s="1"/>
    </row>
    <row r="50" spans="14:15" x14ac:dyDescent="0.3">
      <c r="N50" s="1"/>
      <c r="O50" s="1"/>
    </row>
    <row r="51" spans="14:15" x14ac:dyDescent="0.3">
      <c r="N51" s="1"/>
      <c r="O51" s="1"/>
    </row>
    <row r="52" spans="14:15" x14ac:dyDescent="0.3">
      <c r="N52" s="1"/>
      <c r="O52" s="1"/>
    </row>
    <row r="53" spans="14:15" x14ac:dyDescent="0.3">
      <c r="N53" s="1"/>
      <c r="O53" s="1"/>
    </row>
    <row r="54" spans="14:15" x14ac:dyDescent="0.3">
      <c r="N54" s="1"/>
      <c r="O54" s="1"/>
    </row>
    <row r="55" spans="14:15" x14ac:dyDescent="0.3">
      <c r="N55" s="1"/>
      <c r="O55" s="1"/>
    </row>
    <row r="56" spans="14:15" x14ac:dyDescent="0.3">
      <c r="N56" s="1"/>
      <c r="O56" s="1"/>
    </row>
    <row r="57" spans="14:15" x14ac:dyDescent="0.3">
      <c r="N57" s="1"/>
      <c r="O57" s="1"/>
    </row>
    <row r="58" spans="14:15" x14ac:dyDescent="0.3">
      <c r="N58" s="1"/>
      <c r="O58" s="1"/>
    </row>
    <row r="59" spans="14:15" x14ac:dyDescent="0.3">
      <c r="N59" s="1"/>
      <c r="O59" s="1"/>
    </row>
    <row r="60" spans="14:15" x14ac:dyDescent="0.3">
      <c r="N60" s="1"/>
      <c r="O60" s="1"/>
    </row>
    <row r="61" spans="14:15" x14ac:dyDescent="0.3">
      <c r="N61" s="1"/>
      <c r="O61" s="1"/>
    </row>
    <row r="62" spans="14:15" x14ac:dyDescent="0.3">
      <c r="N62" s="1"/>
      <c r="O62" s="1"/>
    </row>
    <row r="63" spans="14:15" x14ac:dyDescent="0.3">
      <c r="N63" s="1"/>
      <c r="O63" s="1"/>
    </row>
    <row r="64" spans="14:15" x14ac:dyDescent="0.3">
      <c r="N64" s="1"/>
      <c r="O64" s="1"/>
    </row>
    <row r="65" spans="14:15" x14ac:dyDescent="0.3">
      <c r="N65" s="1"/>
      <c r="O65" s="1"/>
    </row>
    <row r="66" spans="14:15" x14ac:dyDescent="0.3">
      <c r="N66" s="1"/>
      <c r="O66" s="1"/>
    </row>
    <row r="67" spans="14:15" x14ac:dyDescent="0.3">
      <c r="N67" s="1"/>
      <c r="O67" s="1"/>
    </row>
    <row r="68" spans="14:15" x14ac:dyDescent="0.3">
      <c r="N68" s="1"/>
      <c r="O68" s="1"/>
    </row>
    <row r="69" spans="14:15" x14ac:dyDescent="0.3">
      <c r="N69" s="1"/>
      <c r="O69" s="1"/>
    </row>
    <row r="70" spans="14:15" x14ac:dyDescent="0.3">
      <c r="N70" s="1"/>
      <c r="O70" s="1"/>
    </row>
    <row r="71" spans="14:15" x14ac:dyDescent="0.3">
      <c r="N71" s="1"/>
      <c r="O71" s="1"/>
    </row>
  </sheetData>
  <sortState ref="N13:O33">
    <sortCondition ref="N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-Lisanne Kesselaar-</dc:creator>
  <cp:lastModifiedBy>-Lisanne Kesselaar-</cp:lastModifiedBy>
  <dcterms:created xsi:type="dcterms:W3CDTF">2017-01-09T11:58:59Z</dcterms:created>
  <dcterms:modified xsi:type="dcterms:W3CDTF">2017-02-07T14:07:36Z</dcterms:modified>
</cp:coreProperties>
</file>